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fileSharing readOnlyRecommended="1"/>
  <workbookPr date1904="1"/>
  <bookViews>
    <workbookView xWindow="0" yWindow="0" windowWidth="23256" windowHeight="10320" tabRatio="445"/>
  </bookViews>
  <sheets>
    <sheet name="RELAB" sheetId="6" r:id="rId1"/>
    <sheet name="C-Tape" sheetId="3" r:id="rId2"/>
    <sheet name="TK" sheetId="4" r:id="rId3"/>
    <sheet name="Chemical_analyses" sheetId="2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93" i="6"/>
  <c r="AB593"/>
  <c r="V593"/>
  <c r="W593" s="1"/>
  <c r="S593"/>
  <c r="Y593" s="1"/>
  <c r="AE592"/>
  <c r="AB592"/>
  <c r="V592"/>
  <c r="W592" s="1"/>
  <c r="S592"/>
  <c r="Y592" s="1"/>
  <c r="AE591"/>
  <c r="AB591"/>
  <c r="V591"/>
  <c r="W591" s="1"/>
  <c r="S591"/>
  <c r="Y591" s="1"/>
  <c r="AE590"/>
  <c r="AB590"/>
  <c r="V590"/>
  <c r="W590" s="1"/>
  <c r="S590"/>
  <c r="Y590" s="1"/>
  <c r="AH589"/>
  <c r="AE589"/>
  <c r="AB589"/>
  <c r="S589"/>
  <c r="Y589" s="1"/>
  <c r="AH588"/>
  <c r="AE588"/>
  <c r="AB588"/>
  <c r="S588"/>
  <c r="Y588" s="1"/>
  <c r="AH587"/>
  <c r="AE587"/>
  <c r="AB587"/>
  <c r="S587"/>
  <c r="Y587" s="1"/>
  <c r="AH586"/>
  <c r="AE586"/>
  <c r="AB586"/>
  <c r="S586"/>
  <c r="Y586" s="1"/>
  <c r="AH585"/>
  <c r="AE585"/>
  <c r="AB585"/>
  <c r="S585"/>
  <c r="Y585" s="1"/>
  <c r="AE584"/>
  <c r="AB584"/>
  <c r="W584"/>
  <c r="S584"/>
  <c r="Y584" s="1"/>
  <c r="AE583"/>
  <c r="AB583"/>
  <c r="W583"/>
  <c r="S583"/>
  <c r="Y583" s="1"/>
  <c r="AE582"/>
  <c r="AB582"/>
  <c r="W582"/>
  <c r="S582"/>
  <c r="Y582" s="1"/>
  <c r="AE581"/>
  <c r="AB581"/>
  <c r="W581"/>
  <c r="S581"/>
  <c r="Y581" s="1"/>
  <c r="AE580"/>
  <c r="AB580"/>
  <c r="W580"/>
  <c r="S580"/>
  <c r="Y580" s="1"/>
  <c r="AH579"/>
  <c r="AE579"/>
  <c r="AB579"/>
  <c r="S579"/>
  <c r="Y579" s="1"/>
  <c r="AH578"/>
  <c r="AE578"/>
  <c r="AB578"/>
  <c r="S578"/>
  <c r="Y578" s="1"/>
  <c r="AH577"/>
  <c r="AE577"/>
  <c r="AB577"/>
  <c r="S577"/>
  <c r="Y577" s="1"/>
  <c r="AH576"/>
  <c r="AE576"/>
  <c r="AB576"/>
  <c r="S576"/>
  <c r="Y576" s="1"/>
  <c r="AH575"/>
  <c r="AE575"/>
  <c r="AB575"/>
  <c r="S575"/>
  <c r="Y575" s="1"/>
  <c r="AH574"/>
  <c r="AE574"/>
  <c r="AB574"/>
  <c r="S574"/>
  <c r="Y574" s="1"/>
  <c r="AH573"/>
  <c r="AE573"/>
  <c r="AB573"/>
  <c r="S573"/>
  <c r="Y573" s="1"/>
  <c r="AH572"/>
  <c r="AE572"/>
  <c r="AB572"/>
  <c r="S572"/>
  <c r="Y572" s="1"/>
  <c r="AH571"/>
  <c r="AE571"/>
  <c r="AB571"/>
  <c r="S571"/>
  <c r="Y571" s="1"/>
  <c r="AH570"/>
  <c r="AE570"/>
  <c r="AB570"/>
  <c r="S570"/>
  <c r="Y570" s="1"/>
  <c r="AH569"/>
  <c r="AE569"/>
  <c r="AB569"/>
  <c r="S569"/>
  <c r="Y569" s="1"/>
  <c r="AH568"/>
  <c r="AE568"/>
  <c r="AB568"/>
  <c r="S568"/>
  <c r="Y568" s="1"/>
  <c r="AH567"/>
  <c r="AE567"/>
  <c r="AB567"/>
  <c r="S567"/>
  <c r="Y567" s="1"/>
  <c r="AH566"/>
  <c r="AE566"/>
  <c r="AB566"/>
  <c r="S566"/>
  <c r="Y566" s="1"/>
  <c r="AH565"/>
  <c r="AE565"/>
  <c r="AB565"/>
  <c r="S565"/>
  <c r="Y565" s="1"/>
  <c r="AE564"/>
  <c r="AB564"/>
  <c r="W564"/>
  <c r="S564"/>
  <c r="Y564" s="1"/>
  <c r="AE563"/>
  <c r="AB563"/>
  <c r="W563"/>
  <c r="S563"/>
  <c r="Y563" s="1"/>
  <c r="W562"/>
  <c r="S562"/>
  <c r="AE561"/>
  <c r="AB561"/>
  <c r="W561"/>
  <c r="S561"/>
  <c r="Y561" s="1"/>
  <c r="W560"/>
  <c r="S560"/>
  <c r="AE559"/>
  <c r="AB559"/>
  <c r="W559"/>
  <c r="S559"/>
  <c r="Y559" s="1"/>
  <c r="AE558"/>
  <c r="AB558"/>
  <c r="S558"/>
  <c r="Y558" s="1"/>
  <c r="AE557"/>
  <c r="AB557"/>
  <c r="W557"/>
  <c r="S557"/>
  <c r="Y557" s="1"/>
  <c r="AE556"/>
  <c r="AB556"/>
  <c r="W556"/>
  <c r="S556"/>
  <c r="Y556" s="1"/>
  <c r="AE555"/>
  <c r="AB555"/>
  <c r="W555"/>
  <c r="S555"/>
  <c r="Y555" s="1"/>
  <c r="AE554"/>
  <c r="AB554"/>
  <c r="W554"/>
  <c r="S554"/>
  <c r="Y554" s="1"/>
  <c r="AE553"/>
  <c r="AB553"/>
  <c r="W553"/>
  <c r="S553"/>
  <c r="Y553" s="1"/>
  <c r="AE552"/>
  <c r="AB552"/>
  <c r="W552"/>
  <c r="S552"/>
  <c r="Y552" s="1"/>
  <c r="AE551"/>
  <c r="AB551"/>
  <c r="W551"/>
  <c r="S551"/>
  <c r="Y551" s="1"/>
  <c r="AH550"/>
  <c r="AE550"/>
  <c r="AB550"/>
  <c r="S550"/>
  <c r="Y550" s="1"/>
  <c r="AH549"/>
  <c r="AE549"/>
  <c r="AB549"/>
  <c r="S549"/>
  <c r="Y549" s="1"/>
  <c r="W548"/>
  <c r="S548"/>
  <c r="AE547"/>
  <c r="AB547"/>
  <c r="S547"/>
  <c r="Y547" s="1"/>
  <c r="AE546"/>
  <c r="AB546"/>
  <c r="S546"/>
  <c r="Y546" s="1"/>
  <c r="AE545"/>
  <c r="AB545"/>
  <c r="S545"/>
  <c r="Y545" s="1"/>
  <c r="AE544"/>
  <c r="AB544"/>
  <c r="W544"/>
  <c r="S544"/>
  <c r="Y544" s="1"/>
  <c r="AE543"/>
  <c r="AB543"/>
  <c r="W543"/>
  <c r="S543"/>
  <c r="Y543" s="1"/>
  <c r="AH542"/>
  <c r="AE542"/>
  <c r="AB542"/>
  <c r="S542"/>
  <c r="Y542" s="1"/>
  <c r="AH541"/>
  <c r="AE541"/>
  <c r="AB541"/>
  <c r="S541"/>
  <c r="Y541" s="1"/>
  <c r="AH540"/>
  <c r="AE540"/>
  <c r="AB540"/>
  <c r="S540"/>
  <c r="Y540" s="1"/>
  <c r="AH539"/>
  <c r="AE539"/>
  <c r="AB539"/>
  <c r="S539"/>
  <c r="Y539" s="1"/>
  <c r="AE538"/>
  <c r="AB538"/>
  <c r="W538"/>
  <c r="S538"/>
  <c r="Y538" s="1"/>
  <c r="AE537"/>
  <c r="AB537"/>
  <c r="W537"/>
  <c r="S537"/>
  <c r="Y537" s="1"/>
  <c r="AE536"/>
  <c r="AB536"/>
  <c r="W536"/>
  <c r="S536"/>
  <c r="Y536" s="1"/>
  <c r="AE535"/>
  <c r="AB535"/>
  <c r="V535"/>
  <c r="W535" s="1"/>
  <c r="S535"/>
  <c r="Y535" s="1"/>
  <c r="AE534"/>
  <c r="AB534"/>
  <c r="V534"/>
  <c r="W534" s="1"/>
  <c r="S534"/>
  <c r="Y534" s="1"/>
  <c r="AE533"/>
  <c r="AB533"/>
  <c r="V533"/>
  <c r="W533" s="1"/>
  <c r="S533"/>
  <c r="Y533" s="1"/>
  <c r="AE532"/>
  <c r="AB532"/>
  <c r="W532"/>
  <c r="S532"/>
  <c r="Y532" s="1"/>
  <c r="AE531"/>
  <c r="AB531"/>
  <c r="W531"/>
  <c r="S531"/>
  <c r="Y531" s="1"/>
  <c r="AE530"/>
  <c r="AB530"/>
  <c r="W530"/>
  <c r="S530"/>
  <c r="Y530" s="1"/>
  <c r="AE529"/>
  <c r="AB529"/>
  <c r="W529"/>
  <c r="S529"/>
  <c r="Y529" s="1"/>
  <c r="AE528"/>
  <c r="AB528"/>
  <c r="W528"/>
  <c r="S528"/>
  <c r="Y528" s="1"/>
  <c r="AE527"/>
  <c r="AB527"/>
  <c r="W527"/>
  <c r="S527"/>
  <c r="Y527" s="1"/>
  <c r="AE526"/>
  <c r="AB526"/>
  <c r="W526"/>
  <c r="S526"/>
  <c r="Y526" s="1"/>
  <c r="AE525"/>
  <c r="AB525"/>
  <c r="W525"/>
  <c r="S525"/>
  <c r="Y525" s="1"/>
  <c r="AE524"/>
  <c r="AB524"/>
  <c r="W524"/>
  <c r="S524"/>
  <c r="Y524" s="1"/>
  <c r="AE523"/>
  <c r="AB523"/>
  <c r="W523"/>
  <c r="S523"/>
  <c r="Y523" s="1"/>
  <c r="AE522"/>
  <c r="AB522"/>
  <c r="W522"/>
  <c r="S522"/>
  <c r="Y522" s="1"/>
  <c r="AE521"/>
  <c r="AB521"/>
  <c r="W521"/>
  <c r="S521"/>
  <c r="Y521" s="1"/>
  <c r="AE520"/>
  <c r="AB520"/>
  <c r="W520"/>
  <c r="S520"/>
  <c r="Y520" s="1"/>
  <c r="AE519"/>
  <c r="AB519"/>
  <c r="W519"/>
  <c r="S519"/>
  <c r="Y519" s="1"/>
  <c r="AE518"/>
  <c r="AB518"/>
  <c r="W518"/>
  <c r="S518"/>
  <c r="Y518" s="1"/>
  <c r="AE517"/>
  <c r="AB517"/>
  <c r="W517"/>
  <c r="S517"/>
  <c r="Y517" s="1"/>
  <c r="AE516"/>
  <c r="AB516"/>
  <c r="W516"/>
  <c r="S516"/>
  <c r="Y516" s="1"/>
  <c r="AE515"/>
  <c r="AB515"/>
  <c r="W515"/>
  <c r="S515"/>
  <c r="Y515" s="1"/>
  <c r="AE514"/>
  <c r="AB514"/>
  <c r="W514"/>
  <c r="S514"/>
  <c r="Y514" s="1"/>
  <c r="AE513"/>
  <c r="AB513"/>
  <c r="W513"/>
  <c r="S513"/>
  <c r="Y513" s="1"/>
  <c r="AE512"/>
  <c r="AB512"/>
  <c r="W512"/>
  <c r="S512"/>
  <c r="Y512" s="1"/>
  <c r="AE511"/>
  <c r="AB511"/>
  <c r="W511"/>
  <c r="S511"/>
  <c r="Y511" s="1"/>
  <c r="AE510"/>
  <c r="AB510"/>
  <c r="W510"/>
  <c r="S510"/>
  <c r="Y510" s="1"/>
  <c r="AE509"/>
  <c r="AB509"/>
  <c r="W509"/>
  <c r="S509"/>
  <c r="Y509" s="1"/>
  <c r="AE508"/>
  <c r="AB508"/>
  <c r="W508"/>
  <c r="S508"/>
  <c r="Y508" s="1"/>
  <c r="AE507"/>
  <c r="AB507"/>
  <c r="W507"/>
  <c r="S507"/>
  <c r="Y507" s="1"/>
  <c r="AE506"/>
  <c r="AB506"/>
  <c r="W506"/>
  <c r="S506"/>
  <c r="Y506" s="1"/>
  <c r="AE505"/>
  <c r="AB505"/>
  <c r="W505"/>
  <c r="S505"/>
  <c r="Y505" s="1"/>
  <c r="AE504"/>
  <c r="AB504"/>
  <c r="W504"/>
  <c r="S504"/>
  <c r="Y504" s="1"/>
  <c r="AE503"/>
  <c r="AB503"/>
  <c r="W503"/>
  <c r="S503"/>
  <c r="Y503" s="1"/>
  <c r="AE502"/>
  <c r="AB502"/>
  <c r="W502"/>
  <c r="S502"/>
  <c r="Y502" s="1"/>
  <c r="AE501"/>
  <c r="AB501"/>
  <c r="W501"/>
  <c r="S501"/>
  <c r="Y501" s="1"/>
  <c r="AE500"/>
  <c r="AB500"/>
  <c r="W500"/>
  <c r="S500"/>
  <c r="Y500" s="1"/>
  <c r="AE499"/>
  <c r="AB499"/>
  <c r="W499"/>
  <c r="S499"/>
  <c r="Y499" s="1"/>
  <c r="AE498"/>
  <c r="AB498"/>
  <c r="W498"/>
  <c r="S498"/>
  <c r="Y498" s="1"/>
  <c r="AE497"/>
  <c r="AB497"/>
  <c r="W497"/>
  <c r="S497"/>
  <c r="Y497" s="1"/>
  <c r="AE496"/>
  <c r="AB496"/>
  <c r="W496"/>
  <c r="S496"/>
  <c r="Y496" s="1"/>
  <c r="AH495"/>
  <c r="AE495"/>
  <c r="AB495"/>
  <c r="S495"/>
  <c r="Y495" s="1"/>
  <c r="AE494"/>
  <c r="AB494"/>
  <c r="W494"/>
  <c r="S494"/>
  <c r="Y494" s="1"/>
  <c r="AH493"/>
  <c r="AE493"/>
  <c r="AB493"/>
  <c r="W493"/>
  <c r="S493"/>
  <c r="AH492"/>
  <c r="AE492"/>
  <c r="AB492"/>
  <c r="W492"/>
  <c r="S492"/>
  <c r="AE491"/>
  <c r="AB491"/>
  <c r="W491"/>
  <c r="S491"/>
  <c r="Y491" s="1"/>
  <c r="AH490"/>
  <c r="AE490"/>
  <c r="AB490"/>
  <c r="W490"/>
  <c r="S490"/>
  <c r="AH489"/>
  <c r="AE489"/>
  <c r="AB489"/>
  <c r="W489"/>
  <c r="S489"/>
  <c r="AH488"/>
  <c r="AE488"/>
  <c r="AB488"/>
  <c r="W488"/>
  <c r="S488"/>
  <c r="AH487"/>
  <c r="AE487"/>
  <c r="AB487"/>
  <c r="W487"/>
  <c r="S487"/>
  <c r="AH486"/>
  <c r="AE486"/>
  <c r="AB486"/>
  <c r="W486"/>
  <c r="S486"/>
  <c r="AH485"/>
  <c r="AE485"/>
  <c r="AB485"/>
  <c r="W485"/>
  <c r="S485"/>
  <c r="AH484"/>
  <c r="AE484"/>
  <c r="AB484"/>
  <c r="W484"/>
  <c r="S484"/>
  <c r="AH483"/>
  <c r="AE483"/>
  <c r="AB483"/>
  <c r="W483"/>
  <c r="S483"/>
  <c r="AE482"/>
  <c r="AB482"/>
  <c r="W482"/>
  <c r="S482"/>
  <c r="Y482" s="1"/>
  <c r="AE481"/>
  <c r="AB481"/>
  <c r="W481"/>
  <c r="S481"/>
  <c r="Y481" s="1"/>
  <c r="AE480"/>
  <c r="AB480"/>
  <c r="W480"/>
  <c r="S480"/>
  <c r="Y480" s="1"/>
  <c r="AH479"/>
  <c r="AE479"/>
  <c r="AB479"/>
  <c r="W479"/>
  <c r="S479"/>
  <c r="AH478"/>
  <c r="AE478"/>
  <c r="AB478"/>
  <c r="W478"/>
  <c r="S478"/>
  <c r="AH477"/>
  <c r="AE477"/>
  <c r="AB477"/>
  <c r="W477"/>
  <c r="S477"/>
  <c r="AH476"/>
  <c r="AE476"/>
  <c r="AB476"/>
  <c r="W476"/>
  <c r="S476"/>
  <c r="AH475"/>
  <c r="AE475"/>
  <c r="AB475"/>
  <c r="W475"/>
  <c r="S475"/>
  <c r="AE474"/>
  <c r="AB474"/>
  <c r="W474"/>
  <c r="S474"/>
  <c r="Y474" s="1"/>
  <c r="AE473"/>
  <c r="AB473"/>
  <c r="X473"/>
  <c r="W473"/>
  <c r="S473"/>
  <c r="Y473" s="1"/>
  <c r="AE472"/>
  <c r="AB472"/>
  <c r="W472"/>
  <c r="S472"/>
  <c r="Y472" s="1"/>
  <c r="AE471"/>
  <c r="AB471"/>
  <c r="W471"/>
  <c r="S471"/>
  <c r="Y471" s="1"/>
  <c r="AE470"/>
  <c r="AB470"/>
  <c r="W470"/>
  <c r="S470"/>
  <c r="Y470" s="1"/>
  <c r="AE469"/>
  <c r="AB469"/>
  <c r="W469"/>
  <c r="S469"/>
  <c r="Y469" s="1"/>
  <c r="AE468"/>
  <c r="AB468"/>
  <c r="X468"/>
  <c r="W468"/>
  <c r="S468"/>
  <c r="Y468" s="1"/>
  <c r="AE467"/>
  <c r="AB467"/>
  <c r="X467"/>
  <c r="W467"/>
  <c r="S467"/>
  <c r="Y467" s="1"/>
  <c r="AE466"/>
  <c r="AB466"/>
  <c r="X466"/>
  <c r="W466"/>
  <c r="S466"/>
  <c r="Y466" s="1"/>
  <c r="AE465"/>
  <c r="AB465"/>
  <c r="X465"/>
  <c r="W465"/>
  <c r="S465"/>
  <c r="Y465" s="1"/>
  <c r="AE464"/>
  <c r="AB464"/>
  <c r="X464"/>
  <c r="W464"/>
  <c r="S464"/>
  <c r="Y464" s="1"/>
  <c r="AE463"/>
  <c r="AB463"/>
  <c r="X463"/>
  <c r="W463"/>
  <c r="S463"/>
  <c r="Y463" s="1"/>
  <c r="AH462"/>
  <c r="AE462"/>
  <c r="AB462"/>
  <c r="W462"/>
  <c r="S462"/>
  <c r="AH461"/>
  <c r="AE461"/>
  <c r="AB461"/>
  <c r="W461"/>
  <c r="S461"/>
  <c r="AH460"/>
  <c r="AE460"/>
  <c r="AB460"/>
  <c r="W460"/>
  <c r="S460"/>
  <c r="AH459"/>
  <c r="AE459"/>
  <c r="AB459"/>
  <c r="W459"/>
  <c r="S459"/>
  <c r="AH458"/>
  <c r="AE458"/>
  <c r="AB458"/>
  <c r="W458"/>
  <c r="S458"/>
  <c r="AH457"/>
  <c r="AE457"/>
  <c r="AB457"/>
  <c r="W457"/>
  <c r="S457"/>
  <c r="AH456"/>
  <c r="AE456"/>
  <c r="AB456"/>
  <c r="W456"/>
  <c r="S456"/>
  <c r="AH455"/>
  <c r="AE455"/>
  <c r="AB455"/>
  <c r="W455"/>
  <c r="S455"/>
  <c r="AH454"/>
  <c r="AE454"/>
  <c r="AB454"/>
  <c r="W454"/>
  <c r="S454"/>
  <c r="AH453"/>
  <c r="AE453"/>
  <c r="AB453"/>
  <c r="W453"/>
  <c r="S453"/>
  <c r="AH452"/>
  <c r="AE452"/>
  <c r="AB452"/>
  <c r="W452"/>
  <c r="S452"/>
  <c r="AH451"/>
  <c r="AE451"/>
  <c r="AB451"/>
  <c r="W451"/>
  <c r="S451"/>
  <c r="AH450"/>
  <c r="AE450"/>
  <c r="AB450"/>
  <c r="W450"/>
  <c r="S450"/>
  <c r="AH449"/>
  <c r="AE449"/>
  <c r="AB449"/>
  <c r="W449"/>
  <c r="S449"/>
  <c r="AH448"/>
  <c r="AE448"/>
  <c r="AB448"/>
  <c r="W448"/>
  <c r="S448"/>
  <c r="AH447"/>
  <c r="AE447"/>
  <c r="AB447"/>
  <c r="W447"/>
  <c r="S447"/>
  <c r="AE446"/>
  <c r="AB446"/>
  <c r="X446"/>
  <c r="W446"/>
  <c r="S446"/>
  <c r="Y446" s="1"/>
  <c r="AE445"/>
  <c r="AB445"/>
  <c r="W445"/>
  <c r="S445"/>
  <c r="Y445" s="1"/>
  <c r="AE444"/>
  <c r="AB444"/>
  <c r="W444"/>
  <c r="S444"/>
  <c r="Y444" s="1"/>
  <c r="AE443"/>
  <c r="AB443"/>
  <c r="W443"/>
  <c r="S443"/>
  <c r="Y443" s="1"/>
  <c r="AE442"/>
  <c r="AB442"/>
  <c r="W442"/>
  <c r="S442"/>
  <c r="Y442" s="1"/>
  <c r="AE441"/>
  <c r="AB441"/>
  <c r="X441"/>
  <c r="W441"/>
  <c r="S441"/>
  <c r="Y441" s="1"/>
  <c r="AE440"/>
  <c r="AB440"/>
  <c r="X440"/>
  <c r="W440"/>
  <c r="S440"/>
  <c r="Y440" s="1"/>
  <c r="AE439"/>
  <c r="AB439"/>
  <c r="W439"/>
  <c r="S439"/>
  <c r="Y439" s="1"/>
  <c r="AE438"/>
  <c r="AB438"/>
  <c r="W438"/>
  <c r="S438"/>
  <c r="Y438" s="1"/>
  <c r="AE437"/>
  <c r="AB437"/>
  <c r="W437"/>
  <c r="S437"/>
  <c r="Y437" s="1"/>
  <c r="AE436"/>
  <c r="AB436"/>
  <c r="W436"/>
  <c r="S436"/>
  <c r="Y436" s="1"/>
  <c r="AE435"/>
  <c r="AB435"/>
  <c r="W435"/>
  <c r="S435"/>
  <c r="Y435" s="1"/>
  <c r="AE434"/>
  <c r="AB434"/>
  <c r="W434"/>
  <c r="S434"/>
  <c r="Y434" s="1"/>
  <c r="AE433"/>
  <c r="AB433"/>
  <c r="W433"/>
  <c r="S433"/>
  <c r="Y433" s="1"/>
  <c r="AE432"/>
  <c r="AB432"/>
  <c r="W432"/>
  <c r="S432"/>
  <c r="Y432" s="1"/>
  <c r="AE431"/>
  <c r="AB431"/>
  <c r="W431"/>
  <c r="S431"/>
  <c r="Y431" s="1"/>
  <c r="AE430"/>
  <c r="AB430"/>
  <c r="W430"/>
  <c r="S430"/>
  <c r="Y430" s="1"/>
  <c r="AE429"/>
  <c r="AB429"/>
  <c r="W429"/>
  <c r="S429"/>
  <c r="Y429" s="1"/>
  <c r="AE428"/>
  <c r="AB428"/>
  <c r="W428"/>
  <c r="S428"/>
  <c r="Y428" s="1"/>
  <c r="AE427"/>
  <c r="AB427"/>
  <c r="W427"/>
  <c r="S427"/>
  <c r="Y427" s="1"/>
  <c r="AE426"/>
  <c r="AB426"/>
  <c r="W426"/>
  <c r="S426"/>
  <c r="Y426" s="1"/>
  <c r="AE425"/>
  <c r="AB425"/>
  <c r="W425"/>
  <c r="S425"/>
  <c r="Y425" s="1"/>
  <c r="AE424"/>
  <c r="AB424"/>
  <c r="W424"/>
  <c r="S424"/>
  <c r="Y424" s="1"/>
  <c r="AE423"/>
  <c r="AB423"/>
  <c r="W423"/>
  <c r="S423"/>
  <c r="Y423" s="1"/>
  <c r="AE422"/>
  <c r="AB422"/>
  <c r="W422"/>
  <c r="S422"/>
  <c r="Y422" s="1"/>
  <c r="AE421"/>
  <c r="AB421"/>
  <c r="W421"/>
  <c r="S421"/>
  <c r="Y421" s="1"/>
  <c r="AE420"/>
  <c r="AB420"/>
  <c r="W420"/>
  <c r="S420"/>
  <c r="Y420" s="1"/>
  <c r="AE419"/>
  <c r="AB419"/>
  <c r="W419"/>
  <c r="S419"/>
  <c r="Y419" s="1"/>
  <c r="AE418"/>
  <c r="AB418"/>
  <c r="W418"/>
  <c r="S418"/>
  <c r="Y418" s="1"/>
  <c r="AE417"/>
  <c r="AB417"/>
  <c r="W417"/>
  <c r="S417"/>
  <c r="Y417" s="1"/>
  <c r="AE416"/>
  <c r="AB416"/>
  <c r="W416"/>
  <c r="S416"/>
  <c r="Y416" s="1"/>
  <c r="AE415"/>
  <c r="AB415"/>
  <c r="W415"/>
  <c r="S415"/>
  <c r="Y415" s="1"/>
  <c r="AE414"/>
  <c r="AB414"/>
  <c r="W414"/>
  <c r="S414"/>
  <c r="Y414" s="1"/>
  <c r="AE413"/>
  <c r="AB413"/>
  <c r="W413"/>
  <c r="S413"/>
  <c r="Y413" s="1"/>
  <c r="AE412"/>
  <c r="AB412"/>
  <c r="W412"/>
  <c r="S412"/>
  <c r="Y412" s="1"/>
  <c r="AE411"/>
  <c r="AB411"/>
  <c r="W411"/>
  <c r="S411"/>
  <c r="Y411" s="1"/>
  <c r="AE410"/>
  <c r="AB410"/>
  <c r="W410"/>
  <c r="S410"/>
  <c r="Y410" s="1"/>
  <c r="AE409"/>
  <c r="AB409"/>
  <c r="W409"/>
  <c r="S409"/>
  <c r="Y409" s="1"/>
  <c r="AE408"/>
  <c r="AB408"/>
  <c r="W408"/>
  <c r="S408"/>
  <c r="Y408" s="1"/>
  <c r="AE407"/>
  <c r="AB407"/>
  <c r="W407"/>
  <c r="S407"/>
  <c r="Y407" s="1"/>
  <c r="AE406"/>
  <c r="AB406"/>
  <c r="W406"/>
  <c r="S406"/>
  <c r="Y406" s="1"/>
  <c r="AE405"/>
  <c r="AB405"/>
  <c r="W405"/>
  <c r="S405"/>
  <c r="Y405" s="1"/>
  <c r="AE404"/>
  <c r="AB404"/>
  <c r="W404"/>
  <c r="S404"/>
  <c r="Y404" s="1"/>
  <c r="AE403"/>
  <c r="AB403"/>
  <c r="W403"/>
  <c r="S403"/>
  <c r="Y403" s="1"/>
  <c r="AE402"/>
  <c r="AB402"/>
  <c r="W402"/>
  <c r="S402"/>
  <c r="Y402" s="1"/>
  <c r="AE401"/>
  <c r="AB401"/>
  <c r="W401"/>
  <c r="S401"/>
  <c r="Y401" s="1"/>
  <c r="AE400"/>
  <c r="AB400"/>
  <c r="W400"/>
  <c r="S400"/>
  <c r="Y400" s="1"/>
  <c r="AE399"/>
  <c r="AB399"/>
  <c r="W399"/>
  <c r="S399"/>
  <c r="Y399" s="1"/>
  <c r="AE398"/>
  <c r="AB398"/>
  <c r="W398"/>
  <c r="S398"/>
  <c r="Y398" s="1"/>
  <c r="AE397"/>
  <c r="AB397"/>
  <c r="W397"/>
  <c r="S397"/>
  <c r="Y397" s="1"/>
  <c r="AE396"/>
  <c r="AB396"/>
  <c r="W396"/>
  <c r="S396"/>
  <c r="Y396" s="1"/>
  <c r="AE395"/>
  <c r="AB395"/>
  <c r="W395"/>
  <c r="S395"/>
  <c r="Y395" s="1"/>
  <c r="AE394"/>
  <c r="AB394"/>
  <c r="W394"/>
  <c r="S394"/>
  <c r="Y394" s="1"/>
  <c r="AE393"/>
  <c r="AB393"/>
  <c r="W393"/>
  <c r="S393"/>
  <c r="Y393" s="1"/>
  <c r="AE392"/>
  <c r="AB392"/>
  <c r="W392"/>
  <c r="S392"/>
  <c r="Y392" s="1"/>
  <c r="AE391"/>
  <c r="AB391"/>
  <c r="W391"/>
  <c r="S391"/>
  <c r="Y391" s="1"/>
  <c r="AE390"/>
  <c r="AB390"/>
  <c r="W390"/>
  <c r="S390"/>
  <c r="Y390" s="1"/>
  <c r="AH389"/>
  <c r="AE389"/>
  <c r="AB389"/>
  <c r="W389"/>
  <c r="S389"/>
  <c r="AH388"/>
  <c r="AE388"/>
  <c r="W388"/>
  <c r="S388"/>
  <c r="Y388" s="1"/>
  <c r="AE387"/>
  <c r="AB387"/>
  <c r="W387"/>
  <c r="S387"/>
  <c r="Y387" s="1"/>
  <c r="AE386"/>
  <c r="W386"/>
  <c r="S386"/>
  <c r="Y386" s="1"/>
  <c r="AH385"/>
  <c r="AE385"/>
  <c r="W385"/>
  <c r="S385"/>
  <c r="Y385" s="1"/>
  <c r="AH384"/>
  <c r="AE384"/>
  <c r="W384"/>
  <c r="S384"/>
  <c r="Y384" s="1"/>
  <c r="AH383"/>
  <c r="AE383"/>
  <c r="W383"/>
  <c r="S383"/>
  <c r="Y383" s="1"/>
  <c r="AH382"/>
  <c r="AE382"/>
  <c r="W382"/>
  <c r="S382"/>
  <c r="Y382" s="1"/>
  <c r="AH381"/>
  <c r="AE381"/>
  <c r="W381"/>
  <c r="S381"/>
  <c r="Y381" s="1"/>
  <c r="AH380"/>
  <c r="AE380"/>
  <c r="W380"/>
  <c r="S380"/>
  <c r="Y380" s="1"/>
  <c r="AH379"/>
  <c r="AE379"/>
  <c r="W379"/>
  <c r="S379"/>
  <c r="Y379" s="1"/>
  <c r="AH378"/>
  <c r="AE378"/>
  <c r="W378"/>
  <c r="S378"/>
  <c r="Y378" s="1"/>
  <c r="AH377"/>
  <c r="AE377"/>
  <c r="W377"/>
  <c r="S377"/>
  <c r="Y377" s="1"/>
  <c r="AH376"/>
  <c r="AE376"/>
  <c r="W376"/>
  <c r="S376"/>
  <c r="Y376" s="1"/>
  <c r="AH375"/>
  <c r="AE375"/>
  <c r="W375"/>
  <c r="S375"/>
  <c r="Y375" s="1"/>
  <c r="AH374"/>
  <c r="AE374"/>
  <c r="W374"/>
  <c r="S374"/>
  <c r="Y374" s="1"/>
  <c r="AH373"/>
  <c r="AE373"/>
  <c r="W373"/>
  <c r="S373"/>
  <c r="Y373" s="1"/>
  <c r="AH372"/>
  <c r="AE372"/>
  <c r="W372"/>
  <c r="S372"/>
  <c r="Y372" s="1"/>
  <c r="AH371"/>
  <c r="AE371"/>
  <c r="W371"/>
  <c r="S371"/>
  <c r="Y371" s="1"/>
  <c r="AH370"/>
  <c r="AE370"/>
  <c r="W370"/>
  <c r="S370"/>
  <c r="Y370" s="1"/>
  <c r="AH369"/>
  <c r="AE369"/>
  <c r="W369"/>
  <c r="S369"/>
  <c r="Y369" s="1"/>
  <c r="AE368"/>
  <c r="AB368"/>
  <c r="W368"/>
  <c r="S368"/>
  <c r="Y368" s="1"/>
  <c r="AH367"/>
  <c r="AE367"/>
  <c r="W367"/>
  <c r="S367"/>
  <c r="Y367" s="1"/>
  <c r="AH366"/>
  <c r="AE366"/>
  <c r="W366"/>
  <c r="S366"/>
  <c r="Y366" s="1"/>
  <c r="AH365"/>
  <c r="AE365"/>
  <c r="W365"/>
  <c r="S365"/>
  <c r="Y365" s="1"/>
  <c r="AH364"/>
  <c r="AE364"/>
  <c r="W364"/>
  <c r="S364"/>
  <c r="Y364" s="1"/>
  <c r="AH363"/>
  <c r="AE363"/>
  <c r="W363"/>
  <c r="S363"/>
  <c r="Y363" s="1"/>
  <c r="AH362"/>
  <c r="AE362"/>
  <c r="W362"/>
  <c r="S362"/>
  <c r="Y362" s="1"/>
  <c r="AH361"/>
  <c r="AE361"/>
  <c r="W361"/>
  <c r="S361"/>
  <c r="Y361" s="1"/>
  <c r="AH360"/>
  <c r="AE360"/>
  <c r="W360"/>
  <c r="S360"/>
  <c r="Y360" s="1"/>
  <c r="AH359"/>
  <c r="AE359"/>
  <c r="W359"/>
  <c r="S359"/>
  <c r="Y359" s="1"/>
  <c r="AH358"/>
  <c r="AE358"/>
  <c r="W358"/>
  <c r="S358"/>
  <c r="Y358" s="1"/>
  <c r="AH357"/>
  <c r="AE357"/>
  <c r="W357"/>
  <c r="S357"/>
  <c r="Y357" s="1"/>
  <c r="AE356"/>
  <c r="AC356"/>
  <c r="AA356"/>
  <c r="AB356" s="1"/>
  <c r="W356"/>
  <c r="S356"/>
  <c r="Y356" s="1"/>
  <c r="AE355"/>
  <c r="AC355"/>
  <c r="AA355"/>
  <c r="AB355" s="1"/>
  <c r="W355"/>
  <c r="S355"/>
  <c r="Y355" s="1"/>
  <c r="AE354"/>
  <c r="AC354"/>
  <c r="AA354"/>
  <c r="AB354" s="1"/>
  <c r="W354"/>
  <c r="S354"/>
  <c r="Y354" s="1"/>
  <c r="AH353"/>
  <c r="AE353"/>
  <c r="W353"/>
  <c r="S353"/>
  <c r="Y353" s="1"/>
  <c r="AH352"/>
  <c r="AE352"/>
  <c r="W352"/>
  <c r="S352"/>
  <c r="Y352" s="1"/>
  <c r="AH351"/>
  <c r="AE351"/>
  <c r="W351"/>
  <c r="S351"/>
  <c r="Y351" s="1"/>
  <c r="AH350"/>
  <c r="AE350"/>
  <c r="W350"/>
  <c r="S350"/>
  <c r="Y350" s="1"/>
  <c r="AH349"/>
  <c r="AE349"/>
  <c r="W349"/>
  <c r="S349"/>
  <c r="Y349" s="1"/>
  <c r="AH348"/>
  <c r="AE348"/>
  <c r="W348"/>
  <c r="S348"/>
  <c r="Y348" s="1"/>
  <c r="AH347"/>
  <c r="AE347"/>
  <c r="W347"/>
  <c r="S347"/>
  <c r="Y347" s="1"/>
  <c r="AH346"/>
  <c r="AE346"/>
  <c r="W346"/>
  <c r="S346"/>
  <c r="Y346" s="1"/>
  <c r="AH345"/>
  <c r="AE345"/>
  <c r="W345"/>
  <c r="S345"/>
  <c r="Y345" s="1"/>
  <c r="AH344"/>
  <c r="AE344"/>
  <c r="W344"/>
  <c r="S344"/>
  <c r="Y344" s="1"/>
  <c r="AH343"/>
  <c r="AE343"/>
  <c r="W343"/>
  <c r="S343"/>
  <c r="Y343" s="1"/>
  <c r="AH342"/>
  <c r="AE342"/>
  <c r="W342"/>
  <c r="S342"/>
  <c r="Y342" s="1"/>
  <c r="AH341"/>
  <c r="AE341"/>
  <c r="W341"/>
  <c r="S341"/>
  <c r="Y341" s="1"/>
  <c r="AH340"/>
  <c r="AE340"/>
  <c r="W340"/>
  <c r="S340"/>
  <c r="Y340" s="1"/>
  <c r="AH339"/>
  <c r="AE339"/>
  <c r="W339"/>
  <c r="S339"/>
  <c r="Y339" s="1"/>
  <c r="AH338"/>
  <c r="AE338"/>
  <c r="W338"/>
  <c r="S338"/>
  <c r="Y338" s="1"/>
  <c r="AE337"/>
  <c r="AB337"/>
  <c r="W337"/>
  <c r="S337"/>
  <c r="Y337" s="1"/>
  <c r="AE336"/>
  <c r="AB336"/>
  <c r="W336"/>
  <c r="S336"/>
  <c r="Y336" s="1"/>
  <c r="AE335"/>
  <c r="AB335"/>
  <c r="W335"/>
  <c r="S335"/>
  <c r="Y335" s="1"/>
  <c r="AE334"/>
  <c r="AB334"/>
  <c r="W334"/>
  <c r="S334"/>
  <c r="Y334" s="1"/>
  <c r="AE333"/>
  <c r="AB333"/>
  <c r="W333"/>
  <c r="S333"/>
  <c r="Y333" s="1"/>
  <c r="AE332"/>
  <c r="AB332"/>
  <c r="W332"/>
  <c r="S332"/>
  <c r="Y332" s="1"/>
  <c r="AE331"/>
  <c r="AB331"/>
  <c r="W331"/>
  <c r="S331"/>
  <c r="Y331" s="1"/>
  <c r="AE330"/>
  <c r="AB330"/>
  <c r="W330"/>
  <c r="S330"/>
  <c r="Y330" s="1"/>
  <c r="AE329"/>
  <c r="AB329"/>
  <c r="W329"/>
  <c r="S329"/>
  <c r="Y329" s="1"/>
  <c r="AE328"/>
  <c r="AB328"/>
  <c r="W328"/>
  <c r="S328"/>
  <c r="Y328" s="1"/>
  <c r="AE327"/>
  <c r="AB327"/>
  <c r="W327"/>
  <c r="S327"/>
  <c r="Y327" s="1"/>
  <c r="AE326"/>
  <c r="AB326"/>
  <c r="W326"/>
  <c r="S326"/>
  <c r="Y326" s="1"/>
  <c r="AE325"/>
  <c r="AB325"/>
  <c r="W325"/>
  <c r="S325"/>
  <c r="Y325" s="1"/>
  <c r="AE324"/>
  <c r="AB324"/>
  <c r="W324"/>
  <c r="S324"/>
  <c r="Y324" s="1"/>
  <c r="AE323"/>
  <c r="AB323"/>
  <c r="W323"/>
  <c r="S323"/>
  <c r="Y323" s="1"/>
  <c r="AE322"/>
  <c r="AB322"/>
  <c r="W322"/>
  <c r="S322"/>
  <c r="Y322" s="1"/>
  <c r="AE321"/>
  <c r="AB321"/>
  <c r="W321"/>
  <c r="S321"/>
  <c r="Y321" s="1"/>
  <c r="AE320"/>
  <c r="AB320"/>
  <c r="W320"/>
  <c r="S320"/>
  <c r="Y320" s="1"/>
  <c r="AE319"/>
  <c r="AB319"/>
  <c r="W319"/>
  <c r="S319"/>
  <c r="Y319" s="1"/>
  <c r="AE318"/>
  <c r="AB318"/>
  <c r="W318"/>
  <c r="S318"/>
  <c r="Y318" s="1"/>
  <c r="AE317"/>
  <c r="AB317"/>
  <c r="W317"/>
  <c r="S317"/>
  <c r="Y317" s="1"/>
  <c r="AE316"/>
  <c r="AB316"/>
  <c r="W316"/>
  <c r="S316"/>
  <c r="Y316" s="1"/>
  <c r="AE315"/>
  <c r="AB315"/>
  <c r="W315"/>
  <c r="S315"/>
  <c r="Y315" s="1"/>
  <c r="AE314"/>
  <c r="AB314"/>
  <c r="W314"/>
  <c r="S314"/>
  <c r="Y314" s="1"/>
  <c r="AE313"/>
  <c r="AB313"/>
  <c r="W313"/>
  <c r="S313"/>
  <c r="Y313" s="1"/>
  <c r="AE312"/>
  <c r="AB312"/>
  <c r="W312"/>
  <c r="S312"/>
  <c r="Y312" s="1"/>
  <c r="AE311"/>
  <c r="AB311"/>
  <c r="W311"/>
  <c r="S311"/>
  <c r="Y311" s="1"/>
  <c r="AE310"/>
  <c r="AB310"/>
  <c r="W310"/>
  <c r="S310"/>
  <c r="Y310" s="1"/>
  <c r="AE309"/>
  <c r="AB309"/>
  <c r="W309"/>
  <c r="S309"/>
  <c r="Y309" s="1"/>
  <c r="AE308"/>
  <c r="AB308"/>
  <c r="W308"/>
  <c r="S308"/>
  <c r="Y308" s="1"/>
  <c r="AE307"/>
  <c r="AB307"/>
  <c r="W307"/>
  <c r="S307"/>
  <c r="Y307" s="1"/>
  <c r="AE306"/>
  <c r="AB306"/>
  <c r="W306"/>
  <c r="S306"/>
  <c r="Y306" s="1"/>
  <c r="AE305"/>
  <c r="AB305"/>
  <c r="W305"/>
  <c r="S305"/>
  <c r="Y305" s="1"/>
  <c r="AE304"/>
  <c r="AB304"/>
  <c r="W304"/>
  <c r="S304"/>
  <c r="Y304" s="1"/>
  <c r="AE303"/>
  <c r="AB303"/>
  <c r="W303"/>
  <c r="S303"/>
  <c r="Y303" s="1"/>
  <c r="AE302"/>
  <c r="AB302"/>
  <c r="W302"/>
  <c r="S302"/>
  <c r="Y302" s="1"/>
  <c r="AE301"/>
  <c r="AB301"/>
  <c r="W301"/>
  <c r="S301"/>
  <c r="Y301" s="1"/>
  <c r="AE300"/>
  <c r="AB300"/>
  <c r="W300"/>
  <c r="S300"/>
  <c r="Y300" s="1"/>
  <c r="AE299"/>
  <c r="AB299"/>
  <c r="W299"/>
  <c r="S299"/>
  <c r="Y299" s="1"/>
  <c r="AE298"/>
  <c r="AB298"/>
  <c r="W298"/>
  <c r="S298"/>
  <c r="Y298" s="1"/>
  <c r="AE297"/>
  <c r="AB297"/>
  <c r="W297"/>
  <c r="S297"/>
  <c r="Y297" s="1"/>
  <c r="AE296"/>
  <c r="AB296"/>
  <c r="W296"/>
  <c r="S296"/>
  <c r="Y296" s="1"/>
  <c r="AE295"/>
  <c r="AB295"/>
  <c r="W295"/>
  <c r="S295"/>
  <c r="Y295" s="1"/>
  <c r="AE294"/>
  <c r="AB294"/>
  <c r="W294"/>
  <c r="S294"/>
  <c r="Y294" s="1"/>
  <c r="AE293"/>
  <c r="AB293"/>
  <c r="W293"/>
  <c r="S293"/>
  <c r="Y293" s="1"/>
  <c r="AE292"/>
  <c r="AB292"/>
  <c r="W292"/>
  <c r="S292"/>
  <c r="Y292" s="1"/>
  <c r="AE291"/>
  <c r="AB291"/>
  <c r="W291"/>
  <c r="S291"/>
  <c r="Y291" s="1"/>
  <c r="AE290"/>
  <c r="AB290"/>
  <c r="W290"/>
  <c r="S290"/>
  <c r="Y290" s="1"/>
  <c r="AE289"/>
  <c r="AB289"/>
  <c r="W289"/>
  <c r="S289"/>
  <c r="Y289" s="1"/>
  <c r="AE288"/>
  <c r="AB288"/>
  <c r="W288"/>
  <c r="S288"/>
  <c r="Y288" s="1"/>
  <c r="AE287"/>
  <c r="AB287"/>
  <c r="W287"/>
  <c r="S287"/>
  <c r="Y287" s="1"/>
  <c r="AE286"/>
  <c r="AB286"/>
  <c r="W286"/>
  <c r="S286"/>
  <c r="Y286" s="1"/>
  <c r="AE285"/>
  <c r="AB285"/>
  <c r="W285"/>
  <c r="S285"/>
  <c r="Y285" s="1"/>
  <c r="AE284"/>
  <c r="AB284"/>
  <c r="W284"/>
  <c r="S284"/>
  <c r="Y284" s="1"/>
  <c r="AE283"/>
  <c r="AB283"/>
  <c r="W283"/>
  <c r="S283"/>
  <c r="Y283" s="1"/>
  <c r="AH282"/>
  <c r="AE282"/>
  <c r="W282"/>
  <c r="S282"/>
  <c r="Y282" s="1"/>
  <c r="AH281"/>
  <c r="AE281"/>
  <c r="W281"/>
  <c r="S281"/>
  <c r="Y281" s="1"/>
  <c r="AE280"/>
  <c r="AB280"/>
  <c r="W280"/>
  <c r="S280"/>
  <c r="Y280" s="1"/>
  <c r="AH279"/>
  <c r="AE279"/>
  <c r="W279"/>
  <c r="S279"/>
  <c r="Y279" s="1"/>
  <c r="AH278"/>
  <c r="AE278"/>
  <c r="W278"/>
  <c r="S278"/>
  <c r="Y278" s="1"/>
  <c r="AH277"/>
  <c r="AE277"/>
  <c r="W277"/>
  <c r="S277"/>
  <c r="Y277" s="1"/>
  <c r="AH276"/>
  <c r="AE276"/>
  <c r="W276"/>
  <c r="S276"/>
  <c r="Y276" s="1"/>
  <c r="AH275"/>
  <c r="AE275"/>
  <c r="W275"/>
  <c r="S275"/>
  <c r="Y275" s="1"/>
  <c r="AH274"/>
  <c r="AE274"/>
  <c r="W274"/>
  <c r="S274"/>
  <c r="Y274" s="1"/>
  <c r="AH273"/>
  <c r="AE273"/>
  <c r="W273"/>
  <c r="S273"/>
  <c r="Y273" s="1"/>
  <c r="AH272"/>
  <c r="AB272"/>
  <c r="W272"/>
  <c r="S272"/>
  <c r="Y272" s="1"/>
  <c r="AH271"/>
  <c r="AB271"/>
  <c r="W271"/>
  <c r="S271"/>
  <c r="Y271" s="1"/>
  <c r="AH270"/>
  <c r="AB270"/>
  <c r="W270"/>
  <c r="S270"/>
  <c r="Y270" s="1"/>
  <c r="AH269"/>
  <c r="AB269"/>
  <c r="W269"/>
  <c r="S269"/>
  <c r="Y269" s="1"/>
  <c r="AH268"/>
  <c r="AB268"/>
  <c r="W268"/>
  <c r="S268"/>
  <c r="Y268" s="1"/>
  <c r="AH267"/>
  <c r="AB267"/>
  <c r="W267"/>
  <c r="S267"/>
  <c r="Y267" s="1"/>
  <c r="AH266"/>
  <c r="AB266"/>
  <c r="W266"/>
  <c r="S266"/>
  <c r="Y266" s="1"/>
  <c r="AH265"/>
  <c r="AB265"/>
  <c r="W265"/>
  <c r="S265"/>
  <c r="Y265" s="1"/>
  <c r="AH264"/>
  <c r="AB264"/>
  <c r="W264"/>
  <c r="S264"/>
  <c r="Y264" s="1"/>
  <c r="AH263"/>
  <c r="AB263"/>
  <c r="W263"/>
  <c r="S263"/>
  <c r="Y263" s="1"/>
  <c r="AH262"/>
  <c r="AB262"/>
  <c r="W262"/>
  <c r="S262"/>
  <c r="Y262" s="1"/>
  <c r="AH261"/>
  <c r="AB261"/>
  <c r="W261"/>
  <c r="S261"/>
  <c r="Y261" s="1"/>
  <c r="AH260"/>
  <c r="AB260"/>
  <c r="W260"/>
  <c r="S260"/>
  <c r="Y260" s="1"/>
  <c r="AE259"/>
  <c r="AB259"/>
  <c r="W259"/>
  <c r="S259"/>
  <c r="Y259" s="1"/>
  <c r="AH258"/>
  <c r="AB258"/>
  <c r="W258"/>
  <c r="S258"/>
  <c r="Y258" s="1"/>
  <c r="AE257"/>
  <c r="AB257"/>
  <c r="W257"/>
  <c r="S257"/>
  <c r="Y257" s="1"/>
  <c r="AH256"/>
  <c r="AB256"/>
  <c r="W256"/>
  <c r="S256"/>
  <c r="Y256" s="1"/>
  <c r="AE255"/>
  <c r="AB255"/>
  <c r="W255"/>
  <c r="S255"/>
  <c r="Y255" s="1"/>
  <c r="AH254"/>
  <c r="AB254"/>
  <c r="W254"/>
  <c r="S254"/>
  <c r="Y254" s="1"/>
  <c r="AE253"/>
  <c r="AB253"/>
  <c r="W253"/>
  <c r="S253"/>
  <c r="Y253" s="1"/>
  <c r="AH252"/>
  <c r="AB252"/>
  <c r="W252"/>
  <c r="S252"/>
  <c r="Y252" s="1"/>
  <c r="AH251"/>
  <c r="AB251"/>
  <c r="W251"/>
  <c r="S251"/>
  <c r="Y251" s="1"/>
  <c r="AH250"/>
  <c r="AB250"/>
  <c r="W250"/>
  <c r="S250"/>
  <c r="Y250" s="1"/>
  <c r="AH249"/>
  <c r="AB249"/>
  <c r="W249"/>
  <c r="S249"/>
  <c r="Y249" s="1"/>
  <c r="AH248"/>
  <c r="AB248"/>
  <c r="W248"/>
  <c r="S248"/>
  <c r="Y248" s="1"/>
  <c r="AH247"/>
  <c r="AB247"/>
  <c r="W247"/>
  <c r="S247"/>
  <c r="Y247" s="1"/>
  <c r="AH246"/>
  <c r="AB246"/>
  <c r="W246"/>
  <c r="S246"/>
  <c r="Y246" s="1"/>
  <c r="AH245"/>
  <c r="AB245"/>
  <c r="W245"/>
  <c r="S245"/>
  <c r="Y245" s="1"/>
  <c r="AH244"/>
  <c r="AB244"/>
  <c r="W244"/>
  <c r="S244"/>
  <c r="Y244" s="1"/>
  <c r="AH243"/>
  <c r="AB243"/>
  <c r="W243"/>
  <c r="S243"/>
  <c r="Y243" s="1"/>
  <c r="AH242"/>
  <c r="AB242"/>
  <c r="W242"/>
  <c r="S242"/>
  <c r="Y242" s="1"/>
  <c r="AH241"/>
  <c r="AB241"/>
  <c r="W241"/>
  <c r="S241"/>
  <c r="Y241" s="1"/>
  <c r="AH240"/>
  <c r="AB240"/>
  <c r="W240"/>
  <c r="S240"/>
  <c r="Y240" s="1"/>
  <c r="AH239"/>
  <c r="AB239"/>
  <c r="W239"/>
  <c r="S239"/>
  <c r="Y239" s="1"/>
  <c r="AH238"/>
  <c r="AB238"/>
  <c r="W238"/>
  <c r="S238"/>
  <c r="Y238" s="1"/>
  <c r="AH237"/>
  <c r="AB237"/>
  <c r="W237"/>
  <c r="S237"/>
  <c r="Y237" s="1"/>
  <c r="AH236"/>
  <c r="AB236"/>
  <c r="W236"/>
  <c r="S236"/>
  <c r="Y236" s="1"/>
  <c r="AH235"/>
  <c r="AB235"/>
  <c r="W235"/>
  <c r="S235"/>
  <c r="Y235" s="1"/>
  <c r="AH234"/>
  <c r="AB234"/>
  <c r="W234"/>
  <c r="S234"/>
  <c r="Y234" s="1"/>
  <c r="AE233"/>
  <c r="AB233"/>
  <c r="W233"/>
  <c r="S233"/>
  <c r="Y233" s="1"/>
  <c r="AE232"/>
  <c r="AB232"/>
  <c r="W232"/>
  <c r="S232"/>
  <c r="Y232" s="1"/>
  <c r="AE231"/>
  <c r="AB231"/>
  <c r="W231"/>
  <c r="S231"/>
  <c r="Y231" s="1"/>
  <c r="AE230"/>
  <c r="AB230"/>
  <c r="W230"/>
  <c r="S230"/>
  <c r="Y230" s="1"/>
  <c r="AH229"/>
  <c r="AB229"/>
  <c r="W229"/>
  <c r="S229"/>
  <c r="Y229" s="1"/>
  <c r="BE228"/>
  <c r="BB228"/>
  <c r="AC228"/>
  <c r="AA228"/>
  <c r="Z228"/>
  <c r="X228"/>
  <c r="BE227"/>
  <c r="BB227"/>
  <c r="AC227"/>
  <c r="AA227"/>
  <c r="Z227"/>
  <c r="X227"/>
  <c r="BE226"/>
  <c r="BB226"/>
  <c r="AC226"/>
  <c r="AA226"/>
  <c r="Z226"/>
  <c r="X226"/>
  <c r="BE225"/>
  <c r="BB225"/>
  <c r="AC225"/>
  <c r="AA225"/>
  <c r="Z225"/>
  <c r="X225"/>
  <c r="BE224"/>
  <c r="BB224"/>
  <c r="AC224"/>
  <c r="AA224"/>
  <c r="Z224"/>
  <c r="X224"/>
  <c r="BE223"/>
  <c r="BB223"/>
  <c r="AC223"/>
  <c r="AA223"/>
  <c r="Z223"/>
  <c r="X223"/>
  <c r="BE222"/>
  <c r="BB222"/>
  <c r="AC222"/>
  <c r="AA222"/>
  <c r="Z222"/>
  <c r="X222"/>
  <c r="BE221"/>
  <c r="BB221"/>
  <c r="AC221"/>
  <c r="AA221"/>
  <c r="Z221"/>
  <c r="X221"/>
  <c r="BE220"/>
  <c r="BB220"/>
  <c r="AC220"/>
  <c r="AA220"/>
  <c r="Z220"/>
  <c r="X220"/>
  <c r="BE219"/>
  <c r="BB219"/>
  <c r="AC219"/>
  <c r="AA219"/>
  <c r="Z219"/>
  <c r="X219"/>
  <c r="BE218"/>
  <c r="BB218"/>
  <c r="AC218"/>
  <c r="AA218"/>
  <c r="Z218"/>
  <c r="X218"/>
  <c r="BE217"/>
  <c r="BB217"/>
  <c r="AC217"/>
  <c r="AA217"/>
  <c r="Z217"/>
  <c r="X217"/>
  <c r="BE216"/>
  <c r="BB216"/>
  <c r="AC216"/>
  <c r="AA216"/>
  <c r="Z216"/>
  <c r="X216"/>
  <c r="BE215"/>
  <c r="BB215"/>
  <c r="AC215"/>
  <c r="AA215"/>
  <c r="Z215"/>
  <c r="X215"/>
  <c r="BE214"/>
  <c r="BB214"/>
  <c r="AC214"/>
  <c r="AA214"/>
  <c r="Z214"/>
  <c r="X214"/>
  <c r="BE213"/>
  <c r="BB213"/>
  <c r="AC213"/>
  <c r="AA213"/>
  <c r="Z213"/>
  <c r="X213"/>
  <c r="BE212"/>
  <c r="BB212"/>
  <c r="AC212"/>
  <c r="AA212"/>
  <c r="Z212"/>
  <c r="X212"/>
  <c r="BE211"/>
  <c r="BB211"/>
  <c r="AC211"/>
  <c r="AA211"/>
  <c r="Z211"/>
  <c r="X211"/>
  <c r="BE210"/>
  <c r="BB210"/>
  <c r="AC210"/>
  <c r="AA210"/>
  <c r="Z210"/>
  <c r="X210"/>
  <c r="BE209"/>
  <c r="BB209"/>
  <c r="AC209"/>
  <c r="AA209"/>
  <c r="Z209"/>
  <c r="X209"/>
  <c r="BE208"/>
  <c r="BB208"/>
  <c r="AC208"/>
  <c r="AA208"/>
  <c r="Z208"/>
  <c r="X208"/>
  <c r="BE207"/>
  <c r="BB207"/>
  <c r="AC207"/>
  <c r="AA207"/>
  <c r="Z207"/>
  <c r="X207"/>
  <c r="BE206"/>
  <c r="BB206"/>
  <c r="AB206"/>
  <c r="Y206"/>
  <c r="BE205"/>
  <c r="BB205"/>
  <c r="AB205"/>
  <c r="Y205"/>
  <c r="BE204"/>
  <c r="BB204"/>
  <c r="AB204"/>
  <c r="Y204"/>
  <c r="BE203"/>
  <c r="BD203"/>
  <c r="Y203"/>
  <c r="W203"/>
  <c r="BE202"/>
  <c r="BD202"/>
  <c r="Y202"/>
  <c r="W202"/>
  <c r="BE201"/>
  <c r="BD201"/>
  <c r="Y201"/>
  <c r="W201"/>
  <c r="BE200"/>
  <c r="BD200"/>
  <c r="Y200"/>
  <c r="W200"/>
  <c r="BE199"/>
  <c r="BD199"/>
  <c r="Y199"/>
  <c r="W199"/>
  <c r="BE198"/>
  <c r="BD198"/>
  <c r="Y198"/>
  <c r="W198"/>
  <c r="BB197"/>
  <c r="AE197"/>
  <c r="AB197"/>
  <c r="Y197"/>
  <c r="AE196"/>
  <c r="AB196"/>
  <c r="Y196"/>
  <c r="W196"/>
  <c r="AE195"/>
  <c r="AB195"/>
  <c r="Y195"/>
  <c r="W195"/>
  <c r="AE194"/>
  <c r="AB194"/>
  <c r="Y194"/>
  <c r="W194"/>
  <c r="AE193"/>
  <c r="AB193"/>
  <c r="Y193"/>
  <c r="W193"/>
  <c r="BB192"/>
  <c r="AE192"/>
  <c r="AB192"/>
  <c r="Y192"/>
  <c r="BB191"/>
  <c r="AE191"/>
  <c r="AB191"/>
  <c r="Y191"/>
  <c r="BB190"/>
  <c r="AE190"/>
  <c r="AB190"/>
  <c r="Y190"/>
  <c r="BB189"/>
  <c r="AE189"/>
  <c r="AB189"/>
  <c r="Y189"/>
  <c r="BB188"/>
  <c r="AE188"/>
  <c r="AB188"/>
  <c r="Y188"/>
  <c r="BE187"/>
  <c r="AB187"/>
  <c r="Y187"/>
  <c r="W187"/>
  <c r="BE186"/>
  <c r="AB186"/>
  <c r="Y186"/>
  <c r="W186"/>
  <c r="BE185"/>
  <c r="AB185"/>
  <c r="Y185"/>
  <c r="W185"/>
  <c r="BE184"/>
  <c r="AB184"/>
  <c r="Y184"/>
  <c r="W184"/>
  <c r="BE183"/>
  <c r="AB183"/>
  <c r="Y183"/>
  <c r="W183"/>
  <c r="BE182"/>
  <c r="AB182"/>
  <c r="Y182"/>
  <c r="W182"/>
  <c r="BE181"/>
  <c r="AB181"/>
  <c r="Y181"/>
  <c r="W181"/>
  <c r="AE180"/>
  <c r="AB180"/>
  <c r="Y180"/>
  <c r="W180"/>
  <c r="AE179"/>
  <c r="AB179"/>
  <c r="Y179"/>
  <c r="W179"/>
  <c r="AE178"/>
  <c r="AB178"/>
  <c r="Y178"/>
  <c r="W178"/>
  <c r="BB177"/>
  <c r="AE177"/>
  <c r="AB177"/>
  <c r="Y177"/>
  <c r="BB176"/>
  <c r="AE176"/>
  <c r="AB176"/>
  <c r="Y176"/>
  <c r="BB175"/>
  <c r="AE175"/>
  <c r="AB175"/>
  <c r="Y175"/>
  <c r="BB174"/>
  <c r="AE174"/>
  <c r="AB174"/>
  <c r="Y174"/>
  <c r="BB173"/>
  <c r="AE173"/>
  <c r="AB173"/>
  <c r="Y173"/>
  <c r="BE172"/>
  <c r="AB172"/>
  <c r="Y172"/>
  <c r="W172"/>
  <c r="BE171"/>
  <c r="AB171"/>
  <c r="Y171"/>
  <c r="W171"/>
  <c r="BE170"/>
  <c r="AB170"/>
  <c r="Y170"/>
  <c r="W170"/>
  <c r="BE169"/>
  <c r="AB169"/>
  <c r="Y169"/>
  <c r="W169"/>
  <c r="BE168"/>
  <c r="AB168"/>
  <c r="Y168"/>
  <c r="W168"/>
  <c r="BE167"/>
  <c r="AB167"/>
  <c r="Y167"/>
  <c r="W167"/>
  <c r="BE166"/>
  <c r="BD166"/>
  <c r="Y166"/>
  <c r="W166"/>
  <c r="BE165"/>
  <c r="BD165"/>
  <c r="Y165"/>
  <c r="W165"/>
  <c r="BE164"/>
  <c r="BD164"/>
  <c r="Y164"/>
  <c r="W164"/>
  <c r="BE163"/>
  <c r="BD163"/>
  <c r="Y163"/>
  <c r="W163"/>
  <c r="AE162"/>
  <c r="AB162"/>
  <c r="Y162"/>
  <c r="W162"/>
  <c r="BE161"/>
  <c r="AB161"/>
  <c r="Y161"/>
  <c r="W161"/>
  <c r="BE160"/>
  <c r="BD160"/>
  <c r="Y160"/>
  <c r="W160"/>
  <c r="BE159"/>
  <c r="BB159"/>
  <c r="AB159"/>
  <c r="Y159"/>
  <c r="BE158"/>
  <c r="BB158"/>
  <c r="AB158"/>
  <c r="Y158"/>
  <c r="AE157"/>
  <c r="AB157"/>
  <c r="Y157"/>
  <c r="W157"/>
  <c r="U157"/>
  <c r="T157"/>
  <c r="S157"/>
  <c r="R157"/>
  <c r="AE156"/>
  <c r="AB156"/>
  <c r="Y156"/>
  <c r="W156"/>
  <c r="U156"/>
  <c r="T156"/>
  <c r="S156"/>
  <c r="R156"/>
  <c r="AE155"/>
  <c r="AB155"/>
  <c r="Y155"/>
  <c r="W155"/>
  <c r="U155"/>
  <c r="T155"/>
  <c r="S155"/>
  <c r="R155"/>
  <c r="AE154"/>
  <c r="AB154"/>
  <c r="Y154"/>
  <c r="W154"/>
  <c r="U154"/>
  <c r="T154"/>
  <c r="S154"/>
  <c r="R154"/>
  <c r="AE153"/>
  <c r="AB153"/>
  <c r="Y153"/>
  <c r="W153"/>
  <c r="U153"/>
  <c r="T153"/>
  <c r="S153"/>
  <c r="R153"/>
  <c r="AE152"/>
  <c r="AB152"/>
  <c r="Y152"/>
  <c r="W152"/>
  <c r="U152"/>
  <c r="T152"/>
  <c r="S152"/>
  <c r="R152"/>
  <c r="AE151"/>
  <c r="AB151"/>
  <c r="Y151"/>
  <c r="W151"/>
  <c r="U151"/>
  <c r="T151"/>
  <c r="S151"/>
  <c r="R151"/>
  <c r="AE150"/>
  <c r="AB150"/>
  <c r="Y150"/>
  <c r="W150"/>
  <c r="U150"/>
  <c r="T150"/>
  <c r="S150"/>
  <c r="R150"/>
  <c r="AE149"/>
  <c r="AB149"/>
  <c r="Y149"/>
  <c r="W149"/>
  <c r="U149"/>
  <c r="T149"/>
  <c r="S149"/>
  <c r="R149"/>
  <c r="AE148"/>
  <c r="AB148"/>
  <c r="Y148"/>
  <c r="W148"/>
  <c r="U148"/>
  <c r="T148"/>
  <c r="S148"/>
  <c r="R148"/>
  <c r="AE147"/>
  <c r="AB147"/>
  <c r="Y147"/>
  <c r="W147"/>
  <c r="U147"/>
  <c r="T147"/>
  <c r="S147"/>
  <c r="R147"/>
  <c r="AE146"/>
  <c r="AB146"/>
  <c r="Y146"/>
  <c r="W146"/>
  <c r="U146"/>
  <c r="T146"/>
  <c r="S146"/>
  <c r="R146"/>
  <c r="AB145"/>
  <c r="Y145"/>
  <c r="W145"/>
  <c r="U145"/>
  <c r="T145"/>
  <c r="S145"/>
  <c r="R145"/>
  <c r="AB144"/>
  <c r="Y144"/>
  <c r="W144"/>
  <c r="U144"/>
  <c r="T144"/>
  <c r="S144"/>
  <c r="R144"/>
  <c r="AB143"/>
  <c r="Y143"/>
  <c r="W143"/>
  <c r="U143"/>
  <c r="T143"/>
  <c r="S143"/>
  <c r="R143"/>
  <c r="AE142"/>
  <c r="AB142"/>
  <c r="Y142"/>
  <c r="W142"/>
  <c r="U142"/>
  <c r="T142"/>
  <c r="S142"/>
  <c r="R142"/>
  <c r="AE141"/>
  <c r="AB141"/>
  <c r="Y141"/>
  <c r="W141"/>
  <c r="U141"/>
  <c r="T141"/>
  <c r="S141"/>
  <c r="R141"/>
  <c r="AE140"/>
  <c r="AB140"/>
  <c r="Y140"/>
  <c r="W140"/>
  <c r="U140"/>
  <c r="T140"/>
  <c r="S140"/>
  <c r="R140"/>
  <c r="AE139"/>
  <c r="AB139"/>
  <c r="Y139"/>
  <c r="W139"/>
  <c r="U139"/>
  <c r="T139"/>
  <c r="S139"/>
  <c r="R139"/>
  <c r="AE138"/>
  <c r="AB138"/>
  <c r="Y138"/>
  <c r="W138"/>
  <c r="U138"/>
  <c r="T138"/>
  <c r="S138"/>
  <c r="R138"/>
  <c r="AE137"/>
  <c r="AB137"/>
  <c r="Y137"/>
  <c r="W137"/>
  <c r="U137"/>
  <c r="T137"/>
  <c r="S137"/>
  <c r="R137"/>
  <c r="AB136"/>
  <c r="Y136"/>
  <c r="W136"/>
  <c r="U136"/>
  <c r="T136"/>
  <c r="S136"/>
  <c r="R136"/>
  <c r="AB135"/>
  <c r="Y135"/>
  <c r="W135"/>
  <c r="U135"/>
  <c r="T135"/>
  <c r="S135"/>
  <c r="R135"/>
  <c r="AB134"/>
  <c r="Y134"/>
  <c r="W134"/>
  <c r="U134"/>
  <c r="T134"/>
  <c r="S134"/>
  <c r="R134"/>
  <c r="AB133"/>
  <c r="Y133"/>
  <c r="U133"/>
  <c r="T133"/>
  <c r="S133"/>
  <c r="R133"/>
  <c r="AB132"/>
  <c r="Y132"/>
  <c r="U132"/>
  <c r="T132"/>
  <c r="S132"/>
  <c r="R132"/>
  <c r="AB131"/>
  <c r="Y131"/>
  <c r="U131"/>
  <c r="T131"/>
  <c r="S131"/>
  <c r="R131"/>
  <c r="AE130"/>
  <c r="AB130"/>
  <c r="Y130"/>
  <c r="W130"/>
  <c r="AE129"/>
  <c r="AB129"/>
  <c r="Y129"/>
  <c r="W129"/>
  <c r="AE128"/>
  <c r="AB128"/>
  <c r="Y128"/>
  <c r="W128"/>
  <c r="AE127"/>
  <c r="W127"/>
  <c r="AE126"/>
  <c r="AB126"/>
  <c r="Y126"/>
  <c r="W126"/>
  <c r="AE125"/>
  <c r="AB125"/>
  <c r="Y125"/>
  <c r="W125"/>
  <c r="U125"/>
  <c r="T125"/>
  <c r="S125"/>
  <c r="R125"/>
  <c r="AE124"/>
  <c r="AB124"/>
  <c r="Y124"/>
  <c r="W124"/>
  <c r="U124"/>
  <c r="T124"/>
  <c r="S124"/>
  <c r="R124"/>
  <c r="AE123"/>
  <c r="AB123"/>
  <c r="Y123"/>
  <c r="W123"/>
  <c r="AE122"/>
  <c r="AB122"/>
  <c r="Y122"/>
  <c r="W122"/>
  <c r="AE121"/>
  <c r="AB121"/>
  <c r="Y121"/>
  <c r="W121"/>
  <c r="AE120"/>
  <c r="AB120"/>
  <c r="W120"/>
  <c r="AE119"/>
  <c r="AB119"/>
  <c r="W119"/>
  <c r="AE118"/>
  <c r="AB118"/>
  <c r="W118"/>
  <c r="AE117"/>
  <c r="AB117"/>
  <c r="W117"/>
  <c r="AE116"/>
  <c r="AB116"/>
  <c r="W116"/>
  <c r="AE115"/>
  <c r="AB115"/>
  <c r="W115"/>
  <c r="AE114"/>
  <c r="AB114"/>
  <c r="W114"/>
  <c r="AE113"/>
  <c r="AB113"/>
  <c r="W113"/>
  <c r="AE112"/>
  <c r="AB112"/>
  <c r="W112"/>
  <c r="AE111"/>
  <c r="AB111"/>
  <c r="W111"/>
  <c r="AE110"/>
  <c r="AB110"/>
  <c r="Y110"/>
  <c r="W110"/>
  <c r="AE109"/>
  <c r="AB109"/>
  <c r="Y109"/>
  <c r="W109"/>
  <c r="AE108"/>
  <c r="AB108"/>
  <c r="W108"/>
  <c r="AE107"/>
  <c r="AB107"/>
  <c r="W107"/>
  <c r="AE106"/>
  <c r="AB106"/>
  <c r="W106"/>
  <c r="AE105"/>
  <c r="AB105"/>
  <c r="Y105"/>
  <c r="W105"/>
  <c r="AE104"/>
  <c r="AB104"/>
  <c r="W104"/>
  <c r="AE103"/>
  <c r="AB103"/>
  <c r="Y103"/>
  <c r="W103"/>
  <c r="AE102"/>
  <c r="AB102"/>
  <c r="Y102"/>
  <c r="W102"/>
  <c r="AE101"/>
  <c r="AB101"/>
  <c r="W101"/>
  <c r="AE100"/>
  <c r="AB100"/>
  <c r="W100"/>
  <c r="AE99"/>
  <c r="AB99"/>
  <c r="W99"/>
  <c r="AE98"/>
  <c r="AB98"/>
  <c r="W98"/>
  <c r="AE97"/>
  <c r="AB97"/>
  <c r="W97"/>
  <c r="AE96"/>
  <c r="AB96"/>
  <c r="W96"/>
  <c r="AE95"/>
  <c r="AB95"/>
  <c r="W95"/>
  <c r="AE94"/>
  <c r="AB94"/>
  <c r="Y94"/>
  <c r="W94"/>
  <c r="AE93"/>
  <c r="AB93"/>
  <c r="W93"/>
  <c r="AE92"/>
  <c r="U92"/>
  <c r="T92"/>
  <c r="S92"/>
  <c r="R92"/>
  <c r="AE91"/>
  <c r="U91"/>
  <c r="T91"/>
  <c r="S91"/>
  <c r="R91"/>
  <c r="AE90"/>
  <c r="AB90"/>
  <c r="Y90"/>
  <c r="U90"/>
  <c r="T90"/>
  <c r="S90"/>
  <c r="R90"/>
  <c r="AE89"/>
  <c r="AB89"/>
  <c r="Y89"/>
  <c r="U89"/>
  <c r="T89"/>
  <c r="S89"/>
  <c r="R89"/>
  <c r="AE88"/>
  <c r="AB88"/>
  <c r="Y88"/>
  <c r="U88"/>
  <c r="T88"/>
  <c r="S88"/>
  <c r="R88"/>
  <c r="AD87"/>
  <c r="AB87"/>
  <c r="Y87"/>
  <c r="U87"/>
  <c r="T87"/>
  <c r="S87"/>
  <c r="R87"/>
  <c r="AE86"/>
  <c r="AB86"/>
  <c r="Y86"/>
  <c r="U86"/>
  <c r="T86"/>
  <c r="S86"/>
  <c r="R86"/>
  <c r="AE85"/>
  <c r="AB85"/>
  <c r="Y85"/>
  <c r="U85"/>
  <c r="T85"/>
  <c r="S85"/>
  <c r="R85"/>
  <c r="U84"/>
  <c r="T84"/>
  <c r="S84"/>
  <c r="R84"/>
  <c r="AE83"/>
  <c r="AB83"/>
  <c r="Y83"/>
  <c r="W83"/>
  <c r="U83"/>
  <c r="T83"/>
  <c r="S83"/>
  <c r="R83"/>
  <c r="AE82"/>
  <c r="AB82"/>
  <c r="Y82"/>
  <c r="W82"/>
  <c r="U82"/>
  <c r="T82"/>
  <c r="S82"/>
  <c r="R82"/>
  <c r="AE81"/>
  <c r="AB81"/>
  <c r="Y81"/>
  <c r="W81"/>
  <c r="U81"/>
  <c r="T81"/>
  <c r="S81"/>
  <c r="R81"/>
  <c r="U80"/>
  <c r="T80"/>
  <c r="S80"/>
  <c r="R80"/>
  <c r="AE79"/>
  <c r="AB79"/>
  <c r="Y79"/>
  <c r="W79"/>
  <c r="U79"/>
  <c r="T79"/>
  <c r="S79"/>
  <c r="R79"/>
  <c r="AB78"/>
  <c r="Y78"/>
  <c r="W78"/>
  <c r="U78"/>
  <c r="T78"/>
  <c r="S78"/>
  <c r="R78"/>
  <c r="AB77"/>
  <c r="Y77"/>
  <c r="W77"/>
  <c r="U77"/>
  <c r="T77"/>
  <c r="S77"/>
  <c r="R77"/>
  <c r="AB76"/>
  <c r="Y76"/>
  <c r="W76"/>
  <c r="U76"/>
  <c r="T76"/>
  <c r="S76"/>
  <c r="R76"/>
  <c r="AE75"/>
  <c r="AB75"/>
  <c r="Y75"/>
  <c r="W75"/>
  <c r="U75"/>
  <c r="T75"/>
  <c r="S75"/>
  <c r="R75"/>
  <c r="AE74"/>
  <c r="AB74"/>
  <c r="Y74"/>
  <c r="W74"/>
  <c r="U74"/>
  <c r="T74"/>
  <c r="S74"/>
  <c r="R74"/>
  <c r="AE73"/>
  <c r="AB73"/>
  <c r="Y73"/>
  <c r="W73"/>
  <c r="U73"/>
  <c r="T73"/>
  <c r="S73"/>
  <c r="R73"/>
  <c r="AE72"/>
  <c r="AB72"/>
  <c r="Y72"/>
  <c r="W72"/>
  <c r="U72"/>
  <c r="T72"/>
  <c r="S72"/>
  <c r="R72"/>
  <c r="AE71"/>
  <c r="AB71"/>
  <c r="Y71"/>
  <c r="W71"/>
  <c r="U71"/>
  <c r="T71"/>
  <c r="S71"/>
  <c r="R71"/>
  <c r="AE70"/>
  <c r="AB70"/>
  <c r="Y70"/>
  <c r="W70"/>
  <c r="U70"/>
  <c r="T70"/>
  <c r="S70"/>
  <c r="R70"/>
  <c r="AE69"/>
  <c r="AB69"/>
  <c r="Y69"/>
  <c r="W69"/>
  <c r="U69"/>
  <c r="T69"/>
  <c r="S69"/>
  <c r="R69"/>
  <c r="AB68"/>
  <c r="Y68"/>
  <c r="W68"/>
  <c r="U68"/>
  <c r="T68"/>
  <c r="S68"/>
  <c r="R68"/>
  <c r="AB67"/>
  <c r="Y67"/>
  <c r="W67"/>
  <c r="U67"/>
  <c r="T67"/>
  <c r="S67"/>
  <c r="R67"/>
  <c r="AE66"/>
  <c r="AB66"/>
  <c r="Y66"/>
  <c r="W66"/>
  <c r="U66"/>
  <c r="T66"/>
  <c r="S66"/>
  <c r="R66"/>
  <c r="AE65"/>
  <c r="AB65"/>
  <c r="Y65"/>
  <c r="U65"/>
  <c r="T65"/>
  <c r="S65"/>
  <c r="R65"/>
  <c r="U64"/>
  <c r="T64"/>
  <c r="S64"/>
  <c r="R64"/>
  <c r="AE63"/>
  <c r="AB63"/>
  <c r="Y63"/>
  <c r="U63"/>
  <c r="T63"/>
  <c r="S63"/>
  <c r="R63"/>
  <c r="AE62"/>
  <c r="AB62"/>
  <c r="Y62"/>
  <c r="W62"/>
  <c r="U62"/>
  <c r="T62"/>
  <c r="S62"/>
  <c r="R62"/>
  <c r="AE61"/>
  <c r="AB61"/>
  <c r="Y61"/>
  <c r="W61"/>
  <c r="U61"/>
  <c r="T61"/>
  <c r="S61"/>
  <c r="R61"/>
  <c r="AE60"/>
  <c r="AB60"/>
  <c r="Y60"/>
  <c r="U60"/>
  <c r="T60"/>
  <c r="S60"/>
  <c r="R60"/>
  <c r="AB59"/>
  <c r="Y59"/>
  <c r="U59"/>
  <c r="T59"/>
  <c r="S59"/>
  <c r="R59"/>
  <c r="AE58"/>
  <c r="AB58"/>
  <c r="Y58"/>
  <c r="W58"/>
  <c r="U58"/>
  <c r="T58"/>
  <c r="S58"/>
  <c r="R58"/>
  <c r="AE57"/>
  <c r="AB57"/>
  <c r="Y57"/>
  <c r="W57"/>
  <c r="U57"/>
  <c r="T57"/>
  <c r="S57"/>
  <c r="R57"/>
  <c r="AB56"/>
  <c r="Y56"/>
  <c r="W56"/>
  <c r="U56"/>
  <c r="T56"/>
  <c r="S56"/>
  <c r="R56"/>
  <c r="AE55"/>
  <c r="AB55"/>
  <c r="Y55"/>
  <c r="U55"/>
  <c r="T55"/>
  <c r="S55"/>
  <c r="R55"/>
  <c r="AE54"/>
  <c r="AB54"/>
  <c r="Y54"/>
  <c r="V54"/>
  <c r="U54"/>
  <c r="T54"/>
  <c r="S54"/>
  <c r="R54"/>
  <c r="AE53"/>
  <c r="AB53"/>
  <c r="W53"/>
  <c r="U53"/>
  <c r="T53"/>
  <c r="S53"/>
  <c r="R53"/>
  <c r="AF52"/>
  <c r="AD52"/>
  <c r="AC52"/>
  <c r="AA52"/>
  <c r="Y52"/>
  <c r="V52"/>
  <c r="U52"/>
  <c r="T52"/>
  <c r="S52"/>
  <c r="R52"/>
  <c r="AF51"/>
  <c r="AD51"/>
  <c r="AC51"/>
  <c r="AA51"/>
  <c r="Y51"/>
  <c r="V51"/>
  <c r="U51"/>
  <c r="T51"/>
  <c r="S51"/>
  <c r="R51"/>
  <c r="AF50"/>
  <c r="AD50"/>
  <c r="AC50"/>
  <c r="AA50"/>
  <c r="Y50"/>
  <c r="V50"/>
  <c r="U50"/>
  <c r="T50"/>
  <c r="S50"/>
  <c r="R50"/>
  <c r="AE49"/>
  <c r="V49"/>
  <c r="AE48"/>
  <c r="V48"/>
  <c r="AE47"/>
  <c r="V47"/>
  <c r="AE46"/>
  <c r="V46"/>
  <c r="AE45"/>
  <c r="AB45"/>
  <c r="Y45"/>
  <c r="W45"/>
  <c r="AE44"/>
  <c r="AC44"/>
  <c r="AA44"/>
  <c r="Z44"/>
  <c r="X44"/>
  <c r="V44"/>
  <c r="AE43"/>
  <c r="V43"/>
  <c r="AE42"/>
  <c r="V42"/>
  <c r="AE41"/>
  <c r="V41"/>
  <c r="AE40"/>
  <c r="AC40"/>
  <c r="AA40"/>
  <c r="Z40"/>
  <c r="X40"/>
  <c r="V40"/>
  <c r="AE39"/>
  <c r="V39"/>
  <c r="AE38"/>
  <c r="V38"/>
  <c r="AD37"/>
  <c r="AD36"/>
  <c r="AD35"/>
  <c r="AD34"/>
  <c r="AD33"/>
  <c r="AE33" s="1"/>
  <c r="AE32"/>
  <c r="AC32"/>
  <c r="AA32"/>
  <c r="V32"/>
  <c r="AE31"/>
  <c r="AC31"/>
  <c r="AA31"/>
  <c r="V31"/>
  <c r="AE30"/>
  <c r="V30"/>
  <c r="AE29"/>
  <c r="V29"/>
  <c r="AE28"/>
  <c r="V28"/>
  <c r="AE27"/>
  <c r="AC27"/>
  <c r="AA27"/>
  <c r="V27"/>
  <c r="AE26"/>
  <c r="AB26"/>
  <c r="W26"/>
  <c r="AE25"/>
  <c r="AB25"/>
  <c r="V25"/>
  <c r="AD24"/>
  <c r="AD23"/>
  <c r="AE22"/>
  <c r="AB22"/>
  <c r="V22"/>
  <c r="U22"/>
  <c r="T22"/>
  <c r="S22"/>
  <c r="R22"/>
  <c r="AE21"/>
  <c r="AE20"/>
  <c r="AB20"/>
  <c r="V20"/>
  <c r="AE19"/>
  <c r="AB19"/>
  <c r="V19"/>
  <c r="AE18"/>
  <c r="AB18"/>
  <c r="V18"/>
  <c r="AE17"/>
  <c r="AB17"/>
  <c r="V17"/>
  <c r="AE16"/>
  <c r="AB16"/>
  <c r="V16"/>
  <c r="AE15"/>
  <c r="AB15"/>
  <c r="V15"/>
  <c r="AE14"/>
  <c r="V14"/>
  <c r="AE13"/>
  <c r="AB13"/>
  <c r="Y13"/>
  <c r="W13"/>
  <c r="U13"/>
  <c r="T13"/>
  <c r="S13"/>
  <c r="R13"/>
  <c r="AE12"/>
  <c r="AC12"/>
  <c r="AA12"/>
  <c r="V12"/>
  <c r="AE11"/>
  <c r="AC11"/>
  <c r="AA11"/>
  <c r="Z11"/>
  <c r="X11"/>
  <c r="V11"/>
  <c r="U11"/>
  <c r="T11"/>
  <c r="S11"/>
  <c r="R11"/>
  <c r="AE10"/>
  <c r="AB10"/>
  <c r="Y10"/>
  <c r="W10"/>
  <c r="AE9"/>
  <c r="AB9"/>
  <c r="AF8"/>
  <c r="AD8"/>
  <c r="Z8"/>
  <c r="X8"/>
  <c r="V8"/>
  <c r="AE7"/>
  <c r="AB7"/>
  <c r="Y7"/>
  <c r="W7"/>
  <c r="U7"/>
  <c r="T7"/>
  <c r="S7"/>
  <c r="R7"/>
  <c r="AE6"/>
  <c r="AE5"/>
  <c r="AB5"/>
  <c r="AE4"/>
  <c r="AB4"/>
  <c r="AE2"/>
  <c r="AD2"/>
  <c r="AC2"/>
  <c r="AB2"/>
  <c r="AA2"/>
  <c r="Z2"/>
  <c r="Y2"/>
  <c r="X2"/>
  <c r="V2"/>
  <c r="U2"/>
  <c r="T2"/>
  <c r="S2"/>
  <c r="R2"/>
  <c r="R47" i="3"/>
  <c r="S47"/>
  <c r="T47"/>
  <c r="U47"/>
  <c r="R48"/>
  <c r="S48"/>
  <c r="T48"/>
  <c r="U48"/>
  <c r="R49"/>
  <c r="S49"/>
  <c r="T49"/>
  <c r="U49"/>
  <c r="R50"/>
  <c r="S50"/>
  <c r="T50"/>
  <c r="U50"/>
  <c r="R51"/>
  <c r="S51"/>
  <c r="T51"/>
  <c r="U51"/>
  <c r="R52"/>
  <c r="S52"/>
  <c r="T52"/>
  <c r="U52"/>
  <c r="R53"/>
  <c r="S53"/>
  <c r="T53"/>
  <c r="U53"/>
  <c r="R54"/>
  <c r="S54"/>
  <c r="T54"/>
  <c r="U54"/>
  <c r="R55"/>
  <c r="S55"/>
  <c r="T55"/>
  <c r="U55"/>
  <c r="R56"/>
  <c r="S56"/>
  <c r="T56"/>
  <c r="U56"/>
  <c r="R57"/>
  <c r="S57"/>
  <c r="T57"/>
  <c r="U57"/>
  <c r="R58"/>
  <c r="S58"/>
  <c r="T58"/>
  <c r="U58"/>
  <c r="R59"/>
  <c r="S59"/>
  <c r="T59"/>
  <c r="U59"/>
  <c r="R60"/>
  <c r="S60"/>
  <c r="T60"/>
  <c r="U60"/>
  <c r="R61"/>
  <c r="S61"/>
  <c r="T61"/>
  <c r="U61"/>
  <c r="R62"/>
  <c r="S62"/>
  <c r="T62"/>
  <c r="U62"/>
  <c r="R63"/>
  <c r="S63"/>
  <c r="T63"/>
  <c r="U63"/>
  <c r="R64"/>
  <c r="S64"/>
  <c r="T64"/>
  <c r="U64"/>
  <c r="R65"/>
  <c r="S65"/>
  <c r="T65"/>
  <c r="U65"/>
  <c r="R66"/>
  <c r="S66"/>
  <c r="T66"/>
  <c r="U66"/>
  <c r="R67"/>
  <c r="S67"/>
  <c r="T67"/>
  <c r="U67"/>
  <c r="R68"/>
  <c r="S68"/>
  <c r="T68"/>
  <c r="U68"/>
  <c r="R69"/>
  <c r="S69"/>
  <c r="T69"/>
  <c r="U69"/>
  <c r="R70"/>
  <c r="S70"/>
  <c r="T70"/>
  <c r="U7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U20"/>
  <c r="T20"/>
  <c r="S20"/>
  <c r="R20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AO6" i="4"/>
  <c r="AP6"/>
  <c r="AT6"/>
  <c r="AU6"/>
  <c r="AV6"/>
  <c r="AW6"/>
  <c r="U6" s="1"/>
  <c r="AO7"/>
  <c r="AP7"/>
  <c r="AT7"/>
  <c r="AU7"/>
  <c r="AV7"/>
  <c r="AW7"/>
  <c r="U7" s="1"/>
  <c r="AO8"/>
  <c r="AP8"/>
  <c r="AT8"/>
  <c r="AU8"/>
  <c r="AV8"/>
  <c r="AW8"/>
  <c r="U8" s="1"/>
  <c r="AO9"/>
  <c r="AP9"/>
  <c r="AT9"/>
  <c r="AU9"/>
  <c r="AV9"/>
  <c r="AW9"/>
  <c r="U9" s="1"/>
  <c r="AO5"/>
  <c r="AP5"/>
  <c r="AT5"/>
  <c r="AU5"/>
  <c r="AV5"/>
  <c r="AW5"/>
  <c r="U5" s="1"/>
  <c r="AE2"/>
  <c r="AD2"/>
  <c r="AC2"/>
  <c r="AB2"/>
  <c r="AA2"/>
  <c r="Z2"/>
  <c r="Y2"/>
  <c r="X2"/>
  <c r="V2"/>
  <c r="U2"/>
  <c r="T2"/>
  <c r="S2"/>
  <c r="R2"/>
  <c r="AV5" i="3"/>
  <c r="AW5"/>
  <c r="AT6"/>
  <c r="AW6"/>
  <c r="AT7"/>
  <c r="AW7"/>
  <c r="AT8"/>
  <c r="AW8"/>
  <c r="AV9"/>
  <c r="AW9"/>
  <c r="AT10"/>
  <c r="AW10"/>
  <c r="AT11"/>
  <c r="AW11"/>
  <c r="AT12"/>
  <c r="AW12"/>
  <c r="AT13"/>
  <c r="AW13"/>
  <c r="AT14"/>
  <c r="AW14"/>
  <c r="AT15"/>
  <c r="AW15"/>
  <c r="AT16"/>
  <c r="AW16"/>
  <c r="AT17"/>
  <c r="AW17"/>
  <c r="AT18"/>
  <c r="AW18"/>
  <c r="AT20"/>
  <c r="AW20"/>
  <c r="AT21"/>
  <c r="AW21"/>
  <c r="AT22"/>
  <c r="AW22"/>
  <c r="AT23"/>
  <c r="AW23"/>
  <c r="AT24"/>
  <c r="AW24"/>
  <c r="AT25"/>
  <c r="AW25"/>
  <c r="AT26"/>
  <c r="AW26"/>
  <c r="AT27"/>
  <c r="AW27"/>
  <c r="AV28"/>
  <c r="AW28"/>
  <c r="AV29"/>
  <c r="AW29"/>
  <c r="AV30"/>
  <c r="AW30"/>
  <c r="AV31"/>
  <c r="AW31"/>
  <c r="AV32"/>
  <c r="AW32"/>
  <c r="AV33"/>
  <c r="AW33"/>
  <c r="AV34"/>
  <c r="AW34"/>
  <c r="AV35"/>
  <c r="AW35"/>
  <c r="AV36"/>
  <c r="AW36"/>
  <c r="AV37"/>
  <c r="AW37"/>
  <c r="AV38"/>
  <c r="AW38"/>
  <c r="AV39"/>
  <c r="AW39"/>
  <c r="AV40"/>
  <c r="AW40"/>
  <c r="AV41"/>
  <c r="AW41"/>
  <c r="AV42"/>
  <c r="AW42"/>
  <c r="AV43"/>
  <c r="AW43"/>
  <c r="AV44"/>
  <c r="AW44"/>
  <c r="AV45"/>
  <c r="AW45"/>
  <c r="AV46"/>
  <c r="AW46"/>
  <c r="AV47"/>
  <c r="AW47"/>
  <c r="AV48"/>
  <c r="AW48"/>
  <c r="AV49"/>
  <c r="AW49"/>
  <c r="AV50"/>
  <c r="AW50"/>
  <c r="AV51"/>
  <c r="AW51"/>
  <c r="AV52"/>
  <c r="AW52"/>
  <c r="AV53"/>
  <c r="AW53"/>
  <c r="AV54"/>
  <c r="AW54"/>
  <c r="AV55"/>
  <c r="AW55"/>
  <c r="AV56"/>
  <c r="AW56"/>
  <c r="AV57"/>
  <c r="AW57"/>
  <c r="AV58"/>
  <c r="AW58"/>
  <c r="AV59"/>
  <c r="AW59"/>
  <c r="AV60"/>
  <c r="AW60"/>
  <c r="AV61"/>
  <c r="AW61"/>
  <c r="AV62"/>
  <c r="AW62"/>
  <c r="AV63"/>
  <c r="AW63"/>
  <c r="AV64"/>
  <c r="AW64"/>
  <c r="AV65"/>
  <c r="AW65"/>
  <c r="AV66"/>
  <c r="AW66"/>
  <c r="AV67"/>
  <c r="AW67"/>
  <c r="AV68"/>
  <c r="AW68"/>
  <c r="AV69"/>
  <c r="AW69"/>
  <c r="AV70"/>
  <c r="AW70"/>
  <c r="AV4"/>
  <c r="AW4"/>
  <c r="AE2"/>
  <c r="AD2"/>
  <c r="AC2"/>
  <c r="AB2"/>
  <c r="AA2"/>
  <c r="Z2"/>
  <c r="Y2"/>
  <c r="X2"/>
  <c r="V2"/>
  <c r="U2"/>
  <c r="T2"/>
  <c r="S2"/>
  <c r="R2"/>
  <c r="V142" i="2" a="1"/>
  <c r="V142" s="1"/>
  <c r="V589" i="6" l="1"/>
  <c r="W589" s="1"/>
  <c r="V588"/>
  <c r="W588" s="1"/>
  <c r="V587"/>
  <c r="W587" s="1"/>
  <c r="V586"/>
  <c r="W586" s="1"/>
  <c r="V585"/>
  <c r="W585" s="1"/>
  <c r="V579"/>
  <c r="W579" s="1"/>
  <c r="V578"/>
  <c r="W578" s="1"/>
  <c r="V577"/>
  <c r="W577" s="1"/>
  <c r="V576"/>
  <c r="W576" s="1"/>
  <c r="V575"/>
  <c r="W575" s="1"/>
  <c r="V574"/>
  <c r="W574" s="1"/>
  <c r="V573"/>
  <c r="W573" s="1"/>
  <c r="V572"/>
  <c r="W572" s="1"/>
  <c r="V571"/>
  <c r="W571" s="1"/>
  <c r="V570"/>
  <c r="W570" s="1"/>
  <c r="V569"/>
  <c r="W569" s="1"/>
  <c r="V568"/>
  <c r="W568" s="1"/>
  <c r="V567"/>
  <c r="W567" s="1"/>
  <c r="V566"/>
  <c r="W566" s="1"/>
  <c r="V565"/>
  <c r="W565" s="1"/>
  <c r="V558"/>
  <c r="W558" s="1"/>
  <c r="V550"/>
  <c r="W550" s="1"/>
  <c r="V549"/>
  <c r="W549" s="1"/>
  <c r="V547"/>
  <c r="W547" s="1"/>
  <c r="V546"/>
  <c r="W546" s="1"/>
  <c r="V545"/>
  <c r="W545" s="1"/>
  <c r="V542"/>
  <c r="W542" s="1"/>
  <c r="V541"/>
  <c r="W541" s="1"/>
  <c r="V540"/>
  <c r="W540" s="1"/>
  <c r="V539"/>
  <c r="W539" s="1"/>
  <c r="V495"/>
  <c r="W495" s="1"/>
  <c r="X493"/>
  <c r="X492"/>
  <c r="X490"/>
  <c r="X489"/>
  <c r="X488"/>
  <c r="X487"/>
  <c r="X486"/>
  <c r="X485"/>
  <c r="X484"/>
  <c r="X483"/>
  <c r="X479"/>
  <c r="X478"/>
  <c r="X477"/>
  <c r="X476"/>
  <c r="X475"/>
  <c r="X462"/>
  <c r="X461"/>
  <c r="X460"/>
  <c r="X459"/>
  <c r="X458"/>
  <c r="X457"/>
  <c r="X456"/>
  <c r="X455"/>
  <c r="X454"/>
  <c r="X453"/>
  <c r="X452"/>
  <c r="X451"/>
  <c r="X450"/>
  <c r="X449"/>
  <c r="X448"/>
  <c r="X447"/>
  <c r="X389"/>
  <c r="AA388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7"/>
  <c r="AA366"/>
  <c r="AA365"/>
  <c r="AA364"/>
  <c r="AA363"/>
  <c r="AA362"/>
  <c r="AA361"/>
  <c r="AA360"/>
  <c r="AA359"/>
  <c r="AA358"/>
  <c r="AA357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282"/>
  <c r="AA281"/>
  <c r="AA279"/>
  <c r="AA278"/>
  <c r="AA277"/>
  <c r="AA276"/>
  <c r="AA275"/>
  <c r="AA274"/>
  <c r="AA273"/>
  <c r="AA127"/>
  <c r="X127"/>
  <c r="X120"/>
  <c r="X119"/>
  <c r="X118"/>
  <c r="X117"/>
  <c r="X116"/>
  <c r="X115"/>
  <c r="X114"/>
  <c r="X113"/>
  <c r="X112"/>
  <c r="X111"/>
  <c r="X108"/>
  <c r="X107"/>
  <c r="X106"/>
  <c r="X104"/>
  <c r="Z101"/>
  <c r="X101"/>
  <c r="Z100"/>
  <c r="X100"/>
  <c r="Z99"/>
  <c r="X99"/>
  <c r="X98"/>
  <c r="X97"/>
  <c r="X96"/>
  <c r="X95"/>
  <c r="X93"/>
  <c r="AA92"/>
  <c r="V92"/>
  <c r="AA91"/>
  <c r="V91"/>
  <c r="V90"/>
  <c r="AA84"/>
  <c r="X84"/>
  <c r="V84"/>
  <c r="AA80"/>
  <c r="X80"/>
  <c r="V80"/>
  <c r="AA64"/>
  <c r="X64"/>
  <c r="V64"/>
  <c r="V60"/>
  <c r="V59"/>
  <c r="AA49"/>
  <c r="X49"/>
  <c r="AA48"/>
  <c r="X48"/>
  <c r="AA47"/>
  <c r="X47"/>
  <c r="AA46"/>
  <c r="X46"/>
  <c r="AA43"/>
  <c r="X43"/>
  <c r="AA42"/>
  <c r="X42"/>
  <c r="AA41"/>
  <c r="X41"/>
  <c r="AA39"/>
  <c r="X39"/>
  <c r="AA38"/>
  <c r="X38"/>
  <c r="AA37"/>
  <c r="X37"/>
  <c r="V37"/>
  <c r="AA36"/>
  <c r="X36"/>
  <c r="V36"/>
  <c r="AA35"/>
  <c r="X35"/>
  <c r="V35"/>
  <c r="AA34"/>
  <c r="X34"/>
  <c r="V34"/>
  <c r="AA33"/>
  <c r="X33"/>
  <c r="V33"/>
  <c r="X32"/>
  <c r="X31"/>
  <c r="AA30"/>
  <c r="X30"/>
  <c r="AA29"/>
  <c r="X29"/>
  <c r="AA28"/>
  <c r="X28"/>
  <c r="X27"/>
  <c r="X26"/>
  <c r="X25"/>
  <c r="AA24"/>
  <c r="X24"/>
  <c r="V24"/>
  <c r="AA23"/>
  <c r="X23"/>
  <c r="V23"/>
  <c r="AA21"/>
  <c r="X21"/>
  <c r="V21"/>
  <c r="X20"/>
  <c r="X19"/>
  <c r="X18"/>
  <c r="X17"/>
  <c r="X16"/>
  <c r="X15"/>
  <c r="AA14"/>
  <c r="X14"/>
  <c r="X12"/>
  <c r="X9"/>
  <c r="V9"/>
  <c r="AA8"/>
  <c r="AA6"/>
  <c r="X6"/>
  <c r="V6"/>
  <c r="X5"/>
  <c r="V5"/>
  <c r="X4"/>
  <c r="V4"/>
  <c r="Z493"/>
  <c r="Z492"/>
  <c r="Z490"/>
  <c r="Z489"/>
  <c r="Z488"/>
  <c r="Z487"/>
  <c r="Z486"/>
  <c r="Z485"/>
  <c r="Z484"/>
  <c r="Z483"/>
  <c r="Z479"/>
  <c r="Z478"/>
  <c r="Z477"/>
  <c r="Z476"/>
  <c r="Z475"/>
  <c r="Z462"/>
  <c r="Z461"/>
  <c r="Z460"/>
  <c r="Z459"/>
  <c r="Z458"/>
  <c r="Z457"/>
  <c r="Z456"/>
  <c r="Z455"/>
  <c r="Z454"/>
  <c r="Z453"/>
  <c r="Z452"/>
  <c r="Z451"/>
  <c r="Z450"/>
  <c r="Z449"/>
  <c r="Z448"/>
  <c r="Z447"/>
  <c r="Z389"/>
  <c r="AC388"/>
  <c r="AC386"/>
  <c r="AC385"/>
  <c r="AC384"/>
  <c r="AC383"/>
  <c r="AC382"/>
  <c r="AC381"/>
  <c r="AC380"/>
  <c r="AC379"/>
  <c r="AC378"/>
  <c r="AC377"/>
  <c r="AC376"/>
  <c r="AC375"/>
  <c r="AC374"/>
  <c r="AC373"/>
  <c r="AC372"/>
  <c r="AC371"/>
  <c r="AC370"/>
  <c r="AC369"/>
  <c r="AC367"/>
  <c r="AC366"/>
  <c r="AC365"/>
  <c r="AC364"/>
  <c r="AC363"/>
  <c r="AC362"/>
  <c r="AC361"/>
  <c r="AC360"/>
  <c r="AC359"/>
  <c r="AC358"/>
  <c r="AC357"/>
  <c r="AC353"/>
  <c r="AC352"/>
  <c r="AC351"/>
  <c r="AC350"/>
  <c r="AC349"/>
  <c r="AC348"/>
  <c r="AC347"/>
  <c r="AC346"/>
  <c r="AC345"/>
  <c r="AC344"/>
  <c r="AC343"/>
  <c r="AC342"/>
  <c r="AC341"/>
  <c r="AC340"/>
  <c r="AC339"/>
  <c r="AC338"/>
  <c r="AC282"/>
  <c r="AC281"/>
  <c r="AC279"/>
  <c r="AC278"/>
  <c r="AC277"/>
  <c r="AC276"/>
  <c r="AC275"/>
  <c r="AC274"/>
  <c r="AC273"/>
  <c r="AD272"/>
  <c r="AD271"/>
  <c r="AD270"/>
  <c r="AD269"/>
  <c r="AD268"/>
  <c r="AD267"/>
  <c r="AD266"/>
  <c r="AD265"/>
  <c r="AD264"/>
  <c r="AD263"/>
  <c r="AD262"/>
  <c r="AD261"/>
  <c r="AD260"/>
  <c r="AD258"/>
  <c r="AD256"/>
  <c r="AD254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29"/>
  <c r="AC127"/>
  <c r="Z127"/>
  <c r="Z120"/>
  <c r="Z119"/>
  <c r="Z118"/>
  <c r="Z117"/>
  <c r="Z116"/>
  <c r="Z115"/>
  <c r="Z114"/>
  <c r="Z113"/>
  <c r="Z112"/>
  <c r="Z111"/>
  <c r="Z108"/>
  <c r="Z107"/>
  <c r="Z106"/>
  <c r="Z104"/>
  <c r="Z98"/>
  <c r="Z97"/>
  <c r="Z96"/>
  <c r="Z95"/>
  <c r="Z93"/>
  <c r="AC92"/>
  <c r="AC91"/>
  <c r="AD84"/>
  <c r="AC84"/>
  <c r="Z84"/>
  <c r="AD80"/>
  <c r="AC80"/>
  <c r="Z80"/>
  <c r="AD64"/>
  <c r="AC64"/>
  <c r="Z64"/>
  <c r="AC49"/>
  <c r="Z49"/>
  <c r="AC48"/>
  <c r="Z48"/>
  <c r="AC47"/>
  <c r="Z47"/>
  <c r="AC46"/>
  <c r="Z46"/>
  <c r="AC43"/>
  <c r="Z43"/>
  <c r="AC42"/>
  <c r="Z42"/>
  <c r="AC41"/>
  <c r="Z41"/>
  <c r="AC39"/>
  <c r="Z39"/>
  <c r="AC38"/>
  <c r="Z38"/>
  <c r="AC37"/>
  <c r="Z37"/>
  <c r="AC36"/>
  <c r="Z36"/>
  <c r="AC35"/>
  <c r="Z35"/>
  <c r="AC34"/>
  <c r="Z34"/>
  <c r="AC33"/>
  <c r="Z33"/>
  <c r="Z32"/>
  <c r="Z31"/>
  <c r="AC30"/>
  <c r="Z30"/>
  <c r="AC29"/>
  <c r="Z29"/>
  <c r="AC28"/>
  <c r="Z28"/>
  <c r="Z27"/>
  <c r="Z26"/>
  <c r="Z25"/>
  <c r="AC24"/>
  <c r="Z24"/>
  <c r="AC23"/>
  <c r="Z23"/>
  <c r="AC21"/>
  <c r="Z21"/>
  <c r="Z20"/>
  <c r="Z19"/>
  <c r="Z18"/>
  <c r="Z17"/>
  <c r="Z16"/>
  <c r="Z15"/>
  <c r="AC14"/>
  <c r="Z14"/>
  <c r="Z12"/>
  <c r="Z9"/>
  <c r="AC8"/>
  <c r="AC6"/>
  <c r="Z6"/>
  <c r="Z5"/>
  <c r="Z4"/>
  <c r="AF272"/>
  <c r="AF271"/>
  <c r="AF270"/>
  <c r="AF269"/>
  <c r="AF268"/>
  <c r="AF267"/>
  <c r="AF266"/>
  <c r="AF265"/>
  <c r="AF264"/>
  <c r="AF263"/>
  <c r="AF262"/>
  <c r="AF261"/>
  <c r="AF260"/>
  <c r="AF258"/>
  <c r="AF256"/>
  <c r="AF254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29"/>
  <c r="AF84"/>
  <c r="AF80"/>
  <c r="AF64"/>
  <c r="AW203"/>
  <c r="BB203" s="1"/>
  <c r="AW202"/>
  <c r="BB202" s="1"/>
  <c r="AW201"/>
  <c r="BB201" s="1"/>
  <c r="AW200"/>
  <c r="BB200" s="1"/>
  <c r="AW199"/>
  <c r="BB199" s="1"/>
  <c r="AW198"/>
  <c r="BB198" s="1"/>
  <c r="AW196"/>
  <c r="BB196" s="1"/>
  <c r="AW195"/>
  <c r="BB195" s="1"/>
  <c r="AW194"/>
  <c r="BB194" s="1"/>
  <c r="AW193"/>
  <c r="BB193" s="1"/>
  <c r="AW187"/>
  <c r="BB187" s="1"/>
  <c r="AW186"/>
  <c r="BB186" s="1"/>
  <c r="AW185"/>
  <c r="BB185" s="1"/>
  <c r="AW184"/>
  <c r="BB184" s="1"/>
  <c r="AW183"/>
  <c r="BB183" s="1"/>
  <c r="AW182"/>
  <c r="BB182" s="1"/>
  <c r="AW181"/>
  <c r="BB181" s="1"/>
  <c r="AW180"/>
  <c r="BB180" s="1"/>
  <c r="AW179"/>
  <c r="BB179" s="1"/>
  <c r="AW178"/>
  <c r="BB178" s="1"/>
  <c r="AW172"/>
  <c r="BB172" s="1"/>
  <c r="AW171"/>
  <c r="BB171" s="1"/>
  <c r="AW170"/>
  <c r="BB170" s="1"/>
  <c r="AW169"/>
  <c r="BB169" s="1"/>
  <c r="AW168"/>
  <c r="BB168" s="1"/>
  <c r="AW167"/>
  <c r="BB167" s="1"/>
  <c r="AW166"/>
  <c r="BB166" s="1"/>
  <c r="AW165"/>
  <c r="BB165" s="1"/>
  <c r="AW164"/>
  <c r="BB164" s="1"/>
  <c r="AW163"/>
  <c r="BB163" s="1"/>
  <c r="AW162"/>
  <c r="BB162" s="1"/>
  <c r="AW161"/>
  <c r="BB161" s="1"/>
  <c r="AW160"/>
  <c r="BB160" s="1"/>
  <c r="AW157"/>
  <c r="AW156"/>
  <c r="AW155"/>
  <c r="AW154"/>
  <c r="AW153"/>
  <c r="AW152"/>
  <c r="AW151"/>
  <c r="AW150"/>
  <c r="AW149"/>
  <c r="AW148"/>
  <c r="AW147"/>
  <c r="AW146"/>
  <c r="AW145"/>
  <c r="AW144"/>
  <c r="AW143"/>
  <c r="AW142"/>
  <c r="AW141"/>
  <c r="AW140"/>
  <c r="AW139"/>
  <c r="AW138"/>
  <c r="AW137"/>
  <c r="AW136"/>
  <c r="AW135"/>
  <c r="AW134"/>
  <c r="AW130"/>
  <c r="BB130" s="1"/>
  <c r="AW129"/>
  <c r="BB129" s="1"/>
  <c r="AW128"/>
  <c r="BB128" s="1"/>
  <c r="AW127"/>
  <c r="BB127" s="1"/>
  <c r="AW126"/>
  <c r="BB126" s="1"/>
  <c r="AW125"/>
  <c r="AW124"/>
  <c r="AW123"/>
  <c r="BB123" s="1"/>
  <c r="AW122"/>
  <c r="BB122" s="1"/>
  <c r="AW121"/>
  <c r="BB121" s="1"/>
  <c r="AW120"/>
  <c r="BB120" s="1"/>
  <c r="AW119"/>
  <c r="BB119" s="1"/>
  <c r="AW118"/>
  <c r="BB118" s="1"/>
  <c r="AW117"/>
  <c r="BB117" s="1"/>
  <c r="AW116"/>
  <c r="BB116" s="1"/>
  <c r="AW115"/>
  <c r="BB115" s="1"/>
  <c r="AW114"/>
  <c r="BB114" s="1"/>
  <c r="AW113"/>
  <c r="BB113" s="1"/>
  <c r="AW112"/>
  <c r="BB112" s="1"/>
  <c r="AW111"/>
  <c r="BB111" s="1"/>
  <c r="AW110"/>
  <c r="BB110" s="1"/>
  <c r="AW109"/>
  <c r="BB109" s="1"/>
  <c r="AW108"/>
  <c r="BB108" s="1"/>
  <c r="AW107"/>
  <c r="BB107" s="1"/>
  <c r="AW106"/>
  <c r="BB106" s="1"/>
  <c r="AW105"/>
  <c r="BB105" s="1"/>
  <c r="AW104"/>
  <c r="BB104" s="1"/>
  <c r="AW103"/>
  <c r="BB103" s="1"/>
  <c r="AW102"/>
  <c r="BB102" s="1"/>
  <c r="AW101"/>
  <c r="BB101" s="1"/>
  <c r="AW100"/>
  <c r="BB100" s="1"/>
  <c r="AW99"/>
  <c r="BB99" s="1"/>
  <c r="AW98"/>
  <c r="BB98" s="1"/>
  <c r="AW97"/>
  <c r="BB97" s="1"/>
  <c r="AW96"/>
  <c r="BB96" s="1"/>
  <c r="AW95"/>
  <c r="BB95" s="1"/>
  <c r="AW94"/>
  <c r="BB94" s="1"/>
  <c r="AW93"/>
  <c r="BB93" s="1"/>
  <c r="AW83"/>
  <c r="AW82"/>
  <c r="AW81"/>
  <c r="AW79"/>
  <c r="AW78"/>
  <c r="AW77"/>
  <c r="AW76"/>
  <c r="AW75"/>
  <c r="AW74"/>
  <c r="AW73"/>
  <c r="AW72"/>
  <c r="AW71"/>
  <c r="AW70"/>
  <c r="AW69"/>
  <c r="AW68"/>
  <c r="AW67"/>
  <c r="AW66"/>
  <c r="AW62"/>
  <c r="AW61"/>
  <c r="AW58"/>
  <c r="AW57"/>
  <c r="AW56"/>
  <c r="AW53"/>
  <c r="AW45"/>
  <c r="BB45" s="1"/>
  <c r="AW26"/>
  <c r="BB26" s="1"/>
  <c r="AW13"/>
  <c r="AW10"/>
  <c r="BB10" s="1"/>
  <c r="AW7"/>
  <c r="AY206"/>
  <c r="BD206" s="1"/>
  <c r="AX206"/>
  <c r="BC206" s="1"/>
  <c r="AY205"/>
  <c r="BD205" s="1"/>
  <c r="AX205"/>
  <c r="BC205" s="1"/>
  <c r="AY204"/>
  <c r="BD204" s="1"/>
  <c r="AX204"/>
  <c r="BC204" s="1"/>
  <c r="AX203"/>
  <c r="BC203" s="1"/>
  <c r="S203" s="1"/>
  <c r="AX202"/>
  <c r="BC202" s="1"/>
  <c r="S202" s="1"/>
  <c r="AX201"/>
  <c r="BC201" s="1"/>
  <c r="S201" s="1"/>
  <c r="AX200"/>
  <c r="BC200" s="1"/>
  <c r="S200" s="1"/>
  <c r="AX199"/>
  <c r="BC199" s="1"/>
  <c r="S199" s="1"/>
  <c r="AX198"/>
  <c r="BC198" s="1"/>
  <c r="S198" s="1"/>
  <c r="AY197"/>
  <c r="BD197" s="1"/>
  <c r="AX197"/>
  <c r="BC197" s="1"/>
  <c r="AY196"/>
  <c r="BD196" s="1"/>
  <c r="AX196"/>
  <c r="BC196" s="1"/>
  <c r="AY195"/>
  <c r="BD195" s="1"/>
  <c r="AX195"/>
  <c r="BC195" s="1"/>
  <c r="AY194"/>
  <c r="BD194" s="1"/>
  <c r="AX194"/>
  <c r="BC194" s="1"/>
  <c r="AY193"/>
  <c r="BD193" s="1"/>
  <c r="AX193"/>
  <c r="BC193" s="1"/>
  <c r="AY192"/>
  <c r="BD192" s="1"/>
  <c r="AX192"/>
  <c r="BC192" s="1"/>
  <c r="AY191"/>
  <c r="BD191" s="1"/>
  <c r="AX191"/>
  <c r="BC191" s="1"/>
  <c r="AY190"/>
  <c r="BD190" s="1"/>
  <c r="AX190"/>
  <c r="BC190" s="1"/>
  <c r="AY189"/>
  <c r="BD189" s="1"/>
  <c r="AX189"/>
  <c r="BC189" s="1"/>
  <c r="AY188"/>
  <c r="BD188" s="1"/>
  <c r="AX188"/>
  <c r="BC188" s="1"/>
  <c r="AY187"/>
  <c r="BD187" s="1"/>
  <c r="AX187"/>
  <c r="BC187" s="1"/>
  <c r="S187" s="1"/>
  <c r="AY186"/>
  <c r="BD186" s="1"/>
  <c r="AX186"/>
  <c r="BC186" s="1"/>
  <c r="S186" s="1"/>
  <c r="AY185"/>
  <c r="BD185" s="1"/>
  <c r="AX185"/>
  <c r="BC185" s="1"/>
  <c r="S185" s="1"/>
  <c r="AY184"/>
  <c r="BD184" s="1"/>
  <c r="AX184"/>
  <c r="BC184" s="1"/>
  <c r="S184" s="1"/>
  <c r="AY183"/>
  <c r="BD183" s="1"/>
  <c r="AX183"/>
  <c r="BC183" s="1"/>
  <c r="S183" s="1"/>
  <c r="AY182"/>
  <c r="BD182" s="1"/>
  <c r="AX182"/>
  <c r="BC182" s="1"/>
  <c r="S182" s="1"/>
  <c r="AY181"/>
  <c r="BD181" s="1"/>
  <c r="AX181"/>
  <c r="BC181" s="1"/>
  <c r="S181" s="1"/>
  <c r="AY180"/>
  <c r="BD180" s="1"/>
  <c r="AX180"/>
  <c r="BC180" s="1"/>
  <c r="AY179"/>
  <c r="BD179" s="1"/>
  <c r="AX179"/>
  <c r="BC179" s="1"/>
  <c r="AY178"/>
  <c r="BD178" s="1"/>
  <c r="AX178"/>
  <c r="BC178" s="1"/>
  <c r="AY177"/>
  <c r="BD177" s="1"/>
  <c r="AX177"/>
  <c r="BC177" s="1"/>
  <c r="AY176"/>
  <c r="BD176" s="1"/>
  <c r="AX176"/>
  <c r="BC176" s="1"/>
  <c r="AY175"/>
  <c r="BD175" s="1"/>
  <c r="AX175"/>
  <c r="BC175" s="1"/>
  <c r="AY174"/>
  <c r="BD174" s="1"/>
  <c r="AX174"/>
  <c r="BC174" s="1"/>
  <c r="AY173"/>
  <c r="BD173" s="1"/>
  <c r="AX173"/>
  <c r="BC173" s="1"/>
  <c r="AY172"/>
  <c r="BD172" s="1"/>
  <c r="AX172"/>
  <c r="BC172" s="1"/>
  <c r="S172" s="1"/>
  <c r="AY171"/>
  <c r="BD171" s="1"/>
  <c r="AX171"/>
  <c r="BC171" s="1"/>
  <c r="S171" s="1"/>
  <c r="AY170"/>
  <c r="BD170" s="1"/>
  <c r="AX170"/>
  <c r="BC170" s="1"/>
  <c r="S170" s="1"/>
  <c r="AY169"/>
  <c r="BD169" s="1"/>
  <c r="AX169"/>
  <c r="BC169" s="1"/>
  <c r="S169" s="1"/>
  <c r="AY168"/>
  <c r="BD168" s="1"/>
  <c r="AX168"/>
  <c r="BC168" s="1"/>
  <c r="S168" s="1"/>
  <c r="AY167"/>
  <c r="BD167" s="1"/>
  <c r="AX167"/>
  <c r="BC167" s="1"/>
  <c r="S167" s="1"/>
  <c r="AX166"/>
  <c r="BC166" s="1"/>
  <c r="S166" s="1"/>
  <c r="AX165"/>
  <c r="BC165" s="1"/>
  <c r="S165" s="1"/>
  <c r="AX164"/>
  <c r="BC164" s="1"/>
  <c r="S164" s="1"/>
  <c r="AX163"/>
  <c r="BC163" s="1"/>
  <c r="S163" s="1"/>
  <c r="AY162"/>
  <c r="BD162" s="1"/>
  <c r="AX162"/>
  <c r="BC162" s="1"/>
  <c r="AY161"/>
  <c r="BD161" s="1"/>
  <c r="AX161"/>
  <c r="BC161" s="1"/>
  <c r="S161" s="1"/>
  <c r="AX160"/>
  <c r="BC160" s="1"/>
  <c r="S160" s="1"/>
  <c r="AY159"/>
  <c r="BD159" s="1"/>
  <c r="AX159"/>
  <c r="BC159" s="1"/>
  <c r="AY158"/>
  <c r="BD158" s="1"/>
  <c r="AX158"/>
  <c r="BC158" s="1"/>
  <c r="AY157"/>
  <c r="AX157"/>
  <c r="AY156"/>
  <c r="AX156"/>
  <c r="AY155"/>
  <c r="AX155"/>
  <c r="AY154"/>
  <c r="AX154"/>
  <c r="AY153"/>
  <c r="AX153"/>
  <c r="AY152"/>
  <c r="AX152"/>
  <c r="AY151"/>
  <c r="AX151"/>
  <c r="AY150"/>
  <c r="AX150"/>
  <c r="AY149"/>
  <c r="AX149"/>
  <c r="AY148"/>
  <c r="AX148"/>
  <c r="AY147"/>
  <c r="AX147"/>
  <c r="AY146"/>
  <c r="AX146"/>
  <c r="AY145"/>
  <c r="AX145"/>
  <c r="AY144"/>
  <c r="AX144"/>
  <c r="AY143"/>
  <c r="AX143"/>
  <c r="AY142"/>
  <c r="AX142"/>
  <c r="AY141"/>
  <c r="AX141"/>
  <c r="AY140"/>
  <c r="AX140"/>
  <c r="AY139"/>
  <c r="AX139"/>
  <c r="AY138"/>
  <c r="AX138"/>
  <c r="AY137"/>
  <c r="AX137"/>
  <c r="AY136"/>
  <c r="AX136"/>
  <c r="AY135"/>
  <c r="AX135"/>
  <c r="AY134"/>
  <c r="AX134"/>
  <c r="AY133"/>
  <c r="AX133"/>
  <c r="AY132"/>
  <c r="AX132"/>
  <c r="AY131"/>
  <c r="AX131"/>
  <c r="AY130"/>
  <c r="BD130" s="1"/>
  <c r="AX130"/>
  <c r="BC130" s="1"/>
  <c r="AY129"/>
  <c r="BD129" s="1"/>
  <c r="AX129"/>
  <c r="BC129" s="1"/>
  <c r="AY128"/>
  <c r="BD128" s="1"/>
  <c r="AX128"/>
  <c r="BC128" s="1"/>
  <c r="AY126"/>
  <c r="BD126" s="1"/>
  <c r="AX126"/>
  <c r="BC126" s="1"/>
  <c r="AY125"/>
  <c r="AX125"/>
  <c r="AY124"/>
  <c r="AX124"/>
  <c r="AY123"/>
  <c r="BD123" s="1"/>
  <c r="AX123"/>
  <c r="BC123" s="1"/>
  <c r="AY122"/>
  <c r="BD122" s="1"/>
  <c r="AX122"/>
  <c r="BC122" s="1"/>
  <c r="AY121"/>
  <c r="BD121" s="1"/>
  <c r="AX121"/>
  <c r="BC121" s="1"/>
  <c r="AY120"/>
  <c r="BD120" s="1"/>
  <c r="AY119"/>
  <c r="BD119" s="1"/>
  <c r="AY118"/>
  <c r="BD118" s="1"/>
  <c r="AY117"/>
  <c r="BD117" s="1"/>
  <c r="AY116"/>
  <c r="BD116" s="1"/>
  <c r="AY115"/>
  <c r="BD115" s="1"/>
  <c r="AY114"/>
  <c r="BD114" s="1"/>
  <c r="AY113"/>
  <c r="BD113" s="1"/>
  <c r="AY112"/>
  <c r="BD112" s="1"/>
  <c r="AY111"/>
  <c r="BD111" s="1"/>
  <c r="AY110"/>
  <c r="BD110" s="1"/>
  <c r="AX110"/>
  <c r="BC110" s="1"/>
  <c r="AY109"/>
  <c r="BD109" s="1"/>
  <c r="AX109"/>
  <c r="BC109" s="1"/>
  <c r="AY108"/>
  <c r="BD108" s="1"/>
  <c r="AY107"/>
  <c r="BD107" s="1"/>
  <c r="AY106"/>
  <c r="BD106" s="1"/>
  <c r="AY105"/>
  <c r="BD105" s="1"/>
  <c r="AX105"/>
  <c r="BC105" s="1"/>
  <c r="AY104"/>
  <c r="BD104" s="1"/>
  <c r="AY103"/>
  <c r="BD103" s="1"/>
  <c r="AX103"/>
  <c r="BC103" s="1"/>
  <c r="AY102"/>
  <c r="BD102" s="1"/>
  <c r="AX102"/>
  <c r="BC102" s="1"/>
  <c r="AY101"/>
  <c r="BD101" s="1"/>
  <c r="AY100"/>
  <c r="BD100" s="1"/>
  <c r="AY99"/>
  <c r="BD99" s="1"/>
  <c r="AY98"/>
  <c r="BD98" s="1"/>
  <c r="AY97"/>
  <c r="BD97" s="1"/>
  <c r="AY96"/>
  <c r="BD96" s="1"/>
  <c r="AY95"/>
  <c r="BD95" s="1"/>
  <c r="AY94"/>
  <c r="BD94" s="1"/>
  <c r="AX94"/>
  <c r="BC94" s="1"/>
  <c r="AY93"/>
  <c r="BD93" s="1"/>
  <c r="AY90"/>
  <c r="AX90"/>
  <c r="AY89"/>
  <c r="AX89"/>
  <c r="AY88"/>
  <c r="AX88"/>
  <c r="AY87"/>
  <c r="AX87"/>
  <c r="AY86"/>
  <c r="AX86"/>
  <c r="AY85"/>
  <c r="AX85"/>
  <c r="AY83"/>
  <c r="AX83"/>
  <c r="AY82"/>
  <c r="AX82"/>
  <c r="AY81"/>
  <c r="AX81"/>
  <c r="AY79"/>
  <c r="AX79"/>
  <c r="AY78"/>
  <c r="AX78"/>
  <c r="AY77"/>
  <c r="AX77"/>
  <c r="AY76"/>
  <c r="AX76"/>
  <c r="AY75"/>
  <c r="AX75"/>
  <c r="AY74"/>
  <c r="AX74"/>
  <c r="AY73"/>
  <c r="AX73"/>
  <c r="AY72"/>
  <c r="AX72"/>
  <c r="AY71"/>
  <c r="AX71"/>
  <c r="AY70"/>
  <c r="AX70"/>
  <c r="AY69"/>
  <c r="AX69"/>
  <c r="AY68"/>
  <c r="AX68"/>
  <c r="AY67"/>
  <c r="AX67"/>
  <c r="AY66"/>
  <c r="AX66"/>
  <c r="AY65"/>
  <c r="AX65"/>
  <c r="AY63"/>
  <c r="AX63"/>
  <c r="AY62"/>
  <c r="AX62"/>
  <c r="AY61"/>
  <c r="AX61"/>
  <c r="AY60"/>
  <c r="AX60"/>
  <c r="AY59"/>
  <c r="AX59"/>
  <c r="AY58"/>
  <c r="AX58"/>
  <c r="AY57"/>
  <c r="AX57"/>
  <c r="AY56"/>
  <c r="AX56"/>
  <c r="AY55"/>
  <c r="AX55"/>
  <c r="AY54"/>
  <c r="AX54"/>
  <c r="AY53"/>
  <c r="AX52"/>
  <c r="AX51"/>
  <c r="AX50"/>
  <c r="AY45"/>
  <c r="BD45" s="1"/>
  <c r="AX45"/>
  <c r="BC45" s="1"/>
  <c r="AY26"/>
  <c r="BD26" s="1"/>
  <c r="AY25"/>
  <c r="BD25" s="1"/>
  <c r="AY22"/>
  <c r="AY20"/>
  <c r="BD20" s="1"/>
  <c r="AY19"/>
  <c r="BD19" s="1"/>
  <c r="AY18"/>
  <c r="BD18" s="1"/>
  <c r="AY17"/>
  <c r="BD17" s="1"/>
  <c r="AY16"/>
  <c r="BD16" s="1"/>
  <c r="AY15"/>
  <c r="BD15" s="1"/>
  <c r="AY13"/>
  <c r="AX13"/>
  <c r="AY10"/>
  <c r="BD10" s="1"/>
  <c r="AX10"/>
  <c r="BC10" s="1"/>
  <c r="AY9"/>
  <c r="BD9" s="1"/>
  <c r="AY7"/>
  <c r="AX7"/>
  <c r="AY5"/>
  <c r="BD5" s="1"/>
  <c r="AY4"/>
  <c r="BD4" s="1"/>
  <c r="AZ197"/>
  <c r="BE197" s="1"/>
  <c r="U197" s="1"/>
  <c r="AZ196"/>
  <c r="BE196" s="1"/>
  <c r="U196" s="1"/>
  <c r="AZ195"/>
  <c r="BE195" s="1"/>
  <c r="U195" s="1"/>
  <c r="AZ194"/>
  <c r="BE194" s="1"/>
  <c r="U194" s="1"/>
  <c r="AZ193"/>
  <c r="BE193" s="1"/>
  <c r="U193" s="1"/>
  <c r="AZ192"/>
  <c r="BE192" s="1"/>
  <c r="U192" s="1"/>
  <c r="AZ191"/>
  <c r="BE191" s="1"/>
  <c r="U191" s="1"/>
  <c r="AZ190"/>
  <c r="BE190" s="1"/>
  <c r="U190" s="1"/>
  <c r="AZ189"/>
  <c r="BE189" s="1"/>
  <c r="U189" s="1"/>
  <c r="AZ188"/>
  <c r="BE188" s="1"/>
  <c r="U188" s="1"/>
  <c r="AZ180"/>
  <c r="BE180" s="1"/>
  <c r="U180" s="1"/>
  <c r="AZ179"/>
  <c r="BE179" s="1"/>
  <c r="U179" s="1"/>
  <c r="AZ178"/>
  <c r="BE178" s="1"/>
  <c r="U178" s="1"/>
  <c r="AZ177"/>
  <c r="BE177" s="1"/>
  <c r="U177" s="1"/>
  <c r="AZ176"/>
  <c r="BE176" s="1"/>
  <c r="U176" s="1"/>
  <c r="AZ175"/>
  <c r="BE175" s="1"/>
  <c r="U175" s="1"/>
  <c r="AZ174"/>
  <c r="BE174" s="1"/>
  <c r="U174" s="1"/>
  <c r="AZ173"/>
  <c r="BE173" s="1"/>
  <c r="U173" s="1"/>
  <c r="AZ162"/>
  <c r="BE162" s="1"/>
  <c r="U162" s="1"/>
  <c r="AZ157"/>
  <c r="AZ156"/>
  <c r="AZ155"/>
  <c r="AZ154"/>
  <c r="AZ153"/>
  <c r="AZ152"/>
  <c r="AZ151"/>
  <c r="AZ150"/>
  <c r="AZ149"/>
  <c r="AZ148"/>
  <c r="AZ147"/>
  <c r="AZ146"/>
  <c r="AZ142"/>
  <c r="AZ141"/>
  <c r="AZ140"/>
  <c r="AZ139"/>
  <c r="AZ138"/>
  <c r="AZ137"/>
  <c r="AZ130"/>
  <c r="BE130" s="1"/>
  <c r="U130" s="1"/>
  <c r="AZ129"/>
  <c r="BE129" s="1"/>
  <c r="U129" s="1"/>
  <c r="AZ128"/>
  <c r="BE128" s="1"/>
  <c r="U128" s="1"/>
  <c r="AZ127"/>
  <c r="BE127" s="1"/>
  <c r="AZ126"/>
  <c r="BE126" s="1"/>
  <c r="U126" s="1"/>
  <c r="AZ125"/>
  <c r="AZ124"/>
  <c r="AZ123"/>
  <c r="BE123" s="1"/>
  <c r="U123" s="1"/>
  <c r="AZ122"/>
  <c r="BE122" s="1"/>
  <c r="U122" s="1"/>
  <c r="AZ121"/>
  <c r="BE121" s="1"/>
  <c r="U121" s="1"/>
  <c r="AZ120"/>
  <c r="BE120" s="1"/>
  <c r="AZ119"/>
  <c r="BE119" s="1"/>
  <c r="AZ118"/>
  <c r="BE118" s="1"/>
  <c r="AZ117"/>
  <c r="BE117" s="1"/>
  <c r="AZ116"/>
  <c r="BE116" s="1"/>
  <c r="AZ115"/>
  <c r="BE115" s="1"/>
  <c r="AZ114"/>
  <c r="BE114" s="1"/>
  <c r="AZ113"/>
  <c r="BE113" s="1"/>
  <c r="AZ112"/>
  <c r="BE112" s="1"/>
  <c r="AZ111"/>
  <c r="BE111" s="1"/>
  <c r="AZ110"/>
  <c r="BE110" s="1"/>
  <c r="U110" s="1"/>
  <c r="AZ109"/>
  <c r="BE109" s="1"/>
  <c r="U109" s="1"/>
  <c r="AZ108"/>
  <c r="BE108" s="1"/>
  <c r="AZ107"/>
  <c r="BE107" s="1"/>
  <c r="AZ106"/>
  <c r="BE106" s="1"/>
  <c r="AZ105"/>
  <c r="BE105" s="1"/>
  <c r="U105" s="1"/>
  <c r="AZ104"/>
  <c r="BE104" s="1"/>
  <c r="AZ103"/>
  <c r="BE103" s="1"/>
  <c r="U103" s="1"/>
  <c r="AZ102"/>
  <c r="BE102" s="1"/>
  <c r="U102" s="1"/>
  <c r="AZ101"/>
  <c r="BE101" s="1"/>
  <c r="AZ100"/>
  <c r="BE100" s="1"/>
  <c r="AZ99"/>
  <c r="BE99" s="1"/>
  <c r="AZ98"/>
  <c r="BE98" s="1"/>
  <c r="AZ97"/>
  <c r="BE97" s="1"/>
  <c r="AZ96"/>
  <c r="BE96" s="1"/>
  <c r="AZ95"/>
  <c r="BE95" s="1"/>
  <c r="AZ94"/>
  <c r="BE94" s="1"/>
  <c r="U94" s="1"/>
  <c r="AZ93"/>
  <c r="BE93" s="1"/>
  <c r="AZ92"/>
  <c r="AZ91"/>
  <c r="AZ90"/>
  <c r="AZ89"/>
  <c r="AZ88"/>
  <c r="AZ86"/>
  <c r="AZ85"/>
  <c r="AZ83"/>
  <c r="AZ82"/>
  <c r="AZ81"/>
  <c r="AZ79"/>
  <c r="AZ75"/>
  <c r="AZ74"/>
  <c r="AZ73"/>
  <c r="AZ72"/>
  <c r="AZ71"/>
  <c r="AZ70"/>
  <c r="AZ69"/>
  <c r="AZ66"/>
  <c r="AZ65"/>
  <c r="AZ63"/>
  <c r="AZ62"/>
  <c r="AZ61"/>
  <c r="AZ60"/>
  <c r="AZ58"/>
  <c r="AZ57"/>
  <c r="AZ55"/>
  <c r="AZ54"/>
  <c r="AZ53"/>
  <c r="AZ49"/>
  <c r="BE49" s="1"/>
  <c r="AZ48"/>
  <c r="BE48" s="1"/>
  <c r="AZ47"/>
  <c r="BE47" s="1"/>
  <c r="AZ46"/>
  <c r="BE46" s="1"/>
  <c r="AZ45"/>
  <c r="BE45" s="1"/>
  <c r="U45" s="1"/>
  <c r="AZ44"/>
  <c r="BE44" s="1"/>
  <c r="AZ43"/>
  <c r="BE43" s="1"/>
  <c r="AZ42"/>
  <c r="BE42" s="1"/>
  <c r="AZ41"/>
  <c r="BE41" s="1"/>
  <c r="AZ40"/>
  <c r="BE40" s="1"/>
  <c r="AZ39"/>
  <c r="BE39" s="1"/>
  <c r="AZ38"/>
  <c r="BE38" s="1"/>
  <c r="AZ33"/>
  <c r="BE33" s="1"/>
  <c r="AZ32"/>
  <c r="BE32" s="1"/>
  <c r="AZ31"/>
  <c r="BE31" s="1"/>
  <c r="AZ30"/>
  <c r="BE30" s="1"/>
  <c r="AZ29"/>
  <c r="BE29" s="1"/>
  <c r="AZ28"/>
  <c r="BE28" s="1"/>
  <c r="AZ27"/>
  <c r="BE27" s="1"/>
  <c r="AZ26"/>
  <c r="BE26" s="1"/>
  <c r="AZ25"/>
  <c r="BE25" s="1"/>
  <c r="AZ22"/>
  <c r="AZ21"/>
  <c r="BE21" s="1"/>
  <c r="AZ20"/>
  <c r="BE20" s="1"/>
  <c r="AZ19"/>
  <c r="BE19" s="1"/>
  <c r="AZ18"/>
  <c r="BE18" s="1"/>
  <c r="AZ17"/>
  <c r="BE17" s="1"/>
  <c r="AZ16"/>
  <c r="BE16" s="1"/>
  <c r="AZ15"/>
  <c r="BE15" s="1"/>
  <c r="AZ14"/>
  <c r="BE14" s="1"/>
  <c r="AZ13"/>
  <c r="AZ12"/>
  <c r="BE12" s="1"/>
  <c r="AZ11"/>
  <c r="AZ10"/>
  <c r="BE10" s="1"/>
  <c r="U10" s="1"/>
  <c r="AZ9"/>
  <c r="BE9" s="1"/>
  <c r="AZ7"/>
  <c r="AZ6"/>
  <c r="BE6" s="1"/>
  <c r="AZ5"/>
  <c r="BE5" s="1"/>
  <c r="AZ4"/>
  <c r="BE4" s="1"/>
  <c r="W8"/>
  <c r="AW8" s="1"/>
  <c r="BB8" s="1"/>
  <c r="Y8"/>
  <c r="AX8" s="1"/>
  <c r="BC8" s="1"/>
  <c r="AE8"/>
  <c r="AZ8" s="1"/>
  <c r="BE8" s="1"/>
  <c r="W11"/>
  <c r="AW11" s="1"/>
  <c r="Y11"/>
  <c r="AX11" s="1"/>
  <c r="AB11"/>
  <c r="AY11" s="1"/>
  <c r="W12"/>
  <c r="AW12" s="1"/>
  <c r="BB12" s="1"/>
  <c r="AB12"/>
  <c r="AY12" s="1"/>
  <c r="BD12" s="1"/>
  <c r="W14"/>
  <c r="AW14" s="1"/>
  <c r="BB14" s="1"/>
  <c r="W15"/>
  <c r="AW15" s="1"/>
  <c r="BB15" s="1"/>
  <c r="W16"/>
  <c r="AW16" s="1"/>
  <c r="BB16" s="1"/>
  <c r="W17"/>
  <c r="AW17" s="1"/>
  <c r="BB17" s="1"/>
  <c r="W18"/>
  <c r="AW18" s="1"/>
  <c r="BB18" s="1"/>
  <c r="W19"/>
  <c r="AW19" s="1"/>
  <c r="BB19" s="1"/>
  <c r="W20"/>
  <c r="AW20" s="1"/>
  <c r="BB20" s="1"/>
  <c r="W22"/>
  <c r="AW22" s="1"/>
  <c r="AZ23"/>
  <c r="BE23" s="1"/>
  <c r="AE23"/>
  <c r="AZ24"/>
  <c r="BE24" s="1"/>
  <c r="AE24"/>
  <c r="W25"/>
  <c r="AW25" s="1"/>
  <c r="BB25" s="1"/>
  <c r="W27"/>
  <c r="AW27" s="1"/>
  <c r="BB27" s="1"/>
  <c r="AB27"/>
  <c r="AY27" s="1"/>
  <c r="BD27" s="1"/>
  <c r="W28"/>
  <c r="AW28" s="1"/>
  <c r="BB28" s="1"/>
  <c r="W29"/>
  <c r="AW29" s="1"/>
  <c r="BB29" s="1"/>
  <c r="W30"/>
  <c r="AW30" s="1"/>
  <c r="BB30" s="1"/>
  <c r="W31"/>
  <c r="AW31" s="1"/>
  <c r="BB31" s="1"/>
  <c r="AB31"/>
  <c r="AY31" s="1"/>
  <c r="BD31" s="1"/>
  <c r="W32"/>
  <c r="AW32" s="1"/>
  <c r="BB32" s="1"/>
  <c r="AB32"/>
  <c r="AY32" s="1"/>
  <c r="BD32" s="1"/>
  <c r="AZ34"/>
  <c r="BE34" s="1"/>
  <c r="AE34"/>
  <c r="AZ35"/>
  <c r="BE35" s="1"/>
  <c r="AE35"/>
  <c r="AZ36"/>
  <c r="BE36" s="1"/>
  <c r="AE36"/>
  <c r="AZ37"/>
  <c r="BE37" s="1"/>
  <c r="AE37"/>
  <c r="W38"/>
  <c r="AW38" s="1"/>
  <c r="BB38" s="1"/>
  <c r="W39"/>
  <c r="AW39" s="1"/>
  <c r="BB39" s="1"/>
  <c r="W40"/>
  <c r="AW40" s="1"/>
  <c r="BB40" s="1"/>
  <c r="Y40"/>
  <c r="AX40" s="1"/>
  <c r="BC40" s="1"/>
  <c r="AB40"/>
  <c r="AY40" s="1"/>
  <c r="BD40" s="1"/>
  <c r="T40" s="1"/>
  <c r="W41"/>
  <c r="AW41" s="1"/>
  <c r="BB41" s="1"/>
  <c r="W42"/>
  <c r="AW42" s="1"/>
  <c r="BB42" s="1"/>
  <c r="W43"/>
  <c r="AW43" s="1"/>
  <c r="BB43" s="1"/>
  <c r="W44"/>
  <c r="AW44" s="1"/>
  <c r="BB44" s="1"/>
  <c r="Y44"/>
  <c r="AX44" s="1"/>
  <c r="BC44" s="1"/>
  <c r="AB44"/>
  <c r="AY44" s="1"/>
  <c r="BD44" s="1"/>
  <c r="T44" s="1"/>
  <c r="W46"/>
  <c r="AW46" s="1"/>
  <c r="BB46" s="1"/>
  <c r="W47"/>
  <c r="AW47" s="1"/>
  <c r="BB47" s="1"/>
  <c r="W48"/>
  <c r="AW48" s="1"/>
  <c r="BB48" s="1"/>
  <c r="W49"/>
  <c r="AW49" s="1"/>
  <c r="BB49" s="1"/>
  <c r="W50"/>
  <c r="AW50" s="1"/>
  <c r="AB50"/>
  <c r="AY50" s="1"/>
  <c r="AE50"/>
  <c r="AZ50" s="1"/>
  <c r="W51"/>
  <c r="AW51" s="1"/>
  <c r="AB51"/>
  <c r="AY51" s="1"/>
  <c r="AE51"/>
  <c r="AZ51" s="1"/>
  <c r="W52"/>
  <c r="AW52" s="1"/>
  <c r="AB52"/>
  <c r="AY52" s="1"/>
  <c r="AE52"/>
  <c r="AZ52" s="1"/>
  <c r="W54"/>
  <c r="AW54" s="1"/>
  <c r="AZ87"/>
  <c r="AE87"/>
  <c r="Y207"/>
  <c r="AX207" s="1"/>
  <c r="BC207" s="1"/>
  <c r="AB207"/>
  <c r="AY207" s="1"/>
  <c r="BD207" s="1"/>
  <c r="T207" s="1"/>
  <c r="Y208"/>
  <c r="AX208" s="1"/>
  <c r="BC208" s="1"/>
  <c r="AB208"/>
  <c r="AY208" s="1"/>
  <c r="BD208" s="1"/>
  <c r="T208" s="1"/>
  <c r="Y209"/>
  <c r="AX209" s="1"/>
  <c r="BC209" s="1"/>
  <c r="AB209"/>
  <c r="AY209" s="1"/>
  <c r="BD209" s="1"/>
  <c r="T209" s="1"/>
  <c r="Y210"/>
  <c r="AX210" s="1"/>
  <c r="BC210" s="1"/>
  <c r="AB210"/>
  <c r="AY210" s="1"/>
  <c r="BD210" s="1"/>
  <c r="T210" s="1"/>
  <c r="Y211"/>
  <c r="AX211" s="1"/>
  <c r="BC211" s="1"/>
  <c r="AB211"/>
  <c r="AY211" s="1"/>
  <c r="BD211" s="1"/>
  <c r="T211" s="1"/>
  <c r="Y212"/>
  <c r="AX212" s="1"/>
  <c r="BC212" s="1"/>
  <c r="AB212"/>
  <c r="AY212" s="1"/>
  <c r="BD212" s="1"/>
  <c r="T212" s="1"/>
  <c r="Y213"/>
  <c r="AX213" s="1"/>
  <c r="BC213" s="1"/>
  <c r="AB213"/>
  <c r="AY213" s="1"/>
  <c r="BD213" s="1"/>
  <c r="T213" s="1"/>
  <c r="Y214"/>
  <c r="AX214" s="1"/>
  <c r="BC214" s="1"/>
  <c r="AB214"/>
  <c r="AY214" s="1"/>
  <c r="BD214" s="1"/>
  <c r="T214" s="1"/>
  <c r="Y215"/>
  <c r="AX215" s="1"/>
  <c r="BC215" s="1"/>
  <c r="AB215"/>
  <c r="AY215" s="1"/>
  <c r="BD215" s="1"/>
  <c r="T215" s="1"/>
  <c r="Y216"/>
  <c r="AX216" s="1"/>
  <c r="BC216" s="1"/>
  <c r="AB216"/>
  <c r="AY216" s="1"/>
  <c r="BD216" s="1"/>
  <c r="T216" s="1"/>
  <c r="Y217"/>
  <c r="AX217" s="1"/>
  <c r="BC217" s="1"/>
  <c r="AB217"/>
  <c r="AY217" s="1"/>
  <c r="BD217" s="1"/>
  <c r="T217" s="1"/>
  <c r="Y218"/>
  <c r="AX218" s="1"/>
  <c r="BC218" s="1"/>
  <c r="AB218"/>
  <c r="AY218" s="1"/>
  <c r="BD218" s="1"/>
  <c r="T218" s="1"/>
  <c r="Y219"/>
  <c r="AX219" s="1"/>
  <c r="BC219" s="1"/>
  <c r="AB219"/>
  <c r="AY219" s="1"/>
  <c r="BD219" s="1"/>
  <c r="T219" s="1"/>
  <c r="Y220"/>
  <c r="AX220" s="1"/>
  <c r="BC220" s="1"/>
  <c r="AB220"/>
  <c r="AY220" s="1"/>
  <c r="BD220" s="1"/>
  <c r="T220" s="1"/>
  <c r="Y221"/>
  <c r="AX221" s="1"/>
  <c r="BC221" s="1"/>
  <c r="AB221"/>
  <c r="AY221" s="1"/>
  <c r="BD221" s="1"/>
  <c r="T221" s="1"/>
  <c r="Y222"/>
  <c r="AX222" s="1"/>
  <c r="BC222" s="1"/>
  <c r="AB222"/>
  <c r="AY222" s="1"/>
  <c r="BD222" s="1"/>
  <c r="T222" s="1"/>
  <c r="Y223"/>
  <c r="AX223" s="1"/>
  <c r="BC223" s="1"/>
  <c r="AB223"/>
  <c r="AY223" s="1"/>
  <c r="BD223" s="1"/>
  <c r="T223" s="1"/>
  <c r="Y224"/>
  <c r="AX224" s="1"/>
  <c r="BC224" s="1"/>
  <c r="AB224"/>
  <c r="AY224" s="1"/>
  <c r="BD224" s="1"/>
  <c r="T224" s="1"/>
  <c r="Y225"/>
  <c r="AX225" s="1"/>
  <c r="BC225" s="1"/>
  <c r="AB225"/>
  <c r="AY225" s="1"/>
  <c r="BD225" s="1"/>
  <c r="T225" s="1"/>
  <c r="Y226"/>
  <c r="AX226" s="1"/>
  <c r="BC226" s="1"/>
  <c r="AB226"/>
  <c r="AY226" s="1"/>
  <c r="BD226" s="1"/>
  <c r="T226" s="1"/>
  <c r="Y227"/>
  <c r="AX227" s="1"/>
  <c r="BC227" s="1"/>
  <c r="AB227"/>
  <c r="AY227" s="1"/>
  <c r="BD227" s="1"/>
  <c r="T227" s="1"/>
  <c r="Y228"/>
  <c r="AX228" s="1"/>
  <c r="BC228" s="1"/>
  <c r="AB228"/>
  <c r="AY228" s="1"/>
  <c r="BD228" s="1"/>
  <c r="T228" s="1"/>
  <c r="Y389"/>
  <c r="Y447"/>
  <c r="Y448"/>
  <c r="Y449"/>
  <c r="Y450"/>
  <c r="Y451"/>
  <c r="Y452"/>
  <c r="Y453"/>
  <c r="Y454"/>
  <c r="Y455"/>
  <c r="Y456"/>
  <c r="Y457"/>
  <c r="Y458"/>
  <c r="Y459"/>
  <c r="Y460"/>
  <c r="Y461"/>
  <c r="Y462"/>
  <c r="Y475"/>
  <c r="Y476"/>
  <c r="Y477"/>
  <c r="Y478"/>
  <c r="Y479"/>
  <c r="Y483"/>
  <c r="Y484"/>
  <c r="Y485"/>
  <c r="Y486"/>
  <c r="Y487"/>
  <c r="Y488"/>
  <c r="Y489"/>
  <c r="Y490"/>
  <c r="Y492"/>
  <c r="Y493"/>
  <c r="T5" i="4"/>
  <c r="S5"/>
  <c r="R5"/>
  <c r="T9"/>
  <c r="S9"/>
  <c r="R9"/>
  <c r="T8"/>
  <c r="S8"/>
  <c r="R8"/>
  <c r="T7"/>
  <c r="S7"/>
  <c r="R7"/>
  <c r="T6"/>
  <c r="S6"/>
  <c r="R6"/>
  <c r="AO5" i="3"/>
  <c r="AT5" s="1"/>
  <c r="AO9"/>
  <c r="AT9" s="1"/>
  <c r="AO28"/>
  <c r="AT28" s="1"/>
  <c r="AO29"/>
  <c r="AT29" s="1"/>
  <c r="AO30"/>
  <c r="AT30" s="1"/>
  <c r="AO31"/>
  <c r="AT31" s="1"/>
  <c r="AO32"/>
  <c r="AT32" s="1"/>
  <c r="AO33"/>
  <c r="AT33" s="1"/>
  <c r="AO34"/>
  <c r="AT34" s="1"/>
  <c r="AO35"/>
  <c r="AT35" s="1"/>
  <c r="AO36"/>
  <c r="AT36" s="1"/>
  <c r="AO37"/>
  <c r="AT37" s="1"/>
  <c r="AO38"/>
  <c r="AT38" s="1"/>
  <c r="AO39"/>
  <c r="AT39" s="1"/>
  <c r="AO40"/>
  <c r="AT40" s="1"/>
  <c r="AO41"/>
  <c r="AT41" s="1"/>
  <c r="AO42"/>
  <c r="AT42" s="1"/>
  <c r="AO43"/>
  <c r="AT43" s="1"/>
  <c r="AO44"/>
  <c r="AT44" s="1"/>
  <c r="AO45"/>
  <c r="AT45" s="1"/>
  <c r="AO46"/>
  <c r="AT46" s="1"/>
  <c r="AO47"/>
  <c r="AT47" s="1"/>
  <c r="AO48"/>
  <c r="AT48" s="1"/>
  <c r="AO49"/>
  <c r="AT49" s="1"/>
  <c r="AO50"/>
  <c r="AT50" s="1"/>
  <c r="AO51"/>
  <c r="AT51" s="1"/>
  <c r="AO52"/>
  <c r="AT52" s="1"/>
  <c r="AO53"/>
  <c r="AT53" s="1"/>
  <c r="AO54"/>
  <c r="AT54" s="1"/>
  <c r="AO55"/>
  <c r="AT55" s="1"/>
  <c r="AO56"/>
  <c r="AT56" s="1"/>
  <c r="AO57"/>
  <c r="AT57" s="1"/>
  <c r="AO58"/>
  <c r="AT58" s="1"/>
  <c r="AO59"/>
  <c r="AT59" s="1"/>
  <c r="AO60"/>
  <c r="AT60" s="1"/>
  <c r="AO61"/>
  <c r="AT61" s="1"/>
  <c r="AO62"/>
  <c r="AT62" s="1"/>
  <c r="AO63"/>
  <c r="AT63" s="1"/>
  <c r="AO64"/>
  <c r="AT64" s="1"/>
  <c r="AO65"/>
  <c r="AT65" s="1"/>
  <c r="AO66"/>
  <c r="AT66" s="1"/>
  <c r="AO67"/>
  <c r="AT67" s="1"/>
  <c r="AO68"/>
  <c r="AT68" s="1"/>
  <c r="AO69"/>
  <c r="AT69" s="1"/>
  <c r="AO70"/>
  <c r="AT70" s="1"/>
  <c r="AO4"/>
  <c r="AT4" s="1"/>
  <c r="AP5"/>
  <c r="AU5" s="1"/>
  <c r="AP6"/>
  <c r="AU6" s="1"/>
  <c r="AQ6"/>
  <c r="AV6" s="1"/>
  <c r="AP7"/>
  <c r="AU7" s="1"/>
  <c r="AQ7"/>
  <c r="AV7" s="1"/>
  <c r="AP8"/>
  <c r="AU8" s="1"/>
  <c r="AQ8"/>
  <c r="AV8" s="1"/>
  <c r="AP9"/>
  <c r="AU9" s="1"/>
  <c r="AP10"/>
  <c r="AU10" s="1"/>
  <c r="AQ10"/>
  <c r="AV10" s="1"/>
  <c r="AP11"/>
  <c r="AU11" s="1"/>
  <c r="AQ11"/>
  <c r="AV11" s="1"/>
  <c r="AP12"/>
  <c r="AU12" s="1"/>
  <c r="AQ12"/>
  <c r="AV12" s="1"/>
  <c r="AP13"/>
  <c r="AU13" s="1"/>
  <c r="AQ13"/>
  <c r="AV13" s="1"/>
  <c r="AP14"/>
  <c r="AU14" s="1"/>
  <c r="AQ14"/>
  <c r="AV14" s="1"/>
  <c r="AP15"/>
  <c r="AU15" s="1"/>
  <c r="AQ15"/>
  <c r="AV15" s="1"/>
  <c r="AP16"/>
  <c r="AU16" s="1"/>
  <c r="AQ16"/>
  <c r="AV16" s="1"/>
  <c r="AP17"/>
  <c r="AU17" s="1"/>
  <c r="AQ17"/>
  <c r="AV17" s="1"/>
  <c r="AP18"/>
  <c r="AU18" s="1"/>
  <c r="AQ18"/>
  <c r="AV18" s="1"/>
  <c r="AP20"/>
  <c r="AU20" s="1"/>
  <c r="AQ20"/>
  <c r="AV20" s="1"/>
  <c r="AP21"/>
  <c r="AU21" s="1"/>
  <c r="AQ21"/>
  <c r="AV21" s="1"/>
  <c r="AP22"/>
  <c r="AU22" s="1"/>
  <c r="AQ22"/>
  <c r="AV22" s="1"/>
  <c r="AP23"/>
  <c r="AU23" s="1"/>
  <c r="AQ23"/>
  <c r="AV23" s="1"/>
  <c r="AP24"/>
  <c r="AU24" s="1"/>
  <c r="AQ24"/>
  <c r="AV24" s="1"/>
  <c r="AP25"/>
  <c r="AU25" s="1"/>
  <c r="AQ25"/>
  <c r="AV25" s="1"/>
  <c r="AP26"/>
  <c r="AU26" s="1"/>
  <c r="AQ26"/>
  <c r="AV26" s="1"/>
  <c r="AP27"/>
  <c r="AU27" s="1"/>
  <c r="AQ27"/>
  <c r="AV27" s="1"/>
  <c r="AP28"/>
  <c r="AU28" s="1"/>
  <c r="AP29"/>
  <c r="AU29" s="1"/>
  <c r="AP30"/>
  <c r="AU30" s="1"/>
  <c r="AP31"/>
  <c r="AU31" s="1"/>
  <c r="AP32"/>
  <c r="AU32" s="1"/>
  <c r="AP33"/>
  <c r="AU33" s="1"/>
  <c r="AP34"/>
  <c r="AU34" s="1"/>
  <c r="AP35"/>
  <c r="AU35" s="1"/>
  <c r="AP36"/>
  <c r="AU36" s="1"/>
  <c r="AP37"/>
  <c r="AU37" s="1"/>
  <c r="AP38"/>
  <c r="AU38" s="1"/>
  <c r="AP39"/>
  <c r="AU39" s="1"/>
  <c r="AP40"/>
  <c r="AU40" s="1"/>
  <c r="AP41"/>
  <c r="AU41" s="1"/>
  <c r="AP42"/>
  <c r="AU42" s="1"/>
  <c r="AP43"/>
  <c r="AU43" s="1"/>
  <c r="AP44"/>
  <c r="AU44" s="1"/>
  <c r="AP45"/>
  <c r="AU45" s="1"/>
  <c r="AP46"/>
  <c r="AU46" s="1"/>
  <c r="AP47"/>
  <c r="AU47" s="1"/>
  <c r="AP48"/>
  <c r="AU48" s="1"/>
  <c r="AP49"/>
  <c r="AU49" s="1"/>
  <c r="AP50"/>
  <c r="AU50" s="1"/>
  <c r="AP51"/>
  <c r="AU51" s="1"/>
  <c r="AP52"/>
  <c r="AU52" s="1"/>
  <c r="AP53"/>
  <c r="AU53" s="1"/>
  <c r="AP54"/>
  <c r="AU54" s="1"/>
  <c r="AP55"/>
  <c r="AU55" s="1"/>
  <c r="AP56"/>
  <c r="AU56" s="1"/>
  <c r="AP57"/>
  <c r="AU57" s="1"/>
  <c r="AP58"/>
  <c r="AU58" s="1"/>
  <c r="AP59"/>
  <c r="AU59" s="1"/>
  <c r="AP60"/>
  <c r="AU60" s="1"/>
  <c r="AP61"/>
  <c r="AU61" s="1"/>
  <c r="AP62"/>
  <c r="AU62" s="1"/>
  <c r="AP63"/>
  <c r="AU63" s="1"/>
  <c r="AP64"/>
  <c r="AU64" s="1"/>
  <c r="AP65"/>
  <c r="AU65" s="1"/>
  <c r="AP66"/>
  <c r="AU66" s="1"/>
  <c r="AP67"/>
  <c r="AU67" s="1"/>
  <c r="AP68"/>
  <c r="AU68" s="1"/>
  <c r="AP69"/>
  <c r="AU69" s="1"/>
  <c r="AP70"/>
  <c r="AU70" s="1"/>
  <c r="AP4"/>
  <c r="AU4" s="1"/>
  <c r="S4" s="1"/>
  <c r="U228" i="6" l="1"/>
  <c r="S228"/>
  <c r="R228"/>
  <c r="U227"/>
  <c r="S227"/>
  <c r="R227"/>
  <c r="U226"/>
  <c r="S226"/>
  <c r="R226"/>
  <c r="U225"/>
  <c r="S225"/>
  <c r="R225"/>
  <c r="U224"/>
  <c r="S224"/>
  <c r="R224"/>
  <c r="U223"/>
  <c r="S223"/>
  <c r="R223"/>
  <c r="U222"/>
  <c r="S222"/>
  <c r="R222"/>
  <c r="U221"/>
  <c r="S221"/>
  <c r="R221"/>
  <c r="U220"/>
  <c r="S220"/>
  <c r="R220"/>
  <c r="U219"/>
  <c r="S219"/>
  <c r="R219"/>
  <c r="U218"/>
  <c r="S218"/>
  <c r="R218"/>
  <c r="U217"/>
  <c r="S217"/>
  <c r="R217"/>
  <c r="U216"/>
  <c r="S216"/>
  <c r="R216"/>
  <c r="U215"/>
  <c r="S215"/>
  <c r="R215"/>
  <c r="U214"/>
  <c r="S214"/>
  <c r="R214"/>
  <c r="U213"/>
  <c r="S213"/>
  <c r="R213"/>
  <c r="U212"/>
  <c r="S212"/>
  <c r="R212"/>
  <c r="U211"/>
  <c r="S211"/>
  <c r="R211"/>
  <c r="U210"/>
  <c r="S210"/>
  <c r="R210"/>
  <c r="U209"/>
  <c r="S209"/>
  <c r="R209"/>
  <c r="U208"/>
  <c r="S208"/>
  <c r="R208"/>
  <c r="U207"/>
  <c r="S207"/>
  <c r="R207"/>
  <c r="S44"/>
  <c r="R44"/>
  <c r="S40"/>
  <c r="R40"/>
  <c r="U40"/>
  <c r="U44"/>
  <c r="S10"/>
  <c r="T10"/>
  <c r="S45"/>
  <c r="T45"/>
  <c r="S94"/>
  <c r="T94"/>
  <c r="S102"/>
  <c r="T102"/>
  <c r="S103"/>
  <c r="T103"/>
  <c r="S105"/>
  <c r="T105"/>
  <c r="S109"/>
  <c r="T109"/>
  <c r="S110"/>
  <c r="T110"/>
  <c r="S121"/>
  <c r="T121"/>
  <c r="S122"/>
  <c r="T122"/>
  <c r="S123"/>
  <c r="T123"/>
  <c r="S126"/>
  <c r="T126"/>
  <c r="S128"/>
  <c r="T128"/>
  <c r="S129"/>
  <c r="T129"/>
  <c r="S130"/>
  <c r="T130"/>
  <c r="U158"/>
  <c r="S158"/>
  <c r="R158"/>
  <c r="T158"/>
  <c r="U159"/>
  <c r="S159"/>
  <c r="R159"/>
  <c r="T159"/>
  <c r="T161"/>
  <c r="S162"/>
  <c r="T162"/>
  <c r="T167"/>
  <c r="T168"/>
  <c r="T169"/>
  <c r="T170"/>
  <c r="T171"/>
  <c r="T172"/>
  <c r="S173"/>
  <c r="R173"/>
  <c r="T173"/>
  <c r="S174"/>
  <c r="R174"/>
  <c r="T174"/>
  <c r="S175"/>
  <c r="R175"/>
  <c r="T175"/>
  <c r="S176"/>
  <c r="R176"/>
  <c r="T176"/>
  <c r="S177"/>
  <c r="R177"/>
  <c r="T177"/>
  <c r="S178"/>
  <c r="T178"/>
  <c r="S179"/>
  <c r="T179"/>
  <c r="S180"/>
  <c r="T180"/>
  <c r="T181"/>
  <c r="T182"/>
  <c r="T183"/>
  <c r="T184"/>
  <c r="T185"/>
  <c r="T186"/>
  <c r="T187"/>
  <c r="S188"/>
  <c r="R188"/>
  <c r="T188"/>
  <c r="S189"/>
  <c r="R189"/>
  <c r="T189"/>
  <c r="S190"/>
  <c r="R190"/>
  <c r="T190"/>
  <c r="S191"/>
  <c r="R191"/>
  <c r="T191"/>
  <c r="S192"/>
  <c r="R192"/>
  <c r="T192"/>
  <c r="S193"/>
  <c r="T193"/>
  <c r="S194"/>
  <c r="T194"/>
  <c r="S195"/>
  <c r="T195"/>
  <c r="S196"/>
  <c r="T196"/>
  <c r="S197"/>
  <c r="R197"/>
  <c r="T197"/>
  <c r="U204"/>
  <c r="S204"/>
  <c r="R204"/>
  <c r="T204"/>
  <c r="U205"/>
  <c r="S205"/>
  <c r="R205"/>
  <c r="T205"/>
  <c r="U206"/>
  <c r="S206"/>
  <c r="R206"/>
  <c r="T206"/>
  <c r="R10"/>
  <c r="R45"/>
  <c r="R94"/>
  <c r="R102"/>
  <c r="R103"/>
  <c r="R105"/>
  <c r="R109"/>
  <c r="R110"/>
  <c r="R121"/>
  <c r="R122"/>
  <c r="R123"/>
  <c r="R126"/>
  <c r="R128"/>
  <c r="R129"/>
  <c r="R130"/>
  <c r="U160"/>
  <c r="T160"/>
  <c r="R160"/>
  <c r="U161"/>
  <c r="R161"/>
  <c r="R162"/>
  <c r="U163"/>
  <c r="T163"/>
  <c r="R163"/>
  <c r="U164"/>
  <c r="T164"/>
  <c r="R164"/>
  <c r="U165"/>
  <c r="T165"/>
  <c r="R165"/>
  <c r="U166"/>
  <c r="T166"/>
  <c r="R166"/>
  <c r="U167"/>
  <c r="R167"/>
  <c r="U168"/>
  <c r="R168"/>
  <c r="U169"/>
  <c r="R169"/>
  <c r="U170"/>
  <c r="R170"/>
  <c r="U171"/>
  <c r="R171"/>
  <c r="U172"/>
  <c r="R172"/>
  <c r="R178"/>
  <c r="R179"/>
  <c r="R180"/>
  <c r="U181"/>
  <c r="R181"/>
  <c r="U182"/>
  <c r="R182"/>
  <c r="U183"/>
  <c r="R183"/>
  <c r="U184"/>
  <c r="R184"/>
  <c r="U185"/>
  <c r="R185"/>
  <c r="U186"/>
  <c r="R186"/>
  <c r="U187"/>
  <c r="R187"/>
  <c r="R193"/>
  <c r="R194"/>
  <c r="R195"/>
  <c r="R196"/>
  <c r="U198"/>
  <c r="T198"/>
  <c r="R198"/>
  <c r="U199"/>
  <c r="T199"/>
  <c r="R199"/>
  <c r="U200"/>
  <c r="T200"/>
  <c r="R200"/>
  <c r="U201"/>
  <c r="T201"/>
  <c r="R201"/>
  <c r="U202"/>
  <c r="T202"/>
  <c r="R202"/>
  <c r="U203"/>
  <c r="T203"/>
  <c r="R203"/>
  <c r="AE64"/>
  <c r="AZ64" s="1"/>
  <c r="AE80"/>
  <c r="AZ80" s="1"/>
  <c r="AE84"/>
  <c r="AZ84" s="1"/>
  <c r="AE229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4"/>
  <c r="AE256"/>
  <c r="AE258"/>
  <c r="AE260"/>
  <c r="AE261"/>
  <c r="AE262"/>
  <c r="AE263"/>
  <c r="AE264"/>
  <c r="AE265"/>
  <c r="AE266"/>
  <c r="AE267"/>
  <c r="AE268"/>
  <c r="AE269"/>
  <c r="AE270"/>
  <c r="AE271"/>
  <c r="AE272"/>
  <c r="W4"/>
  <c r="AW4" s="1"/>
  <c r="BB4" s="1"/>
  <c r="Y4"/>
  <c r="AX4" s="1"/>
  <c r="BC4" s="1"/>
  <c r="S4" s="1"/>
  <c r="W5"/>
  <c r="AW5" s="1"/>
  <c r="BB5" s="1"/>
  <c r="Y5"/>
  <c r="AX5" s="1"/>
  <c r="BC5" s="1"/>
  <c r="S5" s="1"/>
  <c r="W6"/>
  <c r="AW6" s="1"/>
  <c r="BB6" s="1"/>
  <c r="Y6"/>
  <c r="AX6" s="1"/>
  <c r="BC6" s="1"/>
  <c r="AB6"/>
  <c r="AY6" s="1"/>
  <c r="BD6" s="1"/>
  <c r="T6" s="1"/>
  <c r="AB8"/>
  <c r="AY8" s="1"/>
  <c r="BD8" s="1"/>
  <c r="W9"/>
  <c r="AW9" s="1"/>
  <c r="BB9" s="1"/>
  <c r="Y9"/>
  <c r="AX9" s="1"/>
  <c r="BC9" s="1"/>
  <c r="S9" s="1"/>
  <c r="Y12"/>
  <c r="AX12" s="1"/>
  <c r="BC12" s="1"/>
  <c r="Y14"/>
  <c r="AX14" s="1"/>
  <c r="BC14" s="1"/>
  <c r="AB14"/>
  <c r="AY14" s="1"/>
  <c r="BD14" s="1"/>
  <c r="T14" s="1"/>
  <c r="Y15"/>
  <c r="AX15" s="1"/>
  <c r="BC15" s="1"/>
  <c r="Y16"/>
  <c r="AX16" s="1"/>
  <c r="BC16" s="1"/>
  <c r="Y17"/>
  <c r="AX17" s="1"/>
  <c r="BC17" s="1"/>
  <c r="Y18"/>
  <c r="AX18" s="1"/>
  <c r="BC18" s="1"/>
  <c r="Y19"/>
  <c r="AX19" s="1"/>
  <c r="BC19" s="1"/>
  <c r="Y20"/>
  <c r="AX20" s="1"/>
  <c r="BC20" s="1"/>
  <c r="W21"/>
  <c r="AW21" s="1"/>
  <c r="BB21" s="1"/>
  <c r="Y21"/>
  <c r="AX21" s="1"/>
  <c r="BC21" s="1"/>
  <c r="AB21"/>
  <c r="AY21" s="1"/>
  <c r="BD21" s="1"/>
  <c r="T21" s="1"/>
  <c r="W23"/>
  <c r="AW23" s="1"/>
  <c r="BB23" s="1"/>
  <c r="Y23"/>
  <c r="AX23" s="1"/>
  <c r="BC23" s="1"/>
  <c r="AB23"/>
  <c r="AY23" s="1"/>
  <c r="BD23" s="1"/>
  <c r="T23" s="1"/>
  <c r="W24"/>
  <c r="AW24" s="1"/>
  <c r="BB24" s="1"/>
  <c r="Y24"/>
  <c r="AX24" s="1"/>
  <c r="BC24" s="1"/>
  <c r="AB24"/>
  <c r="AY24" s="1"/>
  <c r="BD24" s="1"/>
  <c r="T24" s="1"/>
  <c r="Y25"/>
  <c r="AX25" s="1"/>
  <c r="BC25" s="1"/>
  <c r="Y26"/>
  <c r="AX26" s="1"/>
  <c r="BC26" s="1"/>
  <c r="Y27"/>
  <c r="AX27" s="1"/>
  <c r="BC27" s="1"/>
  <c r="Y28"/>
  <c r="AX28" s="1"/>
  <c r="BC28" s="1"/>
  <c r="AB28"/>
  <c r="AY28" s="1"/>
  <c r="BD28" s="1"/>
  <c r="T28" s="1"/>
  <c r="Y29"/>
  <c r="AX29" s="1"/>
  <c r="BC29" s="1"/>
  <c r="AB29"/>
  <c r="AY29" s="1"/>
  <c r="BD29" s="1"/>
  <c r="T29" s="1"/>
  <c r="Y30"/>
  <c r="AX30" s="1"/>
  <c r="BC30" s="1"/>
  <c r="AB30"/>
  <c r="AY30" s="1"/>
  <c r="BD30" s="1"/>
  <c r="T30" s="1"/>
  <c r="Y31"/>
  <c r="AX31" s="1"/>
  <c r="BC31" s="1"/>
  <c r="Y32"/>
  <c r="AX32" s="1"/>
  <c r="BC32" s="1"/>
  <c r="W33"/>
  <c r="AW33" s="1"/>
  <c r="BB33" s="1"/>
  <c r="Y33"/>
  <c r="AX33" s="1"/>
  <c r="BC33" s="1"/>
  <c r="AB33"/>
  <c r="AY33" s="1"/>
  <c r="BD33" s="1"/>
  <c r="T33" s="1"/>
  <c r="W34"/>
  <c r="AW34" s="1"/>
  <c r="BB34" s="1"/>
  <c r="Y34"/>
  <c r="AX34" s="1"/>
  <c r="BC34" s="1"/>
  <c r="AB34"/>
  <c r="AY34" s="1"/>
  <c r="BD34" s="1"/>
  <c r="T34" s="1"/>
  <c r="W35"/>
  <c r="AW35" s="1"/>
  <c r="BB35" s="1"/>
  <c r="Y35"/>
  <c r="AX35" s="1"/>
  <c r="BC35" s="1"/>
  <c r="AB35"/>
  <c r="AY35" s="1"/>
  <c r="BD35" s="1"/>
  <c r="T35" s="1"/>
  <c r="W36"/>
  <c r="AW36" s="1"/>
  <c r="BB36" s="1"/>
  <c r="Y36"/>
  <c r="AX36" s="1"/>
  <c r="BC36" s="1"/>
  <c r="AB36"/>
  <c r="AY36" s="1"/>
  <c r="BD36" s="1"/>
  <c r="T36" s="1"/>
  <c r="W37"/>
  <c r="AW37" s="1"/>
  <c r="BB37" s="1"/>
  <c r="Y37"/>
  <c r="AX37" s="1"/>
  <c r="BC37" s="1"/>
  <c r="AB37"/>
  <c r="AY37" s="1"/>
  <c r="BD37" s="1"/>
  <c r="T37" s="1"/>
  <c r="Y38"/>
  <c r="AX38" s="1"/>
  <c r="BC38" s="1"/>
  <c r="AB38"/>
  <c r="AY38" s="1"/>
  <c r="BD38" s="1"/>
  <c r="T38" s="1"/>
  <c r="Y39"/>
  <c r="AX39" s="1"/>
  <c r="BC39" s="1"/>
  <c r="AB39"/>
  <c r="AY39" s="1"/>
  <c r="BD39" s="1"/>
  <c r="T39" s="1"/>
  <c r="Y41"/>
  <c r="AX41" s="1"/>
  <c r="BC41" s="1"/>
  <c r="AB41"/>
  <c r="AY41" s="1"/>
  <c r="BD41" s="1"/>
  <c r="T41" s="1"/>
  <c r="Y42"/>
  <c r="AX42" s="1"/>
  <c r="BC42" s="1"/>
  <c r="AB42"/>
  <c r="AY42" s="1"/>
  <c r="BD42" s="1"/>
  <c r="T42" s="1"/>
  <c r="Y43"/>
  <c r="AX43" s="1"/>
  <c r="BC43" s="1"/>
  <c r="AB43"/>
  <c r="AY43" s="1"/>
  <c r="BD43" s="1"/>
  <c r="T43" s="1"/>
  <c r="Y46"/>
  <c r="AX46" s="1"/>
  <c r="BC46" s="1"/>
  <c r="AB46"/>
  <c r="AY46" s="1"/>
  <c r="BD46" s="1"/>
  <c r="T46" s="1"/>
  <c r="Y47"/>
  <c r="AX47" s="1"/>
  <c r="BC47" s="1"/>
  <c r="AB47"/>
  <c r="AY47" s="1"/>
  <c r="BD47" s="1"/>
  <c r="T47" s="1"/>
  <c r="Y48"/>
  <c r="AX48" s="1"/>
  <c r="BC48" s="1"/>
  <c r="AB48"/>
  <c r="AY48" s="1"/>
  <c r="BD48" s="1"/>
  <c r="T48" s="1"/>
  <c r="Y49"/>
  <c r="AX49" s="1"/>
  <c r="BC49" s="1"/>
  <c r="AB49"/>
  <c r="AY49" s="1"/>
  <c r="BD49" s="1"/>
  <c r="T49" s="1"/>
  <c r="W59"/>
  <c r="AW59" s="1"/>
  <c r="W60"/>
  <c r="AW60" s="1"/>
  <c r="W64"/>
  <c r="AW64" s="1"/>
  <c r="Y64"/>
  <c r="AX64" s="1"/>
  <c r="AB64"/>
  <c r="AY64" s="1"/>
  <c r="W80"/>
  <c r="AW80" s="1"/>
  <c r="Y80"/>
  <c r="AX80" s="1"/>
  <c r="AB80"/>
  <c r="AY80" s="1"/>
  <c r="W84"/>
  <c r="AW84" s="1"/>
  <c r="Y84"/>
  <c r="AX84" s="1"/>
  <c r="AB84"/>
  <c r="AY84" s="1"/>
  <c r="W90"/>
  <c r="AW90" s="1"/>
  <c r="W91"/>
  <c r="AW91" s="1"/>
  <c r="AB91"/>
  <c r="AY91" s="1"/>
  <c r="W92"/>
  <c r="AW92" s="1"/>
  <c r="AB92"/>
  <c r="AY92" s="1"/>
  <c r="Y93"/>
  <c r="AX93" s="1"/>
  <c r="BC93" s="1"/>
  <c r="Y95"/>
  <c r="AX95" s="1"/>
  <c r="BC95" s="1"/>
  <c r="Y96"/>
  <c r="AX96" s="1"/>
  <c r="BC96" s="1"/>
  <c r="Y97"/>
  <c r="AX97" s="1"/>
  <c r="BC97" s="1"/>
  <c r="Y98"/>
  <c r="AX98" s="1"/>
  <c r="BC98" s="1"/>
  <c r="Y99"/>
  <c r="AX99" s="1"/>
  <c r="BC99" s="1"/>
  <c r="Y100"/>
  <c r="AX100" s="1"/>
  <c r="BC100" s="1"/>
  <c r="Y101"/>
  <c r="AX101" s="1"/>
  <c r="BC101" s="1"/>
  <c r="Y104"/>
  <c r="AX104" s="1"/>
  <c r="BC104" s="1"/>
  <c r="Y106"/>
  <c r="AX106" s="1"/>
  <c r="BC106" s="1"/>
  <c r="Y107"/>
  <c r="AX107" s="1"/>
  <c r="BC107" s="1"/>
  <c r="Y108"/>
  <c r="AX108" s="1"/>
  <c r="BC108" s="1"/>
  <c r="Y111"/>
  <c r="AX111" s="1"/>
  <c r="BC111" s="1"/>
  <c r="Y112"/>
  <c r="AX112" s="1"/>
  <c r="BC112" s="1"/>
  <c r="Y113"/>
  <c r="AX113" s="1"/>
  <c r="BC113" s="1"/>
  <c r="Y114"/>
  <c r="AX114" s="1"/>
  <c r="BC114" s="1"/>
  <c r="Y115"/>
  <c r="AX115" s="1"/>
  <c r="BC115" s="1"/>
  <c r="Y116"/>
  <c r="AX116" s="1"/>
  <c r="BC116" s="1"/>
  <c r="Y117"/>
  <c r="AX117" s="1"/>
  <c r="BC117" s="1"/>
  <c r="Y118"/>
  <c r="AX118" s="1"/>
  <c r="BC118" s="1"/>
  <c r="Y119"/>
  <c r="AX119" s="1"/>
  <c r="BC119" s="1"/>
  <c r="Y120"/>
  <c r="AX120" s="1"/>
  <c r="BC120" s="1"/>
  <c r="Y127"/>
  <c r="AX127" s="1"/>
  <c r="BC127" s="1"/>
  <c r="AB127"/>
  <c r="AY127" s="1"/>
  <c r="BD127" s="1"/>
  <c r="T127" s="1"/>
  <c r="AB273"/>
  <c r="AB274"/>
  <c r="AB275"/>
  <c r="AB276"/>
  <c r="AB277"/>
  <c r="AB278"/>
  <c r="AB279"/>
  <c r="AB281"/>
  <c r="AB282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7"/>
  <c r="AB358"/>
  <c r="AB359"/>
  <c r="AB360"/>
  <c r="AB361"/>
  <c r="AB362"/>
  <c r="AB363"/>
  <c r="AB364"/>
  <c r="AB365"/>
  <c r="AB366"/>
  <c r="AB367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8"/>
  <c r="R4" i="3"/>
  <c r="U4"/>
  <c r="T4"/>
  <c r="S127" i="6" l="1"/>
  <c r="U127"/>
  <c r="R127"/>
  <c r="S120"/>
  <c r="U120"/>
  <c r="T120"/>
  <c r="R120"/>
  <c r="S119"/>
  <c r="U119"/>
  <c r="T119"/>
  <c r="R119"/>
  <c r="S118"/>
  <c r="U118"/>
  <c r="T118"/>
  <c r="R118"/>
  <c r="S117"/>
  <c r="U117"/>
  <c r="T117"/>
  <c r="R117"/>
  <c r="S116"/>
  <c r="U116"/>
  <c r="T116"/>
  <c r="R116"/>
  <c r="S115"/>
  <c r="U115"/>
  <c r="T115"/>
  <c r="R115"/>
  <c r="S114"/>
  <c r="U114"/>
  <c r="T114"/>
  <c r="R114"/>
  <c r="S113"/>
  <c r="U113"/>
  <c r="T113"/>
  <c r="R113"/>
  <c r="S112"/>
  <c r="U112"/>
  <c r="T112"/>
  <c r="R112"/>
  <c r="S111"/>
  <c r="U111"/>
  <c r="T111"/>
  <c r="R111"/>
  <c r="S108"/>
  <c r="U108"/>
  <c r="T108"/>
  <c r="R108"/>
  <c r="S107"/>
  <c r="U107"/>
  <c r="T107"/>
  <c r="R107"/>
  <c r="S106"/>
  <c r="U106"/>
  <c r="T106"/>
  <c r="R106"/>
  <c r="S104"/>
  <c r="U104"/>
  <c r="T104"/>
  <c r="R104"/>
  <c r="S101"/>
  <c r="U101"/>
  <c r="T101"/>
  <c r="R101"/>
  <c r="S100"/>
  <c r="U100"/>
  <c r="T100"/>
  <c r="R100"/>
  <c r="S99"/>
  <c r="U99"/>
  <c r="T99"/>
  <c r="R99"/>
  <c r="S98"/>
  <c r="U98"/>
  <c r="T98"/>
  <c r="R98"/>
  <c r="S97"/>
  <c r="U97"/>
  <c r="T97"/>
  <c r="R97"/>
  <c r="S96"/>
  <c r="U96"/>
  <c r="T96"/>
  <c r="R96"/>
  <c r="S95"/>
  <c r="U95"/>
  <c r="T95"/>
  <c r="R95"/>
  <c r="S93"/>
  <c r="U93"/>
  <c r="T93"/>
  <c r="R93"/>
  <c r="S49"/>
  <c r="R49"/>
  <c r="U49"/>
  <c r="S48"/>
  <c r="R48"/>
  <c r="U48"/>
  <c r="S47"/>
  <c r="R47"/>
  <c r="U47"/>
  <c r="S46"/>
  <c r="R46"/>
  <c r="U46"/>
  <c r="S43"/>
  <c r="R43"/>
  <c r="U43"/>
  <c r="S42"/>
  <c r="R42"/>
  <c r="U42"/>
  <c r="S41"/>
  <c r="R41"/>
  <c r="U41"/>
  <c r="S39"/>
  <c r="R39"/>
  <c r="U39"/>
  <c r="S38"/>
  <c r="R38"/>
  <c r="U38"/>
  <c r="S37"/>
  <c r="R37"/>
  <c r="U37"/>
  <c r="S36"/>
  <c r="R36"/>
  <c r="U36"/>
  <c r="S35"/>
  <c r="R35"/>
  <c r="U35"/>
  <c r="S34"/>
  <c r="R34"/>
  <c r="U34"/>
  <c r="S33"/>
  <c r="R33"/>
  <c r="U33"/>
  <c r="S32"/>
  <c r="T32"/>
  <c r="R32"/>
  <c r="U32"/>
  <c r="S31"/>
  <c r="T31"/>
  <c r="R31"/>
  <c r="U31"/>
  <c r="S30"/>
  <c r="R30"/>
  <c r="U30"/>
  <c r="S29"/>
  <c r="R29"/>
  <c r="U29"/>
  <c r="S28"/>
  <c r="R28"/>
  <c r="U28"/>
  <c r="S27"/>
  <c r="T27"/>
  <c r="R27"/>
  <c r="U27"/>
  <c r="S26"/>
  <c r="U26"/>
  <c r="T26"/>
  <c r="R26"/>
  <c r="S25"/>
  <c r="R25"/>
  <c r="U25"/>
  <c r="T25"/>
  <c r="S24"/>
  <c r="R24"/>
  <c r="U24"/>
  <c r="S23"/>
  <c r="R23"/>
  <c r="U23"/>
  <c r="S21"/>
  <c r="R21"/>
  <c r="U21"/>
  <c r="S20"/>
  <c r="R20"/>
  <c r="U20"/>
  <c r="T20"/>
  <c r="S19"/>
  <c r="R19"/>
  <c r="U19"/>
  <c r="T19"/>
  <c r="S18"/>
  <c r="R18"/>
  <c r="U18"/>
  <c r="T18"/>
  <c r="S17"/>
  <c r="R17"/>
  <c r="U17"/>
  <c r="T17"/>
  <c r="S16"/>
  <c r="R16"/>
  <c r="U16"/>
  <c r="T16"/>
  <c r="S15"/>
  <c r="R15"/>
  <c r="U15"/>
  <c r="T15"/>
  <c r="S14"/>
  <c r="R14"/>
  <c r="U14"/>
  <c r="S12"/>
  <c r="T12"/>
  <c r="R12"/>
  <c r="U12"/>
  <c r="R9"/>
  <c r="U9"/>
  <c r="T9"/>
  <c r="T8"/>
  <c r="U8"/>
  <c r="S8"/>
  <c r="R8"/>
  <c r="S6"/>
  <c r="R6"/>
  <c r="U6"/>
  <c r="R5"/>
  <c r="U5"/>
  <c r="T5"/>
  <c r="R4"/>
  <c r="U4"/>
  <c r="T4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 xmlns:xda="http://schemas.microsoft.com/office/spreadsheetml/2017/dynamicarray"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<sst xmlns="http://schemas.openxmlformats.org/spreadsheetml/2006/main" count="12612" uniqueCount="3762">
  <si>
    <t>Molar masses (g/mol)</t>
  </si>
  <si>
    <t>FeO</t>
  </si>
  <si>
    <t>MgO</t>
  </si>
  <si>
    <t>CaO</t>
  </si>
  <si>
    <t>Na2O / 2</t>
  </si>
  <si>
    <t>K2O / 2</t>
  </si>
  <si>
    <t>Densities (g/cm3) / 100</t>
  </si>
  <si>
    <t>fayalite</t>
  </si>
  <si>
    <t>forsterite</t>
  </si>
  <si>
    <t>ferrosilite</t>
  </si>
  <si>
    <t>enstatite</t>
  </si>
  <si>
    <t>wollastonite</t>
  </si>
  <si>
    <t>anorthite</t>
  </si>
  <si>
    <t>albite</t>
  </si>
  <si>
    <t>orthoclase</t>
  </si>
  <si>
    <t>SampleID</t>
  </si>
  <si>
    <t>SampleName</t>
  </si>
  <si>
    <t>PI</t>
  </si>
  <si>
    <t>Source</t>
  </si>
  <si>
    <t>GeneralType1</t>
  </si>
  <si>
    <t>GeneralType2</t>
  </si>
  <si>
    <t>Type1</t>
  </si>
  <si>
    <t>SubType</t>
  </si>
  <si>
    <t>Modified</t>
  </si>
  <si>
    <t>MinSize</t>
  </si>
  <si>
    <t>MaxSize</t>
  </si>
  <si>
    <t>Particulate</t>
  </si>
  <si>
    <t>Texture</t>
  </si>
  <si>
    <t>Origin</t>
  </si>
  <si>
    <t>Location</t>
  </si>
  <si>
    <t>Chem#</t>
  </si>
  <si>
    <t>Text</t>
  </si>
  <si>
    <t>OL modal abundances normalised to silicates (vol%)</t>
  </si>
  <si>
    <t>OPX modal abundances normalised to silicates (vol%)</t>
  </si>
  <si>
    <t>CPX modal abundances normalised to silicates (vol%)</t>
  </si>
  <si>
    <t>PLG modal abundances normalised to silicates (vol%)</t>
  </si>
  <si>
    <t>Fa</t>
  </si>
  <si>
    <t>Fo</t>
  </si>
  <si>
    <t>Fs</t>
  </si>
  <si>
    <t>En</t>
  </si>
  <si>
    <t>Wo</t>
  </si>
  <si>
    <t>An</t>
  </si>
  <si>
    <t>Ab</t>
  </si>
  <si>
    <t>Or</t>
  </si>
  <si>
    <t>Weathering</t>
  </si>
  <si>
    <t>Notes</t>
  </si>
  <si>
    <t>conversion of modal abundances</t>
  </si>
  <si>
    <t>mass abundance (wt%)</t>
  </si>
  <si>
    <t>OL</t>
  </si>
  <si>
    <t>OPX</t>
  </si>
  <si>
    <t>CPX</t>
  </si>
  <si>
    <t>PLG</t>
  </si>
  <si>
    <t>OL density</t>
  </si>
  <si>
    <t>OPX density</t>
  </si>
  <si>
    <t>CPX density</t>
  </si>
  <si>
    <t>PLG density</t>
  </si>
  <si>
    <t>volumetric relative fractions (unnormalised)</t>
  </si>
  <si>
    <t>DP-JNG-006</t>
  </si>
  <si>
    <t>Tuxtuac M-LL5-860C (Tuxtac LL5) chondrules &lt;125 um</t>
  </si>
  <si>
    <t>JNG</t>
  </si>
  <si>
    <t>Other-Met</t>
  </si>
  <si>
    <t>Rock</t>
    <phoneticPr fontId="0" type="noConversion"/>
  </si>
  <si>
    <t>Ordinary Chondrite</t>
  </si>
  <si>
    <t>LL5 Chondrule</t>
  </si>
  <si>
    <t>Yes</t>
  </si>
  <si>
    <t>Particulate Ground Sorted</t>
  </si>
  <si>
    <t>Zacatecas, Mexico</t>
  </si>
  <si>
    <t>Physical Research Lab</t>
  </si>
  <si>
    <t>Asteroid-meteorite comparison</t>
  </si>
  <si>
    <t>S</t>
  </si>
  <si>
    <t>https://trace.tennessee.edu/cgi/viewcontent.cgi?article=1440&amp;context=utk_graddiss</t>
  </si>
  <si>
    <t>http://articles.adsabs.harvard.edu/cgi-bin/nph-iarticle_query?1989Metic..24..219M&amp;defaultprint=YES&amp;filetype=.pdf</t>
  </si>
  <si>
    <t>https://onlinelibrary.wiley.com/doi/pdf/10.1111/j.1945-5100.2010.01021.x</t>
  </si>
  <si>
    <t>wt% to vol%</t>
  </si>
  <si>
    <t>DP-JNG-007</t>
  </si>
  <si>
    <t>Tuxtuac M-LL5-860 (Tuxtac LL5) bulk &lt;125 um</t>
  </si>
  <si>
    <t>LL5</t>
  </si>
  <si>
    <t>DP-JNG-015</t>
  </si>
  <si>
    <t>Saint Severin M-LL6-652 (St. Severin) bulk &lt;125 um</t>
  </si>
  <si>
    <t>LL6</t>
  </si>
  <si>
    <t>Poitou-Charentes, France</t>
  </si>
  <si>
    <t>https://citeseerx.ist.psu.edu/viewdoc/download?doi=10.1.1.474.4985&amp;rep=rep1&amp;type=pdf</t>
  </si>
  <si>
    <t>a bit different composition in second ref but comparable in third</t>
  </si>
  <si>
    <t>MT-DTB-057</t>
  </si>
  <si>
    <t xml:space="preserve">Portales Valley </t>
  </si>
  <si>
    <t>DTB</t>
  </si>
  <si>
    <t xml:space="preserve">H </t>
  </si>
  <si>
    <t>Univ. of Arizona</t>
  </si>
  <si>
    <t>https://journals.uair.arizona.edu/index.php/maps/article/download/15089/15060</t>
  </si>
  <si>
    <t>in vol%</t>
  </si>
  <si>
    <t>NaN</t>
  </si>
  <si>
    <t>MT-HYM-078</t>
  </si>
  <si>
    <t>Alta'ameem</t>
  </si>
  <si>
    <t>HYM</t>
  </si>
  <si>
    <t>Iraq</t>
  </si>
  <si>
    <t>University of Tennessee</t>
  </si>
  <si>
    <t>From the Natural History Museum in London</t>
  </si>
  <si>
    <t>https://www.researchgate.net/publication/343905376_SCIENTIFIC_NOTE_AN_UPDATE_ON_THE_MINERALOGY_AND_CHEMISTRY_OF_THE_ALTA'AMEEM_METEORITE</t>
  </si>
  <si>
    <t>MT-HYM-080</t>
  </si>
  <si>
    <t>Tuxtuac</t>
  </si>
  <si>
    <t>OC-SXS-022-D</t>
  </si>
  <si>
    <t>Bensour (LL6) &lt;250 um</t>
  </si>
  <si>
    <t>SXS</t>
  </si>
  <si>
    <t>Mizusawa Observatory</t>
  </si>
  <si>
    <t>TB-TJM-063</t>
  </si>
  <si>
    <t>Air</t>
  </si>
  <si>
    <t>TJM</t>
  </si>
  <si>
    <t>L6</t>
  </si>
  <si>
    <t>Particulate Ground</t>
  </si>
  <si>
    <t>Agadez, Niger</t>
  </si>
  <si>
    <t xml:space="preserve">Smithsonian Inst </t>
  </si>
  <si>
    <t>Ordinary chondrite powder studied by Jarosevich, Meteoritics, 323-337, 1990.  Almost all metal removed.  USNM 7073</t>
  </si>
  <si>
    <t>http://adsabs.harvard.edu/pdf/1980Metic..15...69D</t>
  </si>
  <si>
    <t>a little anorthite</t>
  </si>
  <si>
    <t>in mol%</t>
  </si>
  <si>
    <t>TB-TJM-064</t>
  </si>
  <si>
    <t>Apt</t>
  </si>
  <si>
    <t>Vaucluse, France</t>
  </si>
  <si>
    <t>TB-TJM-066</t>
  </si>
  <si>
    <t>Avanhandava</t>
  </si>
  <si>
    <t>H4</t>
  </si>
  <si>
    <t>Sao Paulo, Brazil</t>
  </si>
  <si>
    <t>https://repositorio.usp.br/directbitstream/74abfc4e-d276-49f9-9b1a-b06ab0edb676/1529694.pdf</t>
  </si>
  <si>
    <t>TB-TJM-069</t>
  </si>
  <si>
    <t>Butsura</t>
  </si>
  <si>
    <t>H6</t>
  </si>
  <si>
    <t>Champaran district, Bihar, India</t>
  </si>
  <si>
    <t>https://www.jstor.org/stable/pdf/2990353.pdf?refreqid=excelsior%3A18b205a677b4abb7936bcf833bbba947</t>
  </si>
  <si>
    <t>TB-TJM-094</t>
  </si>
  <si>
    <t>Guarena</t>
  </si>
  <si>
    <t>Badajos, Spain</t>
  </si>
  <si>
    <t>http://adsabs.harvard.edu/pdf/1990Metic..25...77M</t>
  </si>
  <si>
    <t>TB-TJM-097</t>
  </si>
  <si>
    <t>Itapicuru-Mirim</t>
  </si>
  <si>
    <t>H5</t>
  </si>
  <si>
    <t>Maranhao, Brazil</t>
  </si>
  <si>
    <t>http://articles.adsabs.harvard.edu/cgi-bin/nph-iarticle_query?1977Metic..12..241G&amp;defaultprint=YES&amp;filetype=.pdf</t>
  </si>
  <si>
    <t>TB-TJM-101</t>
  </si>
  <si>
    <t>Aumale</t>
  </si>
  <si>
    <t>Sour el Ghozlane, Alger, Algeria</t>
  </si>
  <si>
    <t>http://articles.adsabs.harvard.edu/cgi-bin/nph-iarticle_query?1981Metic..16...93D&amp;defaultprint=YES&amp;filetype=.pdf</t>
  </si>
  <si>
    <t>TB-TJM-104</t>
  </si>
  <si>
    <t>Allegan</t>
  </si>
  <si>
    <t>Allegan County, Michigan, USA</t>
  </si>
  <si>
    <t>https://core.ac.uk/download/pdf/12532709.pdf</t>
  </si>
  <si>
    <t>TB-TJM-109</t>
  </si>
  <si>
    <t>Malakal</t>
  </si>
  <si>
    <t>L5</t>
  </si>
  <si>
    <t>Upper Nile Province, Sudan</t>
  </si>
  <si>
    <t>https://www.researchgate.net/publication/229812084_Formation_conditions_of_igneous_regions_in_ordinary_chondrites_Chico_Rose_City_and_other_heavily_shocked_H_and_L_chondrites</t>
  </si>
  <si>
    <t>TB-TJM-125</t>
  </si>
  <si>
    <t>TB-TJM-145</t>
  </si>
  <si>
    <t>Saint Severin</t>
  </si>
  <si>
    <t>Hartford County, Connecticut, USA</t>
  </si>
  <si>
    <t>DP-JNG-016</t>
  </si>
  <si>
    <t>McKinney M-L4-95 (Mckiney) bulk &lt;125 um</t>
  </si>
  <si>
    <t>L4</t>
  </si>
  <si>
    <t>Collin County, Texas</t>
  </si>
  <si>
    <t>nan</t>
  </si>
  <si>
    <t>https://www.researchgate.net/profile/William-Leeman/publication/249524387_Petrology_of_McKinney_Basalt_Snake_River_Plain_Idaho/links/00b495202c3fda1e0b000000/Petrology-of-McKinney-Basalt-Snake-River-Plain-Idaho.pdf</t>
  </si>
  <si>
    <t>MB-CMP-001</t>
  </si>
  <si>
    <t>Tsarev powder</t>
  </si>
  <si>
    <t>CMP</t>
  </si>
  <si>
    <t xml:space="preserve">Volgograd, USSR </t>
  </si>
  <si>
    <t xml:space="preserve">Relab (DTB) </t>
  </si>
  <si>
    <t>Sample has slab,powder and magnetic separate spectra Chip in Relab D1-C3.</t>
  </si>
  <si>
    <t>?, opx+cpx</t>
  </si>
  <si>
    <t>http://articles.adsabs.harvard.edu/cgi-bin/nph-iarticle_query?1988LPI....19..134B&amp;defaultprint=YES&amp;page_ind=1&amp;filetype=.pdf</t>
  </si>
  <si>
    <t>https://www.lpi.usra.edu/meetings/lpsc1994/pdf/1453.pdf</t>
  </si>
  <si>
    <t>MB-CMP-001-P2</t>
  </si>
  <si>
    <t>Tsarev</t>
  </si>
  <si>
    <t>S, opx+cpx</t>
  </si>
  <si>
    <t>MT-HYM-077</t>
  </si>
  <si>
    <t>Aldsworth</t>
  </si>
  <si>
    <t>Gloucestershire, England</t>
  </si>
  <si>
    <t>MT-HYM-083</t>
  </si>
  <si>
    <t>Benares (a)</t>
  </si>
  <si>
    <t>LL4</t>
  </si>
  <si>
    <t>Uttar Pradesh, India</t>
  </si>
  <si>
    <t>MT-HYM-085</t>
  </si>
  <si>
    <t>Olivenza</t>
  </si>
  <si>
    <t>Spain</t>
  </si>
  <si>
    <t>From Smithsonian</t>
  </si>
  <si>
    <t>http://articles.adsabs.harvard.edu/pdf/2002M%26PS...37...75G</t>
  </si>
  <si>
    <t>OC-TXH-001-A</t>
  </si>
  <si>
    <t>Cherokee Springs (LL6) chip</t>
  </si>
  <si>
    <t>TXH</t>
  </si>
  <si>
    <t>Chip</t>
  </si>
  <si>
    <t>Spartenburg County, South Caroline, USA</t>
  </si>
  <si>
    <t>Smithsonian National Museum of Natural History</t>
  </si>
  <si>
    <t>USNM 1319</t>
  </si>
  <si>
    <t>OC-TXH-001-B</t>
  </si>
  <si>
    <t>Cherokee Springs (LL6) 125-500 um</t>
  </si>
  <si>
    <t>OC-TXH-001-C</t>
  </si>
  <si>
    <t>Cherokee Springs (LL6) &lt;125 um</t>
  </si>
  <si>
    <t>OC-TXH-009-B</t>
  </si>
  <si>
    <t>Olivenza (LL5) 125-500 um</t>
  </si>
  <si>
    <t>Badajoz, Spain</t>
  </si>
  <si>
    <t>Field Museum</t>
  </si>
  <si>
    <t>ME 2095</t>
  </si>
  <si>
    <t>OC-TXH-009-C</t>
  </si>
  <si>
    <t>Olivenza (LL5) &lt;125 um</t>
  </si>
  <si>
    <t>RS-CMP-047-P1</t>
  </si>
  <si>
    <t>University of Arizona</t>
  </si>
  <si>
    <t>Also in Relab C1-H4.Sample #15384,1a/T Dark Lithology Slab plus powders</t>
  </si>
  <si>
    <t>RS-CMP-047-P10</t>
  </si>
  <si>
    <t>Tsarev 45-63 um</t>
  </si>
  <si>
    <t>RS-CMP-047-P4</t>
  </si>
  <si>
    <t>Tsarev &lt;63 um</t>
  </si>
  <si>
    <t>RS-CMP-047-P8</t>
  </si>
  <si>
    <t>Tsarev &lt;25 um</t>
  </si>
  <si>
    <t>RS-CMP-047-P9</t>
  </si>
  <si>
    <t>Tsarev 25-45 um</t>
  </si>
  <si>
    <t>RS-CMP-062-P1</t>
  </si>
  <si>
    <t>Kunashak powder #1</t>
  </si>
  <si>
    <t>USSR</t>
  </si>
  <si>
    <t xml:space="preserve">No I723   </t>
  </si>
  <si>
    <t>TB-TJM-067</t>
  </si>
  <si>
    <t>Bandong</t>
  </si>
  <si>
    <t>Java, Indonesia</t>
  </si>
  <si>
    <t>TB-TJM-075</t>
  </si>
  <si>
    <t>Greenwell Springs</t>
  </si>
  <si>
    <t>TB-TJM-077</t>
  </si>
  <si>
    <t>Karatu</t>
  </si>
  <si>
    <t>Arusha, Tanzania</t>
  </si>
  <si>
    <t>TB-TJM-090</t>
  </si>
  <si>
    <t>Cherokee Springs</t>
  </si>
  <si>
    <t>Spartenburg Co., SC</t>
  </si>
  <si>
    <t>TB-TJM-102</t>
  </si>
  <si>
    <t>Bald Mountain</t>
  </si>
  <si>
    <t>Yancy County, North Carolina, USA</t>
  </si>
  <si>
    <t>TB-TJM-103</t>
  </si>
  <si>
    <t>Girgenti</t>
  </si>
  <si>
    <t>Sicily, Italy</t>
  </si>
  <si>
    <t>http://articles.adsabs.harvard.edu/cgi-bin/nph-iarticle_query?1972Metic...7..109L&amp;defaultprint=YES&amp;filetype=.pdf</t>
  </si>
  <si>
    <t>TB-TJM-132</t>
  </si>
  <si>
    <t>Chiang Khan</t>
  </si>
  <si>
    <t>Loei, Thailand</t>
  </si>
  <si>
    <t>S, high Ab</t>
  </si>
  <si>
    <t>https://link.springer.com/content/pdf/10.1007%2FBF01164487.pdf</t>
  </si>
  <si>
    <t>TB-TJM-135</t>
  </si>
  <si>
    <t>Ipiranga</t>
  </si>
  <si>
    <t>Lageado Ipiranga, Foz do Iguacu, Parana, Brazil</t>
  </si>
  <si>
    <t>TB-TJM-137</t>
  </si>
  <si>
    <t>Karkh</t>
  </si>
  <si>
    <t>Jhalawan, Baluchistan, Pakistan</t>
  </si>
  <si>
    <t>TB-TJM-139</t>
  </si>
  <si>
    <t>Kunashak</t>
  </si>
  <si>
    <t>Chelyabinsk region, Federated SSR, USSR</t>
  </si>
  <si>
    <t>TB-TJM-140</t>
  </si>
  <si>
    <t>Kyushu</t>
  </si>
  <si>
    <t>Kyushu, Japan</t>
  </si>
  <si>
    <t>LM-LAM-009-A</t>
  </si>
  <si>
    <t xml:space="preserve">ALH 77005,112 </t>
  </si>
  <si>
    <t>LAM</t>
  </si>
  <si>
    <t>Mars-Met</t>
  </si>
  <si>
    <t>Igneous</t>
    <phoneticPr fontId="0" type="noConversion"/>
  </si>
  <si>
    <t>Shergottite</t>
    <phoneticPr fontId="0" type="noConversion"/>
  </si>
  <si>
    <t xml:space="preserve">Natural </t>
  </si>
  <si>
    <t xml:space="preserve">Allan Hills, Antarctica </t>
  </si>
  <si>
    <t>JSC, Houston, TX</t>
  </si>
  <si>
    <t>(A) Exposed face</t>
  </si>
  <si>
    <t>?</t>
  </si>
  <si>
    <t>https://www.lpi.usra.edu/meteor/metbull.php?sea=77005&amp;sfor=names&amp;ants=&amp;nwas=&amp;falls=&amp;valids=&amp;stype=contains&amp;lrec=50&amp;map=ge&amp;browse=&amp;country=All&amp;srt=name&amp;categ=All&amp;mblist=All&amp;rect=&amp;phot=&amp;strewn=&amp;snew=0&amp;pnt=Normal%20table&amp;code=1321</t>
  </si>
  <si>
    <t>https://www.jstage.jst.go.jp/article/minerj/9/8/9_8_460/_pdf</t>
  </si>
  <si>
    <t>http://articles.adsabs.harvard.edu/cgi-bin/nph-iarticle_query?1994AMR.....7....9I&amp;defaultprint=YES&amp;filetype=.pdf</t>
  </si>
  <si>
    <t>in normative %</t>
  </si>
  <si>
    <t>LM-LAM-009-B</t>
  </si>
  <si>
    <t xml:space="preserve">(B) Large internal face opposite of (A). </t>
  </si>
  <si>
    <t>LM-LAM-009-D</t>
  </si>
  <si>
    <t xml:space="preserve">(D) Black part on (B). </t>
  </si>
  <si>
    <t>LM-LAM-023</t>
  </si>
  <si>
    <t xml:space="preserve">Lafayette </t>
  </si>
  <si>
    <t>Nakhlite</t>
    <phoneticPr fontId="0" type="noConversion"/>
  </si>
  <si>
    <t xml:space="preserve">Tippecanoe Co., Indiana </t>
  </si>
  <si>
    <t xml:space="preserve">CSI </t>
  </si>
  <si>
    <t>https://www.sciencedirect.com/science/article/pii/S0016703715000332</t>
  </si>
  <si>
    <t>LR-CMP-254</t>
  </si>
  <si>
    <t>60055,27 (about &lt;200 um, 171 mg)</t>
  </si>
  <si>
    <t>Moon-Ret</t>
  </si>
  <si>
    <t>Rock</t>
  </si>
  <si>
    <t>Highland</t>
  </si>
  <si>
    <t>Anorthosite FAN</t>
  </si>
  <si>
    <t>Particulate Unsorted</t>
  </si>
  <si>
    <t>Apollo 16 site, Moon</t>
  </si>
  <si>
    <t>RELAB</t>
  </si>
  <si>
    <t>Friable, granular, bright with trace black particles.  Estimate FeO of 0.33 %</t>
  </si>
  <si>
    <t>https://www.lpi.usra.edu/lunar/samples/atlas/compendium/60055.pdf</t>
  </si>
  <si>
    <t>OL, OPX is low -&gt; set to 0.05; Or set to 1</t>
  </si>
  <si>
    <t>probably in vol%</t>
  </si>
  <si>
    <t>LS-CMP-098</t>
  </si>
  <si>
    <t>78235,31</t>
  </si>
  <si>
    <t xml:space="preserve">Igneous </t>
  </si>
  <si>
    <t>Norite</t>
  </si>
  <si>
    <t>Apollo 17 site, Moon</t>
  </si>
  <si>
    <t>Relab (Loan)</t>
  </si>
  <si>
    <t xml:space="preserve">Glass coated chip of norite.Coating is ~300 micron.   This is a small crater on the glass side. </t>
  </si>
  <si>
    <t>https://www.lpi.usra.edu/lunar/samples/atlas/compendium/78235.pdf</t>
  </si>
  <si>
    <t>MB-CMP-026</t>
  </si>
  <si>
    <t>MAC 88177 chips</t>
  </si>
  <si>
    <t>Achondrite</t>
  </si>
  <si>
    <t xml:space="preserve">Lodranite </t>
  </si>
  <si>
    <t>Slab</t>
  </si>
  <si>
    <t>MacAlpine Hills, Antarctica</t>
  </si>
  <si>
    <t>https://onlinelibrary.wiley.com/doi/epdf/10.1111/maps.13203</t>
  </si>
  <si>
    <t>http://articles.adsabs.harvard.edu/cgi-bin/nph-iarticle_query?1998AMR....11...49Y&amp;defaultprint=YES&amp;filetype=.pdf</t>
  </si>
  <si>
    <t>MB-TXH-031</t>
  </si>
  <si>
    <t>ALH 81187,12</t>
  </si>
  <si>
    <t>Unique</t>
  </si>
  <si>
    <t xml:space="preserve">Allan Hills, Anarctica </t>
  </si>
  <si>
    <t>https://www.sciencedirect.com/science/article/pii/S0016703717304015?via%3Dihub</t>
  </si>
  <si>
    <t>https://core.ac.uk/download/pdf/51485397.pdf</t>
  </si>
  <si>
    <t>MB-TXH-032</t>
  </si>
  <si>
    <t xml:space="preserve">EET 84302,13 </t>
  </si>
  <si>
    <t xml:space="preserve">Elephant Moraine, Anarctica </t>
  </si>
  <si>
    <t>MB-TXH-037</t>
  </si>
  <si>
    <t xml:space="preserve">Y-74357,2 </t>
  </si>
  <si>
    <t>Yamato Mtn. Range, Anarctica</t>
  </si>
  <si>
    <t xml:space="preserve">NIPR Tokyo, Japan </t>
  </si>
  <si>
    <t>MB-TXH-040</t>
  </si>
  <si>
    <t>ALH 77081, 6 or 20</t>
  </si>
  <si>
    <t>Acapulco</t>
  </si>
  <si>
    <t xml:space="preserve">JSC or NIPR </t>
  </si>
  <si>
    <t>MB-TXH-042</t>
  </si>
  <si>
    <t xml:space="preserve">ALH 81261,3 </t>
  </si>
  <si>
    <t xml:space="preserve">Acapulco-Type </t>
  </si>
  <si>
    <t xml:space="preserve">JSC (MWG) </t>
  </si>
  <si>
    <t>https://www.sciencedirect.com/science/article/pii/0016703795004238</t>
  </si>
  <si>
    <t>MP-TXH-071-A</t>
  </si>
  <si>
    <t xml:space="preserve">ALH 77256,143 </t>
  </si>
  <si>
    <t>Basaltic HED Diogenite</t>
  </si>
  <si>
    <t xml:space="preserve">NASA JSC </t>
  </si>
  <si>
    <t xml:space="preserve">Rusted.   </t>
  </si>
  <si>
    <t>https://onlinelibrary.wiley.com/doi/pdf/10.1111/j.1945-5100.2010.01061.x</t>
  </si>
  <si>
    <t>https://nipr.repo.nii.ac.jp/?action=repository_action_common_download&amp;item_id=1044&amp;item_no=1&amp;attribute_id=18&amp;file_no=1</t>
  </si>
  <si>
    <t>MP-TXH-121</t>
  </si>
  <si>
    <t>ALH 81001,41 (Eucrite) &lt;125 um</t>
  </si>
  <si>
    <t xml:space="preserve">Basaltic HED Eucrite Polymict </t>
  </si>
  <si>
    <t xml:space="preserve">Particulate Ground Dry-Sieved </t>
  </si>
  <si>
    <t>Allan Hills, Antarctica</t>
  </si>
  <si>
    <t>https://onlinelibrary.wiley.com/doi/epdf/10.1111/j.1945-5100.2010.01090.x</t>
  </si>
  <si>
    <t>https://static1.squarespace.com/static/599cb78ff43b55abc0748729/t/599f75c4ccc5c58f6c3cf24b/1503622598881/mayne_2009.pdf</t>
  </si>
  <si>
    <t>MT-CMP-001</t>
  </si>
  <si>
    <t xml:space="preserve">Acapulcoite </t>
  </si>
  <si>
    <t xml:space="preserve">Cut surface   2 passes for each grating </t>
  </si>
  <si>
    <t>https://www.sciencedirect.com/science/article/pii/001670379500226P</t>
  </si>
  <si>
    <t>MT-HYM-030</t>
  </si>
  <si>
    <t>ALH 81001,43 eucrite</t>
  </si>
  <si>
    <t>Basaltic HED Eucrite</t>
  </si>
  <si>
    <t>Petrology and near-infrared spectra of eucrites (Dawn)</t>
  </si>
  <si>
    <t>MT-JMS-326</t>
  </si>
  <si>
    <t>NWA 725 (Acapulcoite) &lt;45 um</t>
  </si>
  <si>
    <t>JMS</t>
  </si>
  <si>
    <t>Primitive Achondrite Acapulcoite</t>
  </si>
  <si>
    <t>near Amazraou, Morocco</t>
  </si>
  <si>
    <t>Texas Christian University</t>
  </si>
  <si>
    <t>Monnig Meteorite Collection</t>
  </si>
  <si>
    <t>https://earth-planets-space.springeropen.com/track/pdf/10.1186/s40623-019-1015-9.pdf</t>
  </si>
  <si>
    <t>MT-JPE-302</t>
  </si>
  <si>
    <t>MAC 88177,53 chip</t>
  </si>
  <si>
    <t>JPE</t>
  </si>
  <si>
    <t>Primitive Achondrite Lodranite</t>
  </si>
  <si>
    <t>MT-JPE-302-A</t>
  </si>
  <si>
    <t>MAC 88177,53 powder &lt;125 um (metals removed)</t>
  </si>
  <si>
    <t>MT-JPE-305</t>
  </si>
  <si>
    <t>NWA 725 slab</t>
  </si>
  <si>
    <t>Slab Cut</t>
  </si>
  <si>
    <t>Meknès-Tafilalet, Morocco</t>
  </si>
  <si>
    <t>MT-JPE-305-A</t>
  </si>
  <si>
    <t>NWA 725 powder &lt;125 um (metals removed)</t>
  </si>
  <si>
    <t>MT-JPE-307</t>
  </si>
  <si>
    <t>NWA 4024 slab</t>
  </si>
  <si>
    <t>Primitive Achondrite Winonaite</t>
  </si>
  <si>
    <t>Northwest Africa</t>
  </si>
  <si>
    <t>MT-JPE-307-A</t>
  </si>
  <si>
    <t>NWA 4024 powder &lt;125 um (metals removed)</t>
  </si>
  <si>
    <t>RM-REM-123</t>
  </si>
  <si>
    <t>ALH 77256,34 chip</t>
  </si>
  <si>
    <t>REM</t>
  </si>
  <si>
    <t>Basaltic HED Olivine-Diogenite</t>
  </si>
  <si>
    <t>NASA JSC - Univ. Notre Dame</t>
  </si>
  <si>
    <t>HED mixing model study</t>
  </si>
  <si>
    <t>RM-REM-123-A</t>
  </si>
  <si>
    <t>ALH 77256,34 &lt;45 um</t>
  </si>
  <si>
    <t>NASA JSC - Brown University</t>
  </si>
  <si>
    <t>RM-REM-123-P</t>
  </si>
  <si>
    <t>ALH 77256,34 bulk powder</t>
  </si>
  <si>
    <t>Particulate Ground Unsorted</t>
  </si>
  <si>
    <t>RM-REM-126</t>
  </si>
  <si>
    <t>MIL 03443,19 chip</t>
  </si>
  <si>
    <t>Miller Range, Antarctica</t>
  </si>
  <si>
    <t>RM-REM-126-A</t>
  </si>
  <si>
    <t>MIL 03443,19 &lt;45 um</t>
  </si>
  <si>
    <t>RM-REM-126-P</t>
  </si>
  <si>
    <t>MIL 03443,19 bulk powder</t>
  </si>
  <si>
    <t>TB-TJM-033</t>
  </si>
  <si>
    <t xml:space="preserve">ALH 81261 </t>
  </si>
  <si>
    <t xml:space="preserve">Smithsonian-JSC </t>
  </si>
  <si>
    <t>TB-TJM-035</t>
  </si>
  <si>
    <t>Guerrero, Mexico</t>
  </si>
  <si>
    <t>Smithsonian Inst</t>
  </si>
  <si>
    <t>TB-TJM-039</t>
  </si>
  <si>
    <t>Acapulcoite Primitive Achondrite</t>
  </si>
  <si>
    <t xml:space="preserve">JSC-Smithsonian </t>
  </si>
  <si>
    <t>TB-TJM-040</t>
  </si>
  <si>
    <t xml:space="preserve">ALH 81187 </t>
  </si>
  <si>
    <t>TB-TJM-042</t>
  </si>
  <si>
    <t>EET 84302</t>
  </si>
  <si>
    <t>Acapulcoite Lodranite Primitive Achondrite</t>
  </si>
  <si>
    <t>Elephant Moraine, Antarctica</t>
  </si>
  <si>
    <t xml:space="preserve">Transitional of Acapulcoite-Lodranite   </t>
  </si>
  <si>
    <t>TB-TJM-043</t>
  </si>
  <si>
    <t xml:space="preserve">El Quemado Colony, Guerrero, Mexico </t>
  </si>
  <si>
    <t xml:space="preserve">Smithsonian </t>
  </si>
  <si>
    <t>LR-CMP-236</t>
  </si>
  <si>
    <t>65315,153 bulk</t>
  </si>
  <si>
    <t>Anorthosite</t>
  </si>
  <si>
    <t>Brown Planetary Geology</t>
  </si>
  <si>
    <t>Bulk anorthosite</t>
  </si>
  <si>
    <t>https://www.lpi.usra.edu/lunar/samples/atlas/compendium/65315.pdf</t>
  </si>
  <si>
    <t>LR-CMP-236-C</t>
  </si>
  <si>
    <t>65315,153 45-75 um</t>
  </si>
  <si>
    <t>Anorthosite dry-sieved to 45-75 um</t>
  </si>
  <si>
    <t>LR-CMP-237</t>
  </si>
  <si>
    <t>60015,801 bulk</t>
  </si>
  <si>
    <t>S, very low in CPX</t>
  </si>
  <si>
    <t>https://www.lpi.usra.edu/lunar/samples/atlas/compendium/60015.pdf</t>
  </si>
  <si>
    <t>LR-CMP-245-B</t>
  </si>
  <si>
    <t>65315, 153 &lt;45 um</t>
  </si>
  <si>
    <t>Anorthosite dry-sieved to 0-45 um</t>
  </si>
  <si>
    <t>LR-CMP-245-C</t>
  </si>
  <si>
    <t>65315, 153 45-75 um</t>
  </si>
  <si>
    <t>Anorthosite dry-sieved to 45-75 um; Not exactly the same split as LR-CMP-237-C</t>
  </si>
  <si>
    <t>MB-TXH-038</t>
  </si>
  <si>
    <t xml:space="preserve">Y-791491,20 </t>
  </si>
  <si>
    <t>MT-TXH-049</t>
  </si>
  <si>
    <t>Brachina chip</t>
  </si>
  <si>
    <t>Brachinite</t>
  </si>
  <si>
    <t xml:space="preserve">Near Brachina, S. Australia </t>
  </si>
  <si>
    <t>S. Australian Museum</t>
  </si>
  <si>
    <t>Rusted and crambled   Chip</t>
  </si>
  <si>
    <t>?, trace OPX</t>
  </si>
  <si>
    <t>http://adsabs.harvard.edu/pdf/1989LPSC...19..475W</t>
  </si>
  <si>
    <t>MT-TXH-049-A</t>
  </si>
  <si>
    <t>Brachina &lt;45 um</t>
  </si>
  <si>
    <t>Yes</t>
    <phoneticPr fontId="0" type="noConversion"/>
  </si>
  <si>
    <t xml:space="preserve">Chip Particulate </t>
  </si>
  <si>
    <t xml:space="preserve">Rusted and crambled </t>
  </si>
  <si>
    <t>S, trace OPX</t>
  </si>
  <si>
    <t>MT-HYM-075</t>
  </si>
  <si>
    <t>Hamlet</t>
  </si>
  <si>
    <t>Indiana, USA</t>
  </si>
  <si>
    <t>MT-HYM-082</t>
  </si>
  <si>
    <t>Cilimus</t>
  </si>
  <si>
    <t>From Smithsonian (USNM 6074)</t>
  </si>
  <si>
    <t>http://articles.adsabs.harvard.edu/cgi-bin/nph-iarticle_query?1981Metic..16...69M&amp;defaultprint=YES&amp;filetype=.pdf</t>
  </si>
  <si>
    <t>MT-HYM-084</t>
  </si>
  <si>
    <t>Ausson</t>
  </si>
  <si>
    <t xml:space="preserve">Haute Garonne, France </t>
  </si>
  <si>
    <t>From Smithsonian (USNM 961)</t>
  </si>
  <si>
    <t>OC-TXH-002-B</t>
  </si>
  <si>
    <t>Hamlet (LL4) 125-500 um</t>
  </si>
  <si>
    <t>Starke County, Indiana, USA</t>
  </si>
  <si>
    <t>USNM 3455</t>
  </si>
  <si>
    <t>OC-TXH-002-C</t>
  </si>
  <si>
    <t>Hamlet (LL4) &lt;125 um</t>
  </si>
  <si>
    <t>OC-TXH-006-C</t>
  </si>
  <si>
    <t>Ehole (H5) &lt;125 um</t>
  </si>
  <si>
    <t>Cunene, Angola</t>
  </si>
  <si>
    <t>USNM 6612, 6719</t>
  </si>
  <si>
    <t>OC-TXH-011-B</t>
  </si>
  <si>
    <t>Chateau Renard (L6) 125-500 um</t>
  </si>
  <si>
    <t>Montargis, Loiret, France</t>
  </si>
  <si>
    <t>ME 1805</t>
  </si>
  <si>
    <t>https://citeseerx.ist.psu.edu/viewdoc/download?doi=10.1.1.601.6485&amp;rep=rep1&amp;type=pdf</t>
  </si>
  <si>
    <t>https://digitallibrary.amnh.org/bitstream/handle/2246/3441/v2/dspace/ingest/pdfSource/nov/N2069.pdf?sequence=1</t>
  </si>
  <si>
    <t>OC-TXH-011-C</t>
  </si>
  <si>
    <t>Chateau Renard (L6) &lt;125 um</t>
  </si>
  <si>
    <t>OC-TXH-011-D</t>
  </si>
  <si>
    <t>Chateau Renard (L6) &lt;125 um pellet</t>
  </si>
  <si>
    <t>Particulate Ground Sorted Pellet</t>
  </si>
  <si>
    <t>OC-TXH-021-B</t>
  </si>
  <si>
    <t>Burnwell (HH) 125-500 um</t>
  </si>
  <si>
    <t>HH</t>
  </si>
  <si>
    <t>Pike County, Kentucky, USA</t>
  </si>
  <si>
    <t>USNM 6847</t>
  </si>
  <si>
    <t>http://articles.adsabs.harvard.edu/cgi-bin/nph-iarticle_query?1998M%26PS...33..853R&amp;defaultprint=YES&amp;filetype=.pdf</t>
  </si>
  <si>
    <t>OC-TXH-021-C</t>
  </si>
  <si>
    <t>Burnwell (HH) &lt;125 um</t>
  </si>
  <si>
    <t>TB-TJM-065</t>
  </si>
  <si>
    <t>Atarra</t>
  </si>
  <si>
    <t>Manikpur, Banda district, Uttar Pradesh, India</t>
  </si>
  <si>
    <t>TB-TJM-068</t>
  </si>
  <si>
    <t>Burnwell</t>
  </si>
  <si>
    <t>Ungrouped</t>
  </si>
  <si>
    <t>TB-TJM-074</t>
  </si>
  <si>
    <t>Ehole</t>
  </si>
  <si>
    <t>TB-TJM-082</t>
  </si>
  <si>
    <t>Sao Jose do Rio Preto</t>
  </si>
  <si>
    <t>TB-TJM-083</t>
  </si>
  <si>
    <t>Schenectady</t>
  </si>
  <si>
    <t>Glenville, NY</t>
  </si>
  <si>
    <t>TB-TJM-085</t>
  </si>
  <si>
    <t>Uberaba</t>
  </si>
  <si>
    <t>Minas Gerais, Brazil</t>
  </si>
  <si>
    <t>https://repositorio.usp.br/directbitstream/3f4f374b-77b7-4122-83ab-566f42b39152/1529140.pdf</t>
  </si>
  <si>
    <t>TB-TJM-086</t>
  </si>
  <si>
    <t>Vouille</t>
  </si>
  <si>
    <t>Poitiers, Vienne, France</t>
  </si>
  <si>
    <t>https://nipr.repo.nii.ac.jp/?action=repository_action_common_download&amp;item_id=6033&amp;item_no=1&amp;attribute_id=18&amp;file_no=1</t>
  </si>
  <si>
    <t>TB-TJM-088</t>
  </si>
  <si>
    <t>Andura</t>
  </si>
  <si>
    <t>Akola district, Berar, Maharashtra, India</t>
  </si>
  <si>
    <t>TB-TJM-099</t>
  </si>
  <si>
    <t>Messina</t>
  </si>
  <si>
    <t>Upper Camara Valley, Messina, Sicily, Italy</t>
  </si>
  <si>
    <t>http://articles.adsabs.harvard.edu/cgi-bin/nph-iarticle_query?1985Metic..20...79B&amp;defaultprint=YES&amp;filetype=.pdf</t>
  </si>
  <si>
    <t>TB-TJM-121</t>
  </si>
  <si>
    <t>Rupota</t>
  </si>
  <si>
    <t>Mtwara, Tanzania</t>
  </si>
  <si>
    <t>TB-TJM-128</t>
  </si>
  <si>
    <t>Farmville</t>
  </si>
  <si>
    <t>Pitt County, North Caroline, USA</t>
  </si>
  <si>
    <t>TB-TJM-129</t>
  </si>
  <si>
    <t>Lost City</t>
  </si>
  <si>
    <t>Cherokee County, Oklahoma, USA</t>
  </si>
  <si>
    <t>TB-TJM-130</t>
  </si>
  <si>
    <t>New Concord</t>
  </si>
  <si>
    <t>Muskingum County, Ohio, USA</t>
  </si>
  <si>
    <t>TB-TJM-131</t>
  </si>
  <si>
    <t>Canon City</t>
  </si>
  <si>
    <t>Fremont County, Colorado, USA</t>
  </si>
  <si>
    <t>TB-TJM-134</t>
  </si>
  <si>
    <t>Guibga</t>
  </si>
  <si>
    <t>near Pissila, Upper Volta</t>
  </si>
  <si>
    <t>TB-TJM-136</t>
  </si>
  <si>
    <t>Kabo</t>
  </si>
  <si>
    <t>Kano State, Nigeria</t>
  </si>
  <si>
    <t>TB-TJM-143</t>
  </si>
  <si>
    <t>Pribram</t>
  </si>
  <si>
    <t>Stredocesky, Czechoslovakia</t>
  </si>
  <si>
    <t>MP-TXH-054-A</t>
  </si>
  <si>
    <t>Ibitira &lt;25 um</t>
  </si>
  <si>
    <t>Eucrite HED Basaltic</t>
  </si>
  <si>
    <t xml:space="preserve">Martinho Campos, Minas Gerais, Brazil </t>
  </si>
  <si>
    <t>Univ. Hawaii</t>
  </si>
  <si>
    <t>probably in wt%</t>
  </si>
  <si>
    <t>MP-TXH-086-A</t>
  </si>
  <si>
    <t>Moore County</t>
  </si>
  <si>
    <t>Moore Co., North Carolina</t>
  </si>
  <si>
    <t xml:space="preserve">USNM 6649.  </t>
  </si>
  <si>
    <t>S, may have more cpx</t>
  </si>
  <si>
    <t>https://www.sciencedirect.com/science/article/pii/S0016703767800401</t>
  </si>
  <si>
    <t>MP-TXH-092-A</t>
  </si>
  <si>
    <t xml:space="preserve">Serra de Mage </t>
  </si>
  <si>
    <t xml:space="preserve">Pesqueira, Pernambuco, Brazil </t>
  </si>
  <si>
    <t>MNHN Paris</t>
  </si>
  <si>
    <t xml:space="preserve">no 1606.  </t>
  </si>
  <si>
    <t>MT-AWB-169</t>
  </si>
  <si>
    <t>GRA 98108 powder</t>
  </si>
  <si>
    <t>AWB</t>
  </si>
  <si>
    <t>Basaltic HED Diogenite Harzburgitic</t>
  </si>
  <si>
    <t>Graves Nunataks, Antarctica</t>
  </si>
  <si>
    <t>Smithsonian</t>
  </si>
  <si>
    <t>Reference for use in the Dawn Mission</t>
  </si>
  <si>
    <t>MT-AWB-169-A</t>
  </si>
  <si>
    <t>GRA 98108 &lt;45 um</t>
  </si>
  <si>
    <t>Particulate Ground Dry-Sieved</t>
  </si>
  <si>
    <t>MT-HYM-029</t>
  </si>
  <si>
    <t>EET 87520,23 eucrite</t>
  </si>
  <si>
    <t>MT-HYM-031</t>
  </si>
  <si>
    <t>PCA 91078,16 eucrite</t>
  </si>
  <si>
    <t>Pecora Escarpment, Antarctica</t>
  </si>
  <si>
    <t>MT-HYM-032</t>
  </si>
  <si>
    <t>BTN 00300,21 eucrite</t>
  </si>
  <si>
    <t>Bates Nunataks, Antarctica</t>
  </si>
  <si>
    <t>MT-HYM-033</t>
  </si>
  <si>
    <t>MET 01081,12 eucrite</t>
  </si>
  <si>
    <t>Meteorite Hills, Antarctica</t>
  </si>
  <si>
    <t>MT-HYM-034</t>
  </si>
  <si>
    <t>GRA 98098 eucrite</t>
  </si>
  <si>
    <t xml:space="preserve">Graves Nunataks, Antarctica </t>
  </si>
  <si>
    <t>RM-REM-120</t>
  </si>
  <si>
    <t>QUE 99050,7 chip</t>
  </si>
  <si>
    <t>Queen Alexandra Range, Antarctica</t>
  </si>
  <si>
    <t>RM-REM-120-A</t>
  </si>
  <si>
    <t>QUE 99050,7 &lt;45 um</t>
  </si>
  <si>
    <t>RM-REM-120-P</t>
  </si>
  <si>
    <t>QUE 99050,7 bulk powder</t>
  </si>
  <si>
    <t>RM-REM-121</t>
  </si>
  <si>
    <t>MIL 03368,14 chip</t>
  </si>
  <si>
    <t>https://onlinelibrary.wiley.com/doi/pdf/10.1111/maps.12513</t>
  </si>
  <si>
    <t>RM-REM-121-A</t>
  </si>
  <si>
    <t>MIL 03368,14 &lt;45 um</t>
  </si>
  <si>
    <t>RM-REM-121-P</t>
  </si>
  <si>
    <t>MIL 03368,14 bulk powder</t>
  </si>
  <si>
    <t>RM-REM-122</t>
  </si>
  <si>
    <t>ALH 85015,10 chip</t>
  </si>
  <si>
    <t>RM-REM-122-A</t>
  </si>
  <si>
    <t>ALH 85015,10 &lt;45 um</t>
  </si>
  <si>
    <t>RM-REM-122-P</t>
  </si>
  <si>
    <t>ALH 85015,10 bulk powder</t>
  </si>
  <si>
    <t>RM-REM-125</t>
  </si>
  <si>
    <t>GRA 98108,26 chip</t>
  </si>
  <si>
    <t>RM-REM-125-A</t>
  </si>
  <si>
    <t>GRA 98108,26 &lt;45 um</t>
  </si>
  <si>
    <t>RM-REM-125-P</t>
  </si>
  <si>
    <t>GRA 98108,26 bulk powder</t>
  </si>
  <si>
    <t>RM-REM-127</t>
  </si>
  <si>
    <t>EET 83246,29 chip</t>
  </si>
  <si>
    <t>RM-REM-127-A</t>
  </si>
  <si>
    <t>EET 83246,29 &lt;45 um</t>
  </si>
  <si>
    <t>RM-REM-127-P</t>
  </si>
  <si>
    <t>EET 83246,29 bulk powder</t>
  </si>
  <si>
    <t>RM-REM-128</t>
  </si>
  <si>
    <t>LEW 88008,23 chip</t>
  </si>
  <si>
    <t>Lewis Cliff, Antarctica</t>
  </si>
  <si>
    <t>RM-REM-128-A</t>
  </si>
  <si>
    <t>LEW 88008,23 &lt;45 um</t>
  </si>
  <si>
    <t>RM-REM-128-P</t>
  </si>
  <si>
    <t>LEW 88008,23 bulk powder</t>
  </si>
  <si>
    <t>RM-REM-130</t>
  </si>
  <si>
    <t>PCA 02008,12 chip</t>
  </si>
  <si>
    <t>RM-REM-130-A</t>
  </si>
  <si>
    <t>PCA 02008,12 &lt;45 um</t>
  </si>
  <si>
    <t>RM-REM-130-P</t>
  </si>
  <si>
    <t>PCA 02008,12 bulk powder</t>
  </si>
  <si>
    <t>RM-REM-131</t>
  </si>
  <si>
    <t>LAP 03979,11 chip</t>
  </si>
  <si>
    <t>LaPaz Icefield, Antarctica</t>
  </si>
  <si>
    <t>RM-REM-131-A</t>
  </si>
  <si>
    <t>LAP 03979,11 &lt;45 um</t>
  </si>
  <si>
    <t>RM-REM-131-P</t>
  </si>
  <si>
    <t>LAP 03979,11 bulk powder</t>
  </si>
  <si>
    <t>RM-REM-132</t>
  </si>
  <si>
    <t>MET 01084,11 chip</t>
  </si>
  <si>
    <t>RM-REM-132-A</t>
  </si>
  <si>
    <t>MET 01084,11 &lt;45 um</t>
  </si>
  <si>
    <t>RM-REM-132-P</t>
  </si>
  <si>
    <t>MET 01084,11 bulk powder</t>
  </si>
  <si>
    <t>AG-TJM-012</t>
  </si>
  <si>
    <t>85% LCP + 15% HCP</t>
  </si>
  <si>
    <t>Earth</t>
  </si>
  <si>
    <t>Mineral</t>
  </si>
  <si>
    <t xml:space="preserve">Mixture </t>
  </si>
  <si>
    <t>Hypersthene Augite</t>
  </si>
  <si>
    <t>Smithsonian Inst.</t>
  </si>
  <si>
    <t>Olivine-Orthopyroxene-Clinopyroxene-Plagioclase mixture study</t>
  </si>
  <si>
    <t>AG-TJM-013</t>
  </si>
  <si>
    <t>50% LCP + 50% HCP</t>
  </si>
  <si>
    <t>AG-TJM-014</t>
  </si>
  <si>
    <t>70% OL + 30% LCP</t>
  </si>
  <si>
    <t>Olivine  Hypersthene</t>
  </si>
  <si>
    <t>AG-TJM-015</t>
  </si>
  <si>
    <t>40% OL + 51% LCP + 9% HCP</t>
  </si>
  <si>
    <t>Olivine  Hypersthene Augite</t>
  </si>
  <si>
    <t>AG-TJM-016</t>
  </si>
  <si>
    <t>80% OL + 10% PLG + 8.5% LCP + 1.5% HCP</t>
  </si>
  <si>
    <t>Olivine Plagioclase  Hypersthene Augite</t>
  </si>
  <si>
    <t>AG-TJM-017</t>
  </si>
  <si>
    <t>10% OL + 90% LCP</t>
  </si>
  <si>
    <t>AG-TJM-018</t>
  </si>
  <si>
    <t>30% OL + 70% LCP</t>
  </si>
  <si>
    <t>AG-TJM-019</t>
  </si>
  <si>
    <t>50% OL + 50% LCP</t>
  </si>
  <si>
    <t>AG-TJM-020</t>
  </si>
  <si>
    <t>90% OL + 10% LCP</t>
  </si>
  <si>
    <t>AG-TJM-021</t>
  </si>
  <si>
    <t>20% OL + 68% LCP + 12% HCP</t>
  </si>
  <si>
    <t>AG-TJM-022</t>
  </si>
  <si>
    <t>30% OL + 59.5% LCP + 10.5% HCP</t>
  </si>
  <si>
    <t>AG-TJM-023</t>
  </si>
  <si>
    <t>50% OL + 42.5% LCP + 7.5% HCP</t>
  </si>
  <si>
    <t>AG-TJM-024</t>
  </si>
  <si>
    <t>60% OL + 34% LCP + 6% HCP</t>
  </si>
  <si>
    <t>AG-TJM-025</t>
  </si>
  <si>
    <t>70% OL + 25.5% LCP + 4.5% HCP</t>
  </si>
  <si>
    <t>AG-TJM-026</t>
  </si>
  <si>
    <t>80% OL + 17% LCP + 3% HCP</t>
  </si>
  <si>
    <t>AG-TJM-027</t>
  </si>
  <si>
    <t>10% PLG + 45% LCP + 45% HCP</t>
  </si>
  <si>
    <t>Plagioclase  Hypersthene Augite</t>
  </si>
  <si>
    <t>AG-TJM-028</t>
  </si>
  <si>
    <t>20% PLG + 40% LCP + 40% HCP</t>
  </si>
  <si>
    <t>AG-TJM-029</t>
  </si>
  <si>
    <t>30% PLG + 35% LCP + 35% HCP</t>
  </si>
  <si>
    <t>AG-TJM-030</t>
  </si>
  <si>
    <t>40% PLG + 30% LCP + 30% HCP</t>
  </si>
  <si>
    <t>AG-TJM-031</t>
  </si>
  <si>
    <t>50% PLG + 25% LCP + 25% HCP</t>
  </si>
  <si>
    <t>AG-TJM-032</t>
  </si>
  <si>
    <t>90% OL + 5% PLG + 4.25% LCP + 0.75% HCP</t>
  </si>
  <si>
    <t>AG-TJM-033</t>
  </si>
  <si>
    <t>70% OL + 15% PLG + 12.75% LCP + 2.25% HCP</t>
  </si>
  <si>
    <t>AG-TJM-034</t>
  </si>
  <si>
    <t>60% OL + 20% PLG + 17% LCP + 3% HCP</t>
  </si>
  <si>
    <t>AG-TJM-035</t>
  </si>
  <si>
    <t>20% OL + 40% LCP + 40% HCP</t>
  </si>
  <si>
    <t>AG-TJM-036</t>
  </si>
  <si>
    <t>30% OL + 35% LCP + 35% HCP</t>
  </si>
  <si>
    <t>AG-TJM-037</t>
  </si>
  <si>
    <t>40% OL + 30% LCP + 30% HCP</t>
  </si>
  <si>
    <t>AG-TJM-038</t>
  </si>
  <si>
    <t>50% OL + 25% LCP + 25% HCP</t>
  </si>
  <si>
    <t>AG-TJM-039</t>
  </si>
  <si>
    <t>60% OL + 20% LCP + 20% HCP</t>
  </si>
  <si>
    <t>AG-TJM-040</t>
  </si>
  <si>
    <t>70% OL + 15% LCP + 15% HCP</t>
  </si>
  <si>
    <t>AG-TJM-041</t>
  </si>
  <si>
    <t>80% OL + 10% LCP + 10% HCP</t>
  </si>
  <si>
    <t>AG-TJM-042</t>
  </si>
  <si>
    <t>10% PLG + 76.5% LCP + 13.5% HCP</t>
  </si>
  <si>
    <t>AG-TJM-043</t>
  </si>
  <si>
    <t>20% PLG + 68% LCP + 12% HCP</t>
  </si>
  <si>
    <t>AG-TJM-044</t>
  </si>
  <si>
    <t>30% PLG + 59.5% LCP + 10.5% HCP</t>
  </si>
  <si>
    <t>AG-TJM-045</t>
  </si>
  <si>
    <t>40% PLG + 51% LCP + 9% HCP</t>
  </si>
  <si>
    <t>AG-TJM-046</t>
  </si>
  <si>
    <t>50% PLG + 42.5% LCP + 7.5% HCP</t>
  </si>
  <si>
    <t>AG-TJM-047</t>
  </si>
  <si>
    <t>90% OL + 5% PLG + 2.5% LCP + 2.5% HCP</t>
  </si>
  <si>
    <t>AG-TJM-048</t>
  </si>
  <si>
    <t>80% OL + 10% PLG + 5% LCP + 5% HCP</t>
  </si>
  <si>
    <t>AG-TJM-049</t>
  </si>
  <si>
    <t>70% OL + 15% PLG + 7.5% LCP + 7.5% HCP</t>
  </si>
  <si>
    <t>AG-TJM-050</t>
  </si>
  <si>
    <t>60% OL + 20% PLG + 10% LCP + 10% HCP</t>
  </si>
  <si>
    <t>AG-TJM-051</t>
  </si>
  <si>
    <t>60% PLG + 20% LCP + 20% HCP</t>
  </si>
  <si>
    <t>JB-JLB-A15</t>
  </si>
  <si>
    <t>50 wt% Forsterite (JB945D) + 50 wt% Enstatite (JBA14A)</t>
  </si>
  <si>
    <t>JLB</t>
  </si>
  <si>
    <t>Mixture</t>
  </si>
  <si>
    <t>Olivine Forsterite Pyroxene Orthopyroxene Enstatite</t>
  </si>
  <si>
    <t>San Carlos, Arizona and Bergen, Norway</t>
  </si>
  <si>
    <t>Bishop Lab, SETI Institute</t>
  </si>
  <si>
    <t>Spectroscopy of synthetic ureilite mixtures (MDAP, MFRP, Active Missions, Prop Prep)</t>
  </si>
  <si>
    <t>JB-JLB-A16</t>
  </si>
  <si>
    <t>25 wt% Forsterite (JB945D) + 75 wt% Enstatite (JBA14A)</t>
  </si>
  <si>
    <t>JB-JLB-A17</t>
  </si>
  <si>
    <t>75 wt% Forsterite (JB945D) + 25 wt% Enstatite (JBA14A)</t>
  </si>
  <si>
    <t>JB-JLB-A18</t>
  </si>
  <si>
    <t>47.5 wt% Forsterite (JB945D) + 47.5 wt% Enstatite (JBA14A) + 5 wt% graphite (JBA05)</t>
  </si>
  <si>
    <t>JB-JLB-A19</t>
  </si>
  <si>
    <t>48 wt% Forsterite (JB945D) + 48 wt% Enstatite (JBA14A) + 3-4 wt% graphite (JBA05)</t>
  </si>
  <si>
    <t>MX-JPE-019-A</t>
  </si>
  <si>
    <t>50% San Carlos olivine + 50% Tanzania enstatite mixture &lt;125 um</t>
  </si>
  <si>
    <t>Olivine Pyroxene Orthopyroxene Enstatite</t>
  </si>
  <si>
    <t>San Carlos, AZ &amp; Tanzania, Africa</t>
  </si>
  <si>
    <t>As a control for terrestrial weathering removal treatment</t>
  </si>
  <si>
    <t>MX-RGM-066</t>
  </si>
  <si>
    <t>25% HCP (PX-18) + 75% LCP (PX-17) &lt;25 um</t>
  </si>
  <si>
    <t>RGM</t>
  </si>
  <si>
    <t>Synthetic</t>
  </si>
  <si>
    <t>Silicate (Ino)</t>
  </si>
  <si>
    <t>Pyroxene Mixture</t>
  </si>
  <si>
    <t>Particulate Ground Sieved</t>
  </si>
  <si>
    <t>Synthesized by Donald Lindsley at SUNY Stonybrook</t>
  </si>
  <si>
    <t>PX-17 and PX-18</t>
  </si>
  <si>
    <t>MX-RGM-067</t>
  </si>
  <si>
    <t>50% HCP (PX-18) + 50% LCP (PX-17) &lt;25 um</t>
  </si>
  <si>
    <t>S; PREDICTED AS CPX</t>
  </si>
  <si>
    <t>MX-RGM-068</t>
  </si>
  <si>
    <t>75% HCP (PX-18) + 25% LCP (PX-17) &lt;25 um</t>
  </si>
  <si>
    <t>XP-CMP-001</t>
  </si>
  <si>
    <t>Mixture 50% PE-32, 50% PP-23  Origin PE-30,PP-21</t>
  </si>
  <si>
    <t>Binary Pyroxene Clino Diopside Enstatite</t>
  </si>
  <si>
    <t xml:space="preserve">Relab </t>
  </si>
  <si>
    <t xml:space="preserve">Relab C1-E1 </t>
  </si>
  <si>
    <t>PE-32 = PE-30</t>
  </si>
  <si>
    <t>XP-CMP-002</t>
  </si>
  <si>
    <t xml:space="preserve">60% Opx 40% Cpx   Origin PE-030, PP-021 </t>
  </si>
  <si>
    <t>Binary Pyroxene Clinopyroxene Diopside Enstatite</t>
  </si>
  <si>
    <t>PE-30(Fs=12.62940, En=86.59289, Wo=0.77771); PP-21(Fs=10.46943, En=44.92010, Wo=44.61047)</t>
  </si>
  <si>
    <t>XP-CMP-003</t>
  </si>
  <si>
    <t>40% Opx 60% Cpx   Origin PE-30,PP-21</t>
  </si>
  <si>
    <t>XP-CMP-004</t>
  </si>
  <si>
    <t>75% Opx 25% Cpx   Origin PE-30,PP-21</t>
  </si>
  <si>
    <t>XP-CMP-005</t>
  </si>
  <si>
    <t>25% Opx 75% Cpx   Origin PE-30,PP-21</t>
  </si>
  <si>
    <t>XP-CMP-006</t>
  </si>
  <si>
    <t>85% Opx 15% Cpx   Origin PE-30,PP-21</t>
  </si>
  <si>
    <t>XP-CMP-007</t>
  </si>
  <si>
    <t xml:space="preserve">15% Opx 85% Cpx   </t>
  </si>
  <si>
    <t>Likely the mixture of PE-30 and PP-21</t>
  </si>
  <si>
    <t>XP-CMP-010</t>
  </si>
  <si>
    <t>50% Opx 50% Cpx   Origin PE-30,PP-21</t>
  </si>
  <si>
    <t>XP-CMP-011</t>
  </si>
  <si>
    <t>60% Opx 40% Cpx   Origin PE-30,PP-21</t>
  </si>
  <si>
    <t>XP-CMP-012</t>
  </si>
  <si>
    <t xml:space="preserve">Relab C1-E2 </t>
  </si>
  <si>
    <t>XP-CMP-013</t>
  </si>
  <si>
    <t>XP-CMP-014</t>
  </si>
  <si>
    <t>XP-CMP-015</t>
  </si>
  <si>
    <t>XP-CMP-016</t>
  </si>
  <si>
    <t>15% Opx 85% Cpx   Origin PE-30,PP-21</t>
  </si>
  <si>
    <t>XP-CMP-017</t>
  </si>
  <si>
    <t xml:space="preserve">25 Opx 75 Cpx &lt;45 </t>
  </si>
  <si>
    <t>Binary Pyroxene Ortho Clino Diopside Enstatite</t>
  </si>
  <si>
    <t xml:space="preserve">Relab unknown </t>
  </si>
  <si>
    <t>Mixture of 25% Enstatite (Websterite) 75% Hawaii Diopside   Origin PE-30,PP-21</t>
  </si>
  <si>
    <t>XP-CMP-020</t>
  </si>
  <si>
    <t xml:space="preserve">Opx/Cpx 50/50 </t>
  </si>
  <si>
    <t xml:space="preserve">Origin PE-30,PP-21  </t>
  </si>
  <si>
    <t>XP-CMP-021</t>
  </si>
  <si>
    <t xml:space="preserve">Opx/Cpx 60/40 </t>
  </si>
  <si>
    <t>XP-CMP-022</t>
  </si>
  <si>
    <t xml:space="preserve">Opx/Cpx 40/60 </t>
  </si>
  <si>
    <t xml:space="preserve">Origin PE-30,PP-21  Opx 40% Cpx 60% </t>
  </si>
  <si>
    <t>XP-CMP-023</t>
  </si>
  <si>
    <t xml:space="preserve">Opx/Cpx 75/25 </t>
  </si>
  <si>
    <t>websterite / hawaii cpx mixtures  Origin PE-30,PP-21</t>
  </si>
  <si>
    <t>XP-CMP-024</t>
  </si>
  <si>
    <t xml:space="preserve">Opx/Cpx 25/75 </t>
  </si>
  <si>
    <t>XP-CMP-025</t>
  </si>
  <si>
    <t xml:space="preserve">Opx/Cpx 85/15 </t>
  </si>
  <si>
    <t>XP-CMP-026</t>
  </si>
  <si>
    <t xml:space="preserve">Opx/Cpx 15/85 </t>
  </si>
  <si>
    <t>AG-TJM-011</t>
  </si>
  <si>
    <t>Plagioclase (Labradorite)</t>
  </si>
  <si>
    <t>Silicate (Tecto)</t>
  </si>
  <si>
    <t>Feldspar Plagioclase Labradorite</t>
  </si>
  <si>
    <t>Lake County, OR</t>
  </si>
  <si>
    <t>DH-CMP-012</t>
  </si>
  <si>
    <t>Labradorite (An 48) &lt;25 um</t>
  </si>
  <si>
    <t>Plagioclase Feldspar Labradorite</t>
  </si>
  <si>
    <t>Essex County, NY</t>
  </si>
  <si>
    <t>ASU</t>
  </si>
  <si>
    <t>name</t>
  </si>
  <si>
    <t>DH-CMP-015</t>
  </si>
  <si>
    <t>Albite (An 1) &lt;25 um</t>
  </si>
  <si>
    <t>Plagioclase Feldspar Albite</t>
  </si>
  <si>
    <t>Amelia Co., VA</t>
  </si>
  <si>
    <t>DH-CMP-016</t>
  </si>
  <si>
    <t>Labradorite (An 62) &lt;25 um</t>
  </si>
  <si>
    <t>Unknown</t>
  </si>
  <si>
    <t>UK</t>
  </si>
  <si>
    <t>DH-CMP-017</t>
  </si>
  <si>
    <t>Bytownite (An 60) &lt;25 um</t>
  </si>
  <si>
    <t>Plagioclase Feldspar Bytownite</t>
  </si>
  <si>
    <t>Brown University</t>
  </si>
  <si>
    <t>Colin Jackson polished bytownite sample</t>
  </si>
  <si>
    <t>LR-CMP-171</t>
  </si>
  <si>
    <t>15555,965 plagioclase B</t>
  </si>
  <si>
    <t>Feldspar Plagioclase</t>
  </si>
  <si>
    <t>Apollo 15 site, Moon</t>
  </si>
  <si>
    <t xml:space="preserve">JSC PGI Brown </t>
  </si>
  <si>
    <t>Mineral separate from Apollo 15 basalt (LRMCC)</t>
  </si>
  <si>
    <t>LR-CMP-174</t>
  </si>
  <si>
    <t>15058,276 plagioclase</t>
  </si>
  <si>
    <t>LR-CMP-177</t>
  </si>
  <si>
    <t>70017,535 plagioclase B</t>
  </si>
  <si>
    <t>Mineral separate from Apollo 17 basalt (LRMCC)</t>
  </si>
  <si>
    <t>LR-CMP-181</t>
  </si>
  <si>
    <t>70035,188 plagioclase B</t>
  </si>
  <si>
    <t>LR-CMP-183</t>
  </si>
  <si>
    <t>62241,21 plagioclase B</t>
  </si>
  <si>
    <t>Plagioclase separate from mature highland soil 62240</t>
  </si>
  <si>
    <t>LR-CMP-210</t>
  </si>
  <si>
    <t>15058,276 plagioclase D &lt;45 um</t>
  </si>
  <si>
    <t>LR-CMP-214</t>
  </si>
  <si>
    <t>15555,965 plagioclase D &lt;45 um</t>
  </si>
  <si>
    <t>LR-CMP-217</t>
  </si>
  <si>
    <t>70017,535 plagioclase D &lt;45 um</t>
  </si>
  <si>
    <t>LR-CMP-221</t>
  </si>
  <si>
    <t>70035,188 plagioclase D &lt;45 um</t>
  </si>
  <si>
    <t>LR-CMP-223</t>
  </si>
  <si>
    <t>62241,21 plagioclase D &lt;45 um</t>
  </si>
  <si>
    <t>LR-CMP-224</t>
  </si>
  <si>
    <t>15415,60 plagioclase B</t>
  </si>
  <si>
    <t xml:space="preserve">Pristine Lunar Anorthosite 15451,60   </t>
  </si>
  <si>
    <t>LR-CMP-226</t>
  </si>
  <si>
    <t>76535,93 plagioclase B</t>
  </si>
  <si>
    <t>Mineral separate from course grained troctolite from North Massif.  Crushed 2/2008, PJI</t>
  </si>
  <si>
    <t>LS-CMP-004</t>
  </si>
  <si>
    <t xml:space="preserve">76535,93 </t>
  </si>
  <si>
    <t xml:space="preserve">Plagioclase </t>
  </si>
  <si>
    <t>Bulk</t>
  </si>
  <si>
    <t xml:space="preserve">Apollo 17 </t>
  </si>
  <si>
    <t>Relab Safe</t>
  </si>
  <si>
    <t xml:space="preserve">Mineral separate from course grained troctolite from North Massif   </t>
  </si>
  <si>
    <t>LS-CMP-011</t>
  </si>
  <si>
    <t>15415,60</t>
  </si>
  <si>
    <t xml:space="preserve">Plagioclase Anorthite Anorthosite </t>
  </si>
  <si>
    <t xml:space="preserve">Bulk Particulate </t>
  </si>
  <si>
    <t xml:space="preserve">Apollo 15 </t>
  </si>
  <si>
    <t>Relab Safe (on loan)</t>
  </si>
  <si>
    <t>PL-EAC-029</t>
  </si>
  <si>
    <t>PLG101</t>
  </si>
  <si>
    <t>EAC</t>
  </si>
  <si>
    <t>Ylijarvi, Ylamaaa, Kimi, Finland</t>
  </si>
  <si>
    <t>Univ. of Winnipeg</t>
  </si>
  <si>
    <t>PL-EAC-032</t>
  </si>
  <si>
    <t>PLG104</t>
  </si>
  <si>
    <t>Nain, Labrador, Newfoundland, Canada</t>
  </si>
  <si>
    <t>PL-EAC-035</t>
  </si>
  <si>
    <t>PLG107</t>
  </si>
  <si>
    <t>Island of Linosa, Italy</t>
  </si>
  <si>
    <t>PL-EAC-036</t>
  </si>
  <si>
    <t>PLG108</t>
  </si>
  <si>
    <t>Stillwater Complex, MT</t>
  </si>
  <si>
    <t>PL-EAC-037</t>
  </si>
  <si>
    <t>PLG109</t>
  </si>
  <si>
    <t>PL-EAC-040</t>
  </si>
  <si>
    <t>PLG113</t>
  </si>
  <si>
    <t>https://www.uwinnipeg.ca/c-tape/docs/sample-bible.pdf</t>
  </si>
  <si>
    <t>PL-EAC-043</t>
  </si>
  <si>
    <t>PLG116</t>
  </si>
  <si>
    <t>Skaergaard Intrusion, Greenland</t>
  </si>
  <si>
    <t>PL-EAC-046</t>
  </si>
  <si>
    <t>PLG119</t>
  </si>
  <si>
    <t>Tvedesstrand, Norway</t>
  </si>
  <si>
    <t>PL-EAC-048</t>
  </si>
  <si>
    <t>PLG121</t>
  </si>
  <si>
    <t>India</t>
  </si>
  <si>
    <t>PL-EAC-050</t>
  </si>
  <si>
    <t>PLG129</t>
  </si>
  <si>
    <t>PL-EAC-051</t>
  </si>
  <si>
    <t>PLG124</t>
  </si>
  <si>
    <t>Gerdeshagen, Germany</t>
  </si>
  <si>
    <t>PL-EAC-052</t>
  </si>
  <si>
    <t>PLG125</t>
  </si>
  <si>
    <t>PL-H1T-114</t>
  </si>
  <si>
    <t>Large (cm size) bytownite crystal</t>
  </si>
  <si>
    <t>H1T</t>
  </si>
  <si>
    <t>Feldspar Plagioclase Bytownite</t>
  </si>
  <si>
    <t xml:space="preserve">Large Crystal </t>
  </si>
  <si>
    <t>Casa Grandu Area, Chihuahua, Mexico</t>
  </si>
  <si>
    <t>Chiba Institute of Technology, Japan</t>
  </si>
  <si>
    <t>Large bytownite crystal from Shimizu (crystal size 1 cm with cracks)</t>
  </si>
  <si>
    <t>PL-H1T-114-B</t>
  </si>
  <si>
    <t>Bytownite 125-500 um</t>
  </si>
  <si>
    <t>Large bytownite crystal from Shimizu</t>
  </si>
  <si>
    <t>PL-H1T-114-C</t>
  </si>
  <si>
    <t>Bytownite &lt;125 um</t>
  </si>
  <si>
    <t>PL-H1T-114-D</t>
  </si>
  <si>
    <t>Bytownite 75-125 um</t>
  </si>
  <si>
    <t>PL-H1T-114-E</t>
  </si>
  <si>
    <t>Bytownite &lt;75 um</t>
  </si>
  <si>
    <t>PL-HYM-055</t>
  </si>
  <si>
    <t>4512A-L (An 51) 45-125 um</t>
  </si>
  <si>
    <t>Particulate Sorted</t>
  </si>
  <si>
    <t>Western US/Mexico</t>
  </si>
  <si>
    <t>University of Tennesee</t>
  </si>
  <si>
    <t>Plagioclase series</t>
  </si>
  <si>
    <t>PL-HYM-057-B</t>
  </si>
  <si>
    <t>SS (An 68) &lt;25 um</t>
  </si>
  <si>
    <t>PL-HYM-057-C</t>
  </si>
  <si>
    <t>SS (An 68) 25-45 um</t>
  </si>
  <si>
    <t>PL-HYM-057-D</t>
  </si>
  <si>
    <t>SS (An 68) 45-125 um</t>
  </si>
  <si>
    <t>PL-HYM-057-E</t>
  </si>
  <si>
    <t>SS (An 68) 125-250 um</t>
  </si>
  <si>
    <t>SC-EAC-037</t>
  </si>
  <si>
    <t xml:space="preserve">Plagioclase Bytownite </t>
  </si>
  <si>
    <t xml:space="preserve">Stillwater Complex, Montana </t>
  </si>
  <si>
    <t xml:space="preserve">Alberta, Canada </t>
  </si>
  <si>
    <t xml:space="preserve">Vial L7   Massive 99% pure sample.Wet sieved. </t>
  </si>
  <si>
    <t>SR-JFM-050-A</t>
  </si>
  <si>
    <t>BUR-3460A</t>
  </si>
  <si>
    <t>JFM</t>
  </si>
  <si>
    <t>Feldspar Microcline</t>
  </si>
  <si>
    <t>Arizona State University</t>
  </si>
  <si>
    <t>From ASU TES spectral library to contribute to the CRISM spectral library for Mars</t>
  </si>
  <si>
    <t>SR-JFM-066-A</t>
  </si>
  <si>
    <t>WAR-0579</t>
  </si>
  <si>
    <t>Feldspar Anorthoclase</t>
  </si>
  <si>
    <t>AG-TJM-010</t>
  </si>
  <si>
    <t>Augite</t>
  </si>
  <si>
    <t>Pyroxene Clinopyroxene Augite</t>
  </si>
  <si>
    <t>Kakanui, New Zealand</t>
  </si>
  <si>
    <t>CP-JJG-001-A</t>
  </si>
  <si>
    <t>C-Px &lt;25 um</t>
  </si>
  <si>
    <t>JJG</t>
  </si>
  <si>
    <t>Czech</t>
  </si>
  <si>
    <t>University of Hawaii</t>
  </si>
  <si>
    <t>CP-JJG-001-B</t>
  </si>
  <si>
    <t>C-Px 25-45 um</t>
  </si>
  <si>
    <t>CP-JJG-001-C</t>
  </si>
  <si>
    <t>C-Px 45-53 um</t>
  </si>
  <si>
    <t>CP-JJG-001-D</t>
  </si>
  <si>
    <t>C-Px 53-63 um</t>
  </si>
  <si>
    <t>CP-JJG-001-E</t>
  </si>
  <si>
    <t>C-Px 63-75 um</t>
  </si>
  <si>
    <t>CP-JJG-001-F</t>
  </si>
  <si>
    <t>C-Px 75-150 um</t>
  </si>
  <si>
    <t>DD-MDD-003</t>
  </si>
  <si>
    <t>Nakhla augite</t>
  </si>
  <si>
    <t>MDD</t>
  </si>
  <si>
    <t>Abu Hommos, Alexandria, Egypt</t>
  </si>
  <si>
    <t>NMNH</t>
  </si>
  <si>
    <t>Separated by hand picking, then ground.</t>
  </si>
  <si>
    <t>http://adsabs.harvard.edu/pdf/1975Metic..10..303B</t>
  </si>
  <si>
    <t>Abstract</t>
  </si>
  <si>
    <t>DD-MDD-005</t>
  </si>
  <si>
    <t>Los Angeles pyroxene</t>
  </si>
  <si>
    <t>Pyroxene</t>
  </si>
  <si>
    <t>Los Angeles, CA</t>
  </si>
  <si>
    <t>DD-MDD-008</t>
  </si>
  <si>
    <t>Zagami pyroxene</t>
  </si>
  <si>
    <t>Katsina Province, Nigeria</t>
  </si>
  <si>
    <t>DD-MDD-057</t>
  </si>
  <si>
    <t>EETA 79001,596 lith-A pyroxene &lt;45 um</t>
  </si>
  <si>
    <t>JSC</t>
  </si>
  <si>
    <t>https://onlinelibrary.wiley.com/doi/pdf/10.1111/j.1945-5100.1998.tb01624.x</t>
  </si>
  <si>
    <t>Table 3</t>
  </si>
  <si>
    <t>DD-MDD-058</t>
  </si>
  <si>
    <t>EETA 79001,60 lith-B pyroxene &lt;45 um</t>
  </si>
  <si>
    <t>DL-CMP-009</t>
  </si>
  <si>
    <t>Wo 10 En 45 Fs 45 (EFW5-13: 99.5% cpx, 0.5% glass)</t>
  </si>
  <si>
    <t>Pyroxene Clinopyroxene</t>
  </si>
  <si>
    <t xml:space="preserve">Synthetic </t>
  </si>
  <si>
    <t>Grain size unknown.  PGG.  From Turnock.</t>
  </si>
  <si>
    <t>synthetic</t>
  </si>
  <si>
    <t>DL-CMP-009-A</t>
  </si>
  <si>
    <t>Wo 10 En 45 Fs 45 (EFW5-13) &lt;45 um</t>
  </si>
  <si>
    <t>PGG.  From Turnock.</t>
  </si>
  <si>
    <t>DL-CMP-010</t>
  </si>
  <si>
    <t>Wo 10 En 63 Fs 27 (EFW13-4: 100% cpx, trCrist)</t>
  </si>
  <si>
    <t>DL-CMP-010-A</t>
  </si>
  <si>
    <t>Wo 10 En 63 Fs 27 (EFW13-4, 100% cpx) &lt; 45 um</t>
  </si>
  <si>
    <t>DL-CMP-011</t>
  </si>
  <si>
    <t>Wo 10 En 36 Fs 54 (E35-6: 100% cpx, triCrist)</t>
  </si>
  <si>
    <t>DL-CMP-011-A</t>
  </si>
  <si>
    <t>Wo 10 En 36 Fs 54 (E35-6, 100% cpx) &lt;45 um</t>
  </si>
  <si>
    <t>DL-CMP-013</t>
  </si>
  <si>
    <t>Wo 8 En 46 Fs 46 (E40-1: 99.5% cpx, 0.5% glass, Crist)</t>
  </si>
  <si>
    <t>DL-CMP-013-A</t>
  </si>
  <si>
    <t>Wo 8 En 46 Fs 46 (E40-1: 99.5% cpx, 0.5% glass, Crist) &lt;45 um</t>
  </si>
  <si>
    <t>PGG from Turnock</t>
  </si>
  <si>
    <t>DL-CMP-017-A</t>
  </si>
  <si>
    <t>Wo 20 En 64 Fs 16 (EFW8-3, 99.5% cpx) &lt;45 um</t>
  </si>
  <si>
    <t>DL-CMP-018-A</t>
  </si>
  <si>
    <t>Wo 10 En 72 Fs 18 (EFW9-18, 100% cpx) &lt;45 um</t>
  </si>
  <si>
    <t>DL-CMP-019-A</t>
  </si>
  <si>
    <t>Wo 20 En 56 Fs 24 (EFW12-3, 99.5% cpx) &lt;45 um</t>
  </si>
  <si>
    <t>DL-CMP-032-A</t>
  </si>
  <si>
    <t>Wo 46.2 En 53.8 (A) &lt;45 um</t>
  </si>
  <si>
    <t>PGG from Don Lindsley</t>
  </si>
  <si>
    <t>DL-CMP-039-A</t>
  </si>
  <si>
    <t>Wo 50 En 25 Fs 25 (D5-26, 99% aug) &lt;45 um</t>
  </si>
  <si>
    <t>DL-CMP-046-A</t>
  </si>
  <si>
    <t>Wo 15 En 34 Fs 51 (E43-100, 70% cpx) &lt;45 um</t>
  </si>
  <si>
    <t>Pyroxene Orthopyroxene Clinopyroxene</t>
  </si>
  <si>
    <t>DL-CMP-047-A</t>
  </si>
  <si>
    <t>Wo 25 En 30 Fs 45 (E44-101, 95-98% cpx) &lt;45 um</t>
  </si>
  <si>
    <t>DL-CMP-048-A</t>
  </si>
  <si>
    <t>Wo 10 En 13.5 Fs 76.5 (B) (Wo 10 X=85 B)&lt;45 um</t>
  </si>
  <si>
    <t>Pyroxene Orthopyroxene</t>
  </si>
  <si>
    <t>DL-CMP-049-A</t>
  </si>
  <si>
    <t>Wo 10 En 13.5 Fs 76.5 (Wo 10 X=85) &lt;45 um</t>
  </si>
  <si>
    <t>DL-CMP-050-A</t>
  </si>
  <si>
    <t>Wo 15 En 21 Fs 64 (B) &lt;45 um</t>
  </si>
  <si>
    <t>DL-CMP-051-A</t>
  </si>
  <si>
    <t>Wo 20 En 40 Fs 40 (EFW4-9, 100% pyx) &lt;45 um</t>
  </si>
  <si>
    <t>DL-CMP-052-A</t>
  </si>
  <si>
    <t>Wo 10 En 90 Fs 0 (G) &lt;45 um</t>
  </si>
  <si>
    <t>DL-CMP-053-A</t>
  </si>
  <si>
    <t>Wo 10 En 22.5 Fs 67.5 (B) &lt;45 um</t>
  </si>
  <si>
    <t>DL-CMP-054-A</t>
  </si>
  <si>
    <t>Wo 15 En 6.8 Fs 78 (A) (Wo 15 X=92) &lt;45 um</t>
  </si>
  <si>
    <t>DL-CMP-055-A</t>
  </si>
  <si>
    <t>Wo 20 En 20 Fs 60 (A) &lt;45 um</t>
  </si>
  <si>
    <t>DL-CMP-056-A</t>
  </si>
  <si>
    <t>Wo 20 En 20 Fs 60 (B) &lt;45 um</t>
  </si>
  <si>
    <t>DL-CMP-057-A</t>
  </si>
  <si>
    <t>Wo 20 En 32 Fs 48 (EFW34-2, 100% pyx) &lt;45 um</t>
  </si>
  <si>
    <t>DL-CMP-058-A</t>
  </si>
  <si>
    <t>Wo 25 En 30 Fs 45 (D) &lt;45 um</t>
  </si>
  <si>
    <t>DL-CMP-060-A</t>
  </si>
  <si>
    <t>Wo 30 En 70 (G) &lt;45 um</t>
  </si>
  <si>
    <t>DL-CMP-066-A</t>
  </si>
  <si>
    <t>Wo 30 En 17.5 Fs 52.5 (A) &lt;45 um</t>
  </si>
  <si>
    <t>DL-CMP-067-A</t>
  </si>
  <si>
    <t>Wo 30 En 49 Fs 21 (EFW11-4, 95% cpx) &lt;45 um</t>
  </si>
  <si>
    <t>DL-CMP-068-A</t>
  </si>
  <si>
    <t>Wo 30 En 28 Fs 42 (E33-16, 100% cpx) &lt;45 um</t>
  </si>
  <si>
    <t>DL-CMP-069-A</t>
  </si>
  <si>
    <t>Wo 35 En 20 Fs 46 (E46-7, 99.7% cpx) &lt;45 um</t>
  </si>
  <si>
    <t>DL-CMP-070-A</t>
  </si>
  <si>
    <t>Wo 40 En 15 Fs 45 (B) &lt;45 um</t>
  </si>
  <si>
    <t>DL-CMP-071-A</t>
  </si>
  <si>
    <t>Wo 40 En 24 Fs 36 (EFW1-2, 100% cpx) &lt;45 um</t>
  </si>
  <si>
    <t>DL-CMP-072-A</t>
  </si>
  <si>
    <t>Wo 30 En 70 (H) &lt;45 um</t>
  </si>
  <si>
    <t>DL-CMP-073-A</t>
  </si>
  <si>
    <t>Wo 30 En 35 Fs 35 (EFW3-9, 99% cpx) &lt;45 um</t>
  </si>
  <si>
    <t>DL-CMP-074-A</t>
  </si>
  <si>
    <t>Wo 30 En 21 Fs 49 (E27-1, 97% cpx) &lt;45 um</t>
  </si>
  <si>
    <t>DL-CMP-075-A</t>
  </si>
  <si>
    <t>Wo 40 En 48 Fs 12 (E6-7, 100% pyx) &lt;45 um</t>
  </si>
  <si>
    <t>DL-CMP-076-A</t>
  </si>
  <si>
    <t>Wo 40 En 10 Fs 50 (EFW17-2, 95% pyx) &lt;45 um</t>
  </si>
  <si>
    <t>DL-CMP-077-A</t>
  </si>
  <si>
    <t>Wo 40 En 55 Fs 5 (EFW19-3, 100% pyx) &lt;45 um</t>
  </si>
  <si>
    <t>DL-CMP-078-A</t>
  </si>
  <si>
    <t>Wo 37.5 En 62.5 (B) &lt;45 um</t>
  </si>
  <si>
    <t>DL-CMP-079-A</t>
  </si>
  <si>
    <t>Wo 40 En 30 Fs 30 (EFW2-7, 100% pyx) &lt;45 um</t>
  </si>
  <si>
    <t>DL-CMP-080-A</t>
  </si>
  <si>
    <t>Wo 40 En 20 Fs 40 (EFW15-10, 100% pyx) &lt;45 um</t>
  </si>
  <si>
    <t>DL-CMP-081-A</t>
  </si>
  <si>
    <t>Wo 35 En 26 Fs 39 (E42-106, 100% cpx) &lt;45 um</t>
  </si>
  <si>
    <t>DL-CMP-082-A</t>
  </si>
  <si>
    <t>Wo 50 Fs 50 (Ca Hd O) &lt;45 um</t>
  </si>
  <si>
    <t xml:space="preserve">Pyroxene Clinopyroxene Hedenbergite </t>
  </si>
  <si>
    <t>PGG from Don Lindsley.  See Klima, R. L. et al. (2008) Meteoritics &amp; Planetary Science 43, 1591-1604.</t>
  </si>
  <si>
    <t>DL-CMP-084-A</t>
  </si>
  <si>
    <t>Wo 35 Fs 65 (C) &lt;45 um</t>
  </si>
  <si>
    <t>DL-CMP-085-A</t>
  </si>
  <si>
    <t>Wo 30 Fs 70 (C) &lt;45 um</t>
  </si>
  <si>
    <t>DL-CMP-086-A</t>
  </si>
  <si>
    <t>Wo 25 Fs 75 (G) &lt;45 um</t>
  </si>
  <si>
    <t>DL-CMP-087-A</t>
  </si>
  <si>
    <t>Wo 20 Fs 80 (I) &lt;45 um</t>
  </si>
  <si>
    <t>DL-CMP-088-A</t>
  </si>
  <si>
    <t>Wo 10 Fs 90 (E,D) &lt;45 um</t>
  </si>
  <si>
    <t>DL-CMP-089-A</t>
  </si>
  <si>
    <t>Wo 7 Fs 93 (C) &lt;45 um</t>
  </si>
  <si>
    <t>JB-JLB-A38</t>
  </si>
  <si>
    <t>Pigeonite from G2 basaltic rock 250-500 um</t>
  </si>
  <si>
    <t>Silicate (Ino)</t>
    <phoneticPr fontId="0" type="noConversion"/>
  </si>
  <si>
    <t>Pyroxene Clinopyroxene Pigeonite</t>
  </si>
  <si>
    <t>Particulate Ground Wet-Sieved</t>
  </si>
  <si>
    <t>Wilhelmsbad, Vogelsberg, Germany</t>
  </si>
  <si>
    <t>Prepared by Jan Harloff, picked by Jerry Marchand</t>
  </si>
  <si>
    <t>https://www.lpi.usra.edu/meetings/lpsc2002/pdf/1168.pdf</t>
  </si>
  <si>
    <t>no info</t>
  </si>
  <si>
    <t>JB-JLB-A38-B</t>
  </si>
  <si>
    <t>Pigeonite from G2 basaltic rock 90-125 um</t>
  </si>
  <si>
    <t>JB-JLB-A39</t>
  </si>
  <si>
    <t>Pigeonite from G3 basaltic rock 250-500 um</t>
  </si>
  <si>
    <t>Brockenheim, Vogelsberg, Germany</t>
  </si>
  <si>
    <t>LR-CMP-168</t>
  </si>
  <si>
    <t>15555,965 reddish-brown pyroxene B</t>
  </si>
  <si>
    <t>Pyroxene Clinopyroxene Augite Mg-Poor</t>
  </si>
  <si>
    <t>LR-CMP-170</t>
  </si>
  <si>
    <t>15555,965 light-brown pyroxene B</t>
  </si>
  <si>
    <t>Pyroxene Clinopyroxene Augite Mg-Rich Subcalcic</t>
  </si>
  <si>
    <t>LR-CMP-172</t>
  </si>
  <si>
    <t>15058,276 brown pyroxene</t>
  </si>
  <si>
    <t xml:space="preserve">Pyroxene Clinopyroxene Augite </t>
  </si>
  <si>
    <t>LR-CMP-173</t>
  </si>
  <si>
    <t>15058,276 green pyroxene</t>
  </si>
  <si>
    <t>Pyroxene Orthopyroxene/Pigeonite</t>
  </si>
  <si>
    <t>LR-CMP-175</t>
  </si>
  <si>
    <t>70017,535 deep-brown pyroxene B</t>
  </si>
  <si>
    <t>LR-CMP-176</t>
  </si>
  <si>
    <t>70017,535 light-brown pyroxene B</t>
  </si>
  <si>
    <t>LR-CMP-179</t>
  </si>
  <si>
    <t>70035,188 deep-brown pyroxene B</t>
  </si>
  <si>
    <t>LR-CMP-180</t>
  </si>
  <si>
    <t>70035,188 light-brown pyroxene B</t>
  </si>
  <si>
    <t>LR-CMP-208</t>
  </si>
  <si>
    <t>15058,276 brown pyroxene D &lt;45 um</t>
  </si>
  <si>
    <t>LR-CMP-209</t>
  </si>
  <si>
    <t>15058,276 green pyroxene D &lt;45 um</t>
  </si>
  <si>
    <t>LR-CMP-211</t>
  </si>
  <si>
    <t>15555,965 reddish-brown pyroxene D &lt;45 um</t>
  </si>
  <si>
    <t>LR-CMP-213</t>
  </si>
  <si>
    <t>15555,965 light-brown pyroxene D &lt;45 um</t>
  </si>
  <si>
    <t>LR-CMP-215</t>
  </si>
  <si>
    <t>70017,535 deep-brown pyroxene D &lt;45 um</t>
  </si>
  <si>
    <t>LR-CMP-216</t>
  </si>
  <si>
    <t>70017,535 light-brown pyroxene D &lt;45 um</t>
  </si>
  <si>
    <t>LR-CMP-219</t>
  </si>
  <si>
    <t>70035,188 dark-brown pyroxene D &lt;45 um</t>
  </si>
  <si>
    <t>LR-CMP-220</t>
  </si>
  <si>
    <t>70035,188 light-brown pyroxene D &lt;45 um</t>
  </si>
  <si>
    <t>MT-CMP-064</t>
  </si>
  <si>
    <t>Y-980318 Ca-Px</t>
  </si>
  <si>
    <t>Pyroxene Ca-rich</t>
  </si>
  <si>
    <t xml:space="preserve">Yamato Mtns, Antarctica </t>
  </si>
  <si>
    <t>21 mg, Fs 18-19, Wo 45-46</t>
  </si>
  <si>
    <t>S; LEARNED AS OPX</t>
  </si>
  <si>
    <t>in text</t>
  </si>
  <si>
    <t>PD-CMP-008</t>
  </si>
  <si>
    <t>Diopside</t>
  </si>
  <si>
    <t xml:space="preserve">India (Wards) </t>
  </si>
  <si>
    <t>Probably the same as PD-CMP-011</t>
  </si>
  <si>
    <t>PD-JFM-009</t>
  </si>
  <si>
    <t xml:space="preserve">Hydrabad diopside </t>
  </si>
  <si>
    <t xml:space="preserve">Pyroxene Clinopyroxene Diopside </t>
  </si>
  <si>
    <t xml:space="preserve">Hydrabad, India </t>
  </si>
  <si>
    <t xml:space="preserve">Ward's collection.  </t>
  </si>
  <si>
    <t>https://academic.oup.com/petrology/article-abstract/61/9/egaa087/5897419?redirectedFrom=fulltext</t>
  </si>
  <si>
    <t xml:space="preserve">are mostly diopside (Wo34·9–49·4En44·7–56·8Fs2·4–9·6) </t>
  </si>
  <si>
    <t>PP-CMP-020</t>
  </si>
  <si>
    <t>Hawaii CPX</t>
  </si>
  <si>
    <t>Hawaii</t>
  </si>
  <si>
    <t>Depleted</t>
  </si>
  <si>
    <t xml:space="preserve">High calcium pyroxene from 1801 volcanic bomb   Diopside: Wo 46% En 46% Fs 9% </t>
  </si>
  <si>
    <t>PP-CMP-021</t>
  </si>
  <si>
    <t>CPX 45</t>
  </si>
  <si>
    <t xml:space="preserve">Silicate (Ino) </t>
  </si>
  <si>
    <t xml:space="preserve">Mauna Kea, Hawaii </t>
  </si>
  <si>
    <t xml:space="preserve">Set of separates from hawaii volcanic bomb Cpx  Diopside: Wo 46% En 46% Fs 9% </t>
  </si>
  <si>
    <t>PP-CMP-022</t>
  </si>
  <si>
    <t>Cpx 75</t>
  </si>
  <si>
    <t xml:space="preserve">Diopside: Wo 46% En 46% Fs 9%   </t>
  </si>
  <si>
    <t>PP-CMP-023</t>
  </si>
  <si>
    <t xml:space="preserve">Cpx 125 </t>
  </si>
  <si>
    <t>PP-CMP-024</t>
  </si>
  <si>
    <t>Cpx 25</t>
  </si>
  <si>
    <t xml:space="preserve">Sample eventually resieved back into PP-21  Diopside: Wo 46% En 46% Fs 9% </t>
  </si>
  <si>
    <t>PP-CMP-025</t>
  </si>
  <si>
    <t>Cpx 63</t>
  </si>
  <si>
    <t>PP-CMP-026</t>
  </si>
  <si>
    <t>Cpx 125B</t>
  </si>
  <si>
    <t>PP-CMP-027-A</t>
  </si>
  <si>
    <t>Cpx &lt;25 um</t>
  </si>
  <si>
    <t xml:space="preserve">Hi Ca pyroxene from 1801 volcanic bomb for "soil" mixture experiment  Diopside: Wo 46%En 46%Fs 9% </t>
  </si>
  <si>
    <t>PP-CMP-027-B</t>
  </si>
  <si>
    <t>Cpx 25-75 um</t>
  </si>
  <si>
    <t xml:space="preserve">High calcium pyroxene from 1801 volcanic bomb   Diopside: Wo 46%En 46%Fs 9% </t>
  </si>
  <si>
    <t>PP-CMP-027-C</t>
  </si>
  <si>
    <t xml:space="preserve">Cpx 75-250 um </t>
  </si>
  <si>
    <t>PP-CMP-027-D</t>
  </si>
  <si>
    <t>Cpx 75-125 um</t>
  </si>
  <si>
    <t>PP-CMP-027-E</t>
  </si>
  <si>
    <t>Cpx fine soil</t>
  </si>
  <si>
    <t>Same as PP-CMP-027</t>
  </si>
  <si>
    <t>PP-CMP-027-F</t>
  </si>
  <si>
    <t>Cpx medium soil</t>
  </si>
  <si>
    <t>PP-CMP-027-G</t>
  </si>
  <si>
    <t>Cpx coarse soil</t>
  </si>
  <si>
    <t>PP-EAC-001</t>
  </si>
  <si>
    <t>PYX005</t>
  </si>
  <si>
    <t xml:space="preserve">Pyroxene Clinopyroxene Endiopside </t>
  </si>
  <si>
    <t xml:space="preserve">Locality unknown, probably Ontario  </t>
  </si>
  <si>
    <t>PP-EAC-009</t>
  </si>
  <si>
    <t>PYX017</t>
  </si>
  <si>
    <t xml:space="preserve">Tillamook Co., OR </t>
  </si>
  <si>
    <t xml:space="preserve">Purchased from Minerals Unlimited   </t>
  </si>
  <si>
    <t>PP-EAC-016</t>
  </si>
  <si>
    <t>PYX016</t>
  </si>
  <si>
    <t xml:space="preserve">Bird Creek, Ontario </t>
  </si>
  <si>
    <t>PP-EAC-042</t>
  </si>
  <si>
    <t>PYX112</t>
  </si>
  <si>
    <t>Pyroxene Pigeonite (Magnesian)</t>
  </si>
  <si>
    <t xml:space="preserve">unknown; probably Ontario </t>
  </si>
  <si>
    <t xml:space="preserve">a single crystalline sample with no weathering  </t>
  </si>
  <si>
    <t>S; PREDICTED AS OPX</t>
  </si>
  <si>
    <t>PP-EAC-046</t>
  </si>
  <si>
    <t>PYX015</t>
  </si>
  <si>
    <t xml:space="preserve">Pyroxene Endiopside </t>
  </si>
  <si>
    <t>San Carlos Co., AZ</t>
  </si>
  <si>
    <t xml:space="preserve">From fine-grained volc xenolith. Also contains basalts frags,   spinel(?) &amp; olivine(OLV013). Nearly pure - grains easy to separate. </t>
  </si>
  <si>
    <t>PP-EAC-048</t>
  </si>
  <si>
    <t>PYX103</t>
  </si>
  <si>
    <t xml:space="preserve">unknown </t>
  </si>
  <si>
    <t xml:space="preserve">intimately mixed with a white phase (plagioclase?)  </t>
  </si>
  <si>
    <t>PP-EAC-049</t>
  </si>
  <si>
    <t>PYX114</t>
  </si>
  <si>
    <t xml:space="preserve">Skaergaard Intrusion, Greenland </t>
  </si>
  <si>
    <t>Univ. of Hawaii collection #10-21-6   Heterogeneous with PLG116, OLV022.</t>
  </si>
  <si>
    <t>PP-EAC-050</t>
  </si>
  <si>
    <t>PYX115</t>
  </si>
  <si>
    <t xml:space="preserve">fine-grained, intimately intergrown sample  </t>
  </si>
  <si>
    <t>PP-EAC-054</t>
  </si>
  <si>
    <t>PYX107</t>
  </si>
  <si>
    <t xml:space="preserve">mixture of PYX107 with plagioclase (PLG114)   </t>
  </si>
  <si>
    <t>PP-EAC-058</t>
  </si>
  <si>
    <t>PYX135</t>
  </si>
  <si>
    <t>DeKalb, NY</t>
  </si>
  <si>
    <t xml:space="preserve">from a single small pale-green crystal  </t>
  </si>
  <si>
    <t>PP-EAC-066</t>
  </si>
  <si>
    <t>PYX111</t>
  </si>
  <si>
    <t>Pyroxene Clinpyroxene Diopside</t>
  </si>
  <si>
    <t xml:space="preserve">The Fichtelgegirge, Germany </t>
  </si>
  <si>
    <t xml:space="preserve">from a massive sample with very minor contamination/alteration  Smithsonian Inst. #B20009 </t>
  </si>
  <si>
    <t>PP-EAC-095</t>
  </si>
  <si>
    <t>PYX167</t>
  </si>
  <si>
    <t xml:space="preserve">Pyroxene Augite </t>
  </si>
  <si>
    <t xml:space="preserve">Unknown </t>
  </si>
  <si>
    <t xml:space="preserve">Univ. of Winnipeg </t>
  </si>
  <si>
    <t xml:space="preserve">Pyroxene sample from gabbro   </t>
  </si>
  <si>
    <t>PP-EAC-098</t>
  </si>
  <si>
    <t>PYX171</t>
  </si>
  <si>
    <t xml:space="preserve">Villafranca, Cecchina, near Rome, Italy </t>
  </si>
  <si>
    <t xml:space="preserve">Purchased from Minerals Unlimited.  </t>
  </si>
  <si>
    <t>PX-DWS-012</t>
  </si>
  <si>
    <t>Pigeonite (NMNH) 105869 (maybe impure)</t>
  </si>
  <si>
    <t>DWS</t>
  </si>
  <si>
    <t>Hakone Volcano, Honshu, Japan</t>
  </si>
  <si>
    <t>University of Arkansas</t>
  </si>
  <si>
    <t>Source asteroids for unequilibrated ordinary chondrites (UOC) (PGG, Cosmochemistry, Student)</t>
  </si>
  <si>
    <t>PX-DWS-012-B</t>
  </si>
  <si>
    <t>Pigeonite (NMNH 105869) (maybe impure) washed with HCl and dried at 120C</t>
  </si>
  <si>
    <t>PX-EAC-009</t>
  </si>
  <si>
    <t>PYX185</t>
  </si>
  <si>
    <t>Lac Onatchiway, Chicoutimi Co., Quebec, Canada</t>
  </si>
  <si>
    <t>https://citeseerx.ist.psu.edu/viewdoc/download?doi=10.1.1.581.1908&amp;rep=rep1&amp;type=pdf</t>
  </si>
  <si>
    <t>Sample from table 1, microprobe analysis from Table 2</t>
  </si>
  <si>
    <t>PX-RGM-018</t>
  </si>
  <si>
    <t>Synthetic eucrite HCP (En 28.4 Fs 33.0 Wo 37.6) &lt;25 um</t>
  </si>
  <si>
    <t>Pyroxene Clinopyroxene High-Ca</t>
  </si>
  <si>
    <t>in name</t>
  </si>
  <si>
    <t>SB-RGB-001</t>
  </si>
  <si>
    <t xml:space="preserve">Pigeonite 1 </t>
  </si>
  <si>
    <t>RGB</t>
  </si>
  <si>
    <t xml:space="preserve">Pigeonite </t>
  </si>
  <si>
    <t xml:space="preserve">MIT </t>
  </si>
  <si>
    <t xml:space="preserve">Pigeonite standard  </t>
  </si>
  <si>
    <t>S; VALIDATED AS OPX</t>
  </si>
  <si>
    <t>AG-TJM-009</t>
  </si>
  <si>
    <t>Hypersthene</t>
  </si>
  <si>
    <t>Pyroxene Orthopyroxene Hypersthene</t>
  </si>
  <si>
    <t>Johnstown Meteorite</t>
  </si>
  <si>
    <t>DD-MDD-004</t>
  </si>
  <si>
    <t>ALH 84001 orthopyroxene</t>
  </si>
  <si>
    <t>https://www.lpi.usra.edu/meteor/metbull.php?code=604</t>
  </si>
  <si>
    <t>The meteorite consists of orthopyroxene (En70 Fs27 Wo3)</t>
  </si>
  <si>
    <t>DL-CMP-001</t>
  </si>
  <si>
    <t>En 100</t>
  </si>
  <si>
    <t>Grain size unknown.  PGG.  From Don Lindsley.  See Klima, R. L. et al. (2007) Meteoritics &amp; Planetary Science 42, 235-253.</t>
  </si>
  <si>
    <t>DL-CMP-001-A</t>
  </si>
  <si>
    <t>En 100 &lt;45 um</t>
  </si>
  <si>
    <t>PGG from Don Lindsley.  See Klima, R. L. et al. (2007) Meteoritics &amp; Planetary Science 42, 235-253.</t>
  </si>
  <si>
    <t>DL-CMP-002</t>
  </si>
  <si>
    <t>En 80 Fs 20 (E)</t>
  </si>
  <si>
    <t>DL-CMP-002-A</t>
  </si>
  <si>
    <t>En 80 Fs 20 (E) &lt;45 um</t>
  </si>
  <si>
    <t>DL-CMP-003</t>
  </si>
  <si>
    <t>En 75 Fs 25 (F)</t>
  </si>
  <si>
    <t>DL-CMP-003-A</t>
  </si>
  <si>
    <t>En 75 Fs 25 (F) &lt;45 um</t>
  </si>
  <si>
    <t>DL-CMP-004</t>
  </si>
  <si>
    <t>En 50 Fs 50</t>
  </si>
  <si>
    <t>Grain size unknown.  PGG.  From Don Lindsley.</t>
  </si>
  <si>
    <t>DL-CMP-004-A</t>
  </si>
  <si>
    <t>En 50 Fs 50 &lt;45 um</t>
  </si>
  <si>
    <t>DL-CMP-005</t>
  </si>
  <si>
    <t>En 40 Fs 60 (97+% Cpx)</t>
  </si>
  <si>
    <t>DL-CMP-005-A</t>
  </si>
  <si>
    <t>En 40 Fs 60 (97+% Cpx) &lt;45 um</t>
  </si>
  <si>
    <t>DL-CMP-006</t>
  </si>
  <si>
    <t>En 25 Fs 75</t>
  </si>
  <si>
    <t>DL-CMP-006-A</t>
  </si>
  <si>
    <t>En 25 Fs 75 &lt;45 um</t>
  </si>
  <si>
    <t>DL-CMP-008</t>
  </si>
  <si>
    <t>Wo 5 En 38 Fs 57 (E36-103: 100% pig)</t>
  </si>
  <si>
    <t>DL-CMP-008-A</t>
  </si>
  <si>
    <t>Wo 5 En 38 Fs 57 (E36-103, 100% opx) &lt; 45 um</t>
  </si>
  <si>
    <t>DL-CMP-012</t>
  </si>
  <si>
    <t>Wo 5 En 47.5 Fs 47.5 (E14-11)</t>
  </si>
  <si>
    <t>DL-CMP-012-A</t>
  </si>
  <si>
    <t>Wo 5 En 47.5 Fs 47.5 (E14-11) &lt;45 um</t>
  </si>
  <si>
    <t>DL-CMP-014</t>
  </si>
  <si>
    <t>Wo 2.5 En 39 Fs 58.5 (E45-100)</t>
  </si>
  <si>
    <t>DL-CMP-014-A</t>
  </si>
  <si>
    <t>Wo 2.5 En 39 Fs 58.5 (E45-100, 95% hyp, 2-5% cpx) &lt;45 um</t>
  </si>
  <si>
    <t>DL-CMP-015</t>
  </si>
  <si>
    <t>Wo 5 En 66.5 Fs 28.5 (EFW29-5)</t>
  </si>
  <si>
    <t>DL-CMP-015-A</t>
  </si>
  <si>
    <t>Wo 5 En 66.5 Fs 28.5 (EFW29-5) &lt;45 um</t>
  </si>
  <si>
    <t>DL-CMP-016</t>
  </si>
  <si>
    <t>Wo 5 En 76 Fs 19 (EFW21-101: 98% Px (Opx+Cpx), 2% glass+Crist)</t>
  </si>
  <si>
    <t>Pyroxene Clinopyroxene Orthopyroxene</t>
  </si>
  <si>
    <t>DL-CMP-016-A</t>
  </si>
  <si>
    <t>Wo 5 En 76 Fs 19 (EFW21-101) &lt;45 um</t>
  </si>
  <si>
    <t>DL-CMP-020-A</t>
  </si>
  <si>
    <t>En 17 Fs 83 (A) &lt;45 um</t>
  </si>
  <si>
    <t>DL-CMP-021-A</t>
  </si>
  <si>
    <t>En 8 Fs 92 (A) &lt;45 um</t>
  </si>
  <si>
    <t>DL-CMP-022-A</t>
  </si>
  <si>
    <t>En 75 Fs 25 (A) &lt;45 um</t>
  </si>
  <si>
    <t>DL-CMP-023-A</t>
  </si>
  <si>
    <t>En 30 Fs 70 (A) &lt;45 um</t>
  </si>
  <si>
    <t>DL-CMP-024-A</t>
  </si>
  <si>
    <t>En 17 Fs 83 (C) &lt;45 um</t>
  </si>
  <si>
    <t>DL-CMP-025-A</t>
  </si>
  <si>
    <t>En 35 Fs 65 (A) &lt;45 um</t>
  </si>
  <si>
    <t>DL-CMP-026-A</t>
  </si>
  <si>
    <t>En 70 Fs 30 (B) &lt;45 um</t>
  </si>
  <si>
    <t>DL-CMP-027-A</t>
  </si>
  <si>
    <t>En 80 Fs 20 (C) &lt;45 um</t>
  </si>
  <si>
    <t>DL-CMP-028-A</t>
  </si>
  <si>
    <t>En 25 Fs 75 (C) &lt;45 um</t>
  </si>
  <si>
    <t>DL-CMP-029-A</t>
  </si>
  <si>
    <t>En 15 Fs 85 (B) (Minor olivine) &lt;45 um</t>
  </si>
  <si>
    <t>DL-CMP-031-A</t>
  </si>
  <si>
    <t>Fs 50 (F5-100)</t>
  </si>
  <si>
    <t>DL-CMP-034-A</t>
  </si>
  <si>
    <t>En 50 Fs 50 (Wo0 x=50 B) &lt;45 um</t>
  </si>
  <si>
    <t>DL-CMP-045-A</t>
  </si>
  <si>
    <t>Wo 4 En 48 Fs 48 (E41-105) &lt;45 um</t>
  </si>
  <si>
    <t>DL-CMP-061-A</t>
  </si>
  <si>
    <t>Fs 100 PP1 &lt;45 um</t>
  </si>
  <si>
    <t>Pyroxene Orthopyroxene Ferrosilite</t>
  </si>
  <si>
    <t>DL-CMP-062-A</t>
  </si>
  <si>
    <t>Fs 100 PP2 &lt;45 um</t>
  </si>
  <si>
    <t>DL-CMP-063-A</t>
  </si>
  <si>
    <t>Fs 100 PP3 &lt;45 um</t>
  </si>
  <si>
    <t>DL-CMP-064-A</t>
  </si>
  <si>
    <t>En 97.5 Fs 2.5 (A) &lt;45 um</t>
  </si>
  <si>
    <t>DL-CMP-065-A</t>
  </si>
  <si>
    <t>En 90 Fs 10 (G) &lt;45 um</t>
  </si>
  <si>
    <t>DL-CMP-090-A</t>
  </si>
  <si>
    <t>Wo 5 Fs 95 (D) &lt;45 um</t>
  </si>
  <si>
    <t>DL-CMP-091-A</t>
  </si>
  <si>
    <t>Wo 2 Fs 98 (A) &lt;45 um</t>
  </si>
  <si>
    <t>JA-CMP-001</t>
  </si>
  <si>
    <t>JA #2368 HYP</t>
  </si>
  <si>
    <t>West Greenland</t>
  </si>
  <si>
    <t>J Adams Collection</t>
  </si>
  <si>
    <t>https://www.sciencedirect.com/science/article/pii/S2214242815000297</t>
  </si>
  <si>
    <t>The pyroxene in the Fiskefjord peridotites are nearly pureenstatite, with a median component of En88.0,Fs11.5, and Wo0.55</t>
  </si>
  <si>
    <t>JA-CMP-007</t>
  </si>
  <si>
    <t xml:space="preserve">JA #79558 HYP </t>
  </si>
  <si>
    <t>Wilmington, DE</t>
  </si>
  <si>
    <t>https://pubs.geoscienceworld.org/gsa/gsabulletin/article-pdf/70/11/1425/3431838/i0016-7606-70-11-1425.pdf</t>
  </si>
  <si>
    <t>Table 1</t>
  </si>
  <si>
    <t>KR-KMR-009-A</t>
  </si>
  <si>
    <t>Tanzania enstatite 20-32 um</t>
  </si>
  <si>
    <t>KMR</t>
  </si>
  <si>
    <t>Enstatite Orthopyroxene Pyroxene</t>
  </si>
  <si>
    <t>Tanzania</t>
  </si>
  <si>
    <t>Lunar mixing</t>
  </si>
  <si>
    <t>https://www.sciencedirect.com/science/article/abs/pii/0079194675900373</t>
  </si>
  <si>
    <t>lowCa,AI,Cr,Ti,Mn enstatite(Wo1En93Fs7)</t>
  </si>
  <si>
    <t>KR-KMR-009-B</t>
  </si>
  <si>
    <t>Tanzania enstatite 32-45 um</t>
  </si>
  <si>
    <t>KR-KMR-009-C</t>
  </si>
  <si>
    <t>Tanzania enstatite 45-63 um</t>
  </si>
  <si>
    <t>KR-KMR-009-D</t>
  </si>
  <si>
    <t>Tanzania enstatite 63-75 um</t>
  </si>
  <si>
    <t>KR-KMR-009-E</t>
  </si>
  <si>
    <t>Tanzania enstatite 75-125 um</t>
  </si>
  <si>
    <t>MT-CMP-063</t>
  </si>
  <si>
    <t>Y-980318 Fe-Px</t>
  </si>
  <si>
    <t>Pyroxene Fe-rich</t>
  </si>
  <si>
    <t>24 mg, Fs 48-49 Wo 2</t>
  </si>
  <si>
    <t>MT-CMP-067</t>
  </si>
  <si>
    <t>Y-980433 pyroxene</t>
  </si>
  <si>
    <t>51 mg</t>
  </si>
  <si>
    <t>https://www.lpi.usra.edu/meteor/?code=32788</t>
  </si>
  <si>
    <t>Compositions of low-Ca pyroxene cluster around Wo2Fs47-51</t>
  </si>
  <si>
    <t>PE-CMP-006</t>
  </si>
  <si>
    <t xml:space="preserve">Enstatite </t>
  </si>
  <si>
    <t>See Text</t>
  </si>
  <si>
    <t xml:space="preserve">Webster, NC </t>
  </si>
  <si>
    <t xml:space="preserve">Destroyed </t>
  </si>
  <si>
    <t xml:space="preserve">25% &lt;30 uM25% 30-4525% 45-10825% 150-250  </t>
  </si>
  <si>
    <t>same as PE-CMP-032</t>
  </si>
  <si>
    <t>PE-CMP-022</t>
  </si>
  <si>
    <t xml:space="preserve">Webster, N.C. </t>
  </si>
  <si>
    <t xml:space="preserve">Jim's Enstatite   </t>
  </si>
  <si>
    <t>PE-CMP-023</t>
  </si>
  <si>
    <t xml:space="preserve">Sample used for mini-dish comparisons as well as for polarization tests   </t>
  </si>
  <si>
    <t>PE-CMP-024</t>
  </si>
  <si>
    <t>PE-CMP-025</t>
  </si>
  <si>
    <t>Bamble, Norway</t>
  </si>
  <si>
    <t xml:space="preserve">Relab C1-G3 </t>
  </si>
  <si>
    <t>https://link.springer.com/content/pdf/10.1007/BF00203843.pdf</t>
  </si>
  <si>
    <t>PE-CMP-030</t>
  </si>
  <si>
    <t>Web 45</t>
  </si>
  <si>
    <t>Series of separates to be used as raw materials for J. Sunshines  Senior thesis Enstatite: Wo 1% En 87% Fs 12%</t>
  </si>
  <si>
    <t>PE-CMP-031</t>
  </si>
  <si>
    <t>Web 75</t>
  </si>
  <si>
    <t xml:space="preserve">Enstatite: Wo 1% En 87% Fs 12%  </t>
  </si>
  <si>
    <t>PE-CMP-032</t>
  </si>
  <si>
    <t xml:space="preserve">Web 125 </t>
  </si>
  <si>
    <t>PE-CMP-034-A</t>
  </si>
  <si>
    <t>Websterite &lt;25 um</t>
  </si>
  <si>
    <t xml:space="preserve">Remaining Websterite resieved May 92 by SFP </t>
  </si>
  <si>
    <t>PE-CMP-034-B</t>
  </si>
  <si>
    <t>Websterite 25-45 um</t>
  </si>
  <si>
    <t>PE-CMP-034-C</t>
  </si>
  <si>
    <t>Websterite 45-75 um</t>
  </si>
  <si>
    <t>PE-CMP-034-D</t>
  </si>
  <si>
    <t>Websterite 75-125 um</t>
  </si>
  <si>
    <t>PE-CMP-034-E</t>
  </si>
  <si>
    <t>Websterite 125-250 um</t>
  </si>
  <si>
    <t>PE-CMP-034-F</t>
  </si>
  <si>
    <t>Websterite 250-500 um</t>
  </si>
  <si>
    <t>PE-CMP-034-H1</t>
  </si>
  <si>
    <t>Opx 25</t>
  </si>
  <si>
    <t xml:space="preserve">Pyroxene Orthopyroxene Enstatite; Webesterite </t>
  </si>
  <si>
    <t xml:space="preserve">Relab C1-C1 </t>
  </si>
  <si>
    <t xml:space="preserve">Enstatite: Wo 1%En 87%Fs 12%  Used in "soil" mixture experiment </t>
  </si>
  <si>
    <t>PE-CMP-034-H2</t>
  </si>
  <si>
    <t>PE-CMP-034-I</t>
  </si>
  <si>
    <t>Opx 75</t>
  </si>
  <si>
    <t>Pyroxene Orthopyroxene Enstatite; Websterite</t>
  </si>
  <si>
    <t>Wesbster, NC</t>
  </si>
  <si>
    <t>PE-CMP-034-J</t>
  </si>
  <si>
    <t xml:space="preserve">Opx 250 </t>
  </si>
  <si>
    <t xml:space="preserve">Enstatite: Wo 1%En 87%Fs 12%  </t>
  </si>
  <si>
    <t>PE-CMP-034-K</t>
  </si>
  <si>
    <t>Fine opx soil</t>
  </si>
  <si>
    <t>PE-CMP-034-L</t>
  </si>
  <si>
    <t>Medium opx soil</t>
  </si>
  <si>
    <t>PE-CMP-034-M</t>
  </si>
  <si>
    <t>Coarse opx soil</t>
  </si>
  <si>
    <t>PE-CMP-040-A</t>
  </si>
  <si>
    <t xml:space="preserve">Ani-jima Bronzite </t>
  </si>
  <si>
    <t xml:space="preserve">Orthopyroxene </t>
  </si>
  <si>
    <t>Ani-jima, Bonin Islands, Japan</t>
  </si>
  <si>
    <t>Tomas found this one</t>
  </si>
  <si>
    <t>PE-CMP-040-B</t>
  </si>
  <si>
    <t>PE-CMP-040-C</t>
  </si>
  <si>
    <t>PE-CMP-040-D</t>
  </si>
  <si>
    <t>PE-CMP-040-E</t>
  </si>
  <si>
    <t>PE-CMP-040-F</t>
  </si>
  <si>
    <t>PE-CMP-041-A1</t>
  </si>
  <si>
    <t>Chichi-jima bronzite &lt;25 um</t>
  </si>
  <si>
    <t xml:space="preserve">Chichi-jima, Bonin Islands, Japan </t>
  </si>
  <si>
    <t>https://link.springer.com/article/10.1007/BF00373580</t>
  </si>
  <si>
    <t>PE-CMP-041-A2</t>
  </si>
  <si>
    <t>PE-CMP-041-B</t>
  </si>
  <si>
    <t>Chichi-jima bronzite 25-45 um</t>
  </si>
  <si>
    <t>PE-CMP-041-C</t>
  </si>
  <si>
    <t>Chichi-jima bronzite 45-75 um</t>
  </si>
  <si>
    <t>PE-JFM-009</t>
  </si>
  <si>
    <t>Bamble Enstatite</t>
  </si>
  <si>
    <t>Pyroxene Enstatite</t>
  </si>
  <si>
    <t xml:space="preserve">Ward's 49E-2125   Dry-sieved. </t>
  </si>
  <si>
    <t>PE-TXH-041-CP</t>
  </si>
  <si>
    <t>Chichi-jima bronzite 45-75 um pellet</t>
  </si>
  <si>
    <t>Pressed Pellet</t>
  </si>
  <si>
    <t>PP-EAC-040</t>
  </si>
  <si>
    <t>PYX003</t>
  </si>
  <si>
    <t xml:space="preserve">Pyroxene Bronzite </t>
  </si>
  <si>
    <t xml:space="preserve">Mantyharia, Finland </t>
  </si>
  <si>
    <t>single massive crystalline samp. w/very minor exterior weathering   sample from fresh interior</t>
  </si>
  <si>
    <t>PP-EAC-044</t>
  </si>
  <si>
    <t>PYX117</t>
  </si>
  <si>
    <t xml:space="preserve">unspecified locality in India </t>
  </si>
  <si>
    <t xml:space="preserve">from a single unweathered crystal   </t>
  </si>
  <si>
    <t>PP-EAC-047-B</t>
  </si>
  <si>
    <t>PYX110 45-90 um</t>
  </si>
  <si>
    <t xml:space="preserve">Pyroxene Orthopyroxene Bronzite </t>
  </si>
  <si>
    <t>Locality unknown.Univ. of Alberta Geology 330 lab collection #8/4/4.</t>
  </si>
  <si>
    <t>PP-EAC-052</t>
  </si>
  <si>
    <t>PYX119</t>
  </si>
  <si>
    <t xml:space="preserve">Loch Seaforth, Outer Hebrides, Scotland </t>
  </si>
  <si>
    <t>With OLV103   Purchased from Excalibur Mineral Co.</t>
  </si>
  <si>
    <t>PP-EAC-087</t>
  </si>
  <si>
    <t>PYX042</t>
  </si>
  <si>
    <t>Pyroxene Orthopyroxene Enstatite</t>
  </si>
  <si>
    <t xml:space="preserve">Purchased from Ward's   </t>
  </si>
  <si>
    <t>PP-RGB-080</t>
  </si>
  <si>
    <t>Standard OPX</t>
  </si>
  <si>
    <t xml:space="preserve">Barachois, Quebec </t>
  </si>
  <si>
    <t xml:space="preserve">Standard (unheated) orthopyroxene   Contains 18.72 wt% FeO; Fs 14% En 86% </t>
  </si>
  <si>
    <t>PX-JPE-020-A</t>
  </si>
  <si>
    <t>Tanzania enstatite &lt;125 um</t>
  </si>
  <si>
    <t>Tanzania, Africa</t>
  </si>
  <si>
    <t>PX-RGM-017</t>
  </si>
  <si>
    <t>Synthetic eucrite LCP (En 35.3 Fs 61.4 Wo 3.3) &lt;25 um</t>
  </si>
  <si>
    <t>Pyroxene Low-Ca</t>
  </si>
  <si>
    <t>SB-RGB-051-A</t>
  </si>
  <si>
    <t xml:space="preserve">Bushveldt complex </t>
  </si>
  <si>
    <t>TZHP, Site Occupancy Study, Fe2 (M1) = 0.139, Fe2 (M2) = 0.794</t>
  </si>
  <si>
    <t>SB-RGB-051-B</t>
  </si>
  <si>
    <t>Orthopyroxene #195</t>
  </si>
  <si>
    <t>TZHP, Site Occupancy Study, Fe2 (M1) = 0.201, Fe2 (M2) = 0.760</t>
  </si>
  <si>
    <t>SB-RGB-051-C</t>
  </si>
  <si>
    <t>Orthopyroxene #198</t>
  </si>
  <si>
    <t>TZHP, Site Occupancy Study, Fe2 (M1) = 0.265, Fe2 (M2) = 0.696</t>
  </si>
  <si>
    <t>SB-RGB-051-D</t>
  </si>
  <si>
    <t>Orthopyroxene #199</t>
  </si>
  <si>
    <t xml:space="preserve">Bushveldt Complex </t>
  </si>
  <si>
    <t xml:space="preserve">Disordered Opx, Site Occupancy Study, Fe2 (M1) = 0.273, Fe2 (M2) = 0.694 </t>
  </si>
  <si>
    <t>SB-RGB-051-E</t>
  </si>
  <si>
    <t>Orthopyroxene #200</t>
  </si>
  <si>
    <t xml:space="preserve">Disordered Opx, Site Occupancy Study, Fe2 (M1) = 0.247, Fe2 (M2) = 0.713 </t>
  </si>
  <si>
    <t>SB-RGB-052-A</t>
  </si>
  <si>
    <t>Orthopyroxene #311</t>
  </si>
  <si>
    <t xml:space="preserve">Granulite, W. Australia </t>
  </si>
  <si>
    <t>Site Occup., 500 C, Fe2 (M1) = 0.202, Fe2 (M2) 0.531</t>
  </si>
  <si>
    <t>SB-RGB-052-B</t>
  </si>
  <si>
    <t>Orthopyroxene #323</t>
  </si>
  <si>
    <t>Unheated, Fe2 (M1) = 0.121, Fe2 (M2) = 0.624</t>
  </si>
  <si>
    <t>SB-RGB-053-B</t>
  </si>
  <si>
    <t>Orthopyroxene #326</t>
  </si>
  <si>
    <t>Unheated, Fe2 (M1) = 0.067, Fe2 (M2) = 0.665</t>
  </si>
  <si>
    <t>SB-RGB-054</t>
  </si>
  <si>
    <t xml:space="preserve">Mineral </t>
  </si>
  <si>
    <t>Orthopyroxene Fs85</t>
  </si>
  <si>
    <t>Synthetic Fs85, #E318, Fe 0.85, Fe2+/M1=0.771, Fe2+/M2=0.92   Site Occupancy study. Also run in dimple dish with some dish visible</t>
  </si>
  <si>
    <t>SC-EAC-009</t>
  </si>
  <si>
    <t xml:space="preserve">India </t>
  </si>
  <si>
    <t xml:space="preserve">Low calcium pyroxenewet sieved  Vial B11c </t>
  </si>
  <si>
    <t>SC-EAC-036</t>
  </si>
  <si>
    <t>PYX032</t>
  </si>
  <si>
    <t>Ekersund, Norway</t>
  </si>
  <si>
    <t>Vial L6   wet sieved</t>
  </si>
  <si>
    <t>TB-TJM-045</t>
  </si>
  <si>
    <t>Pena Blanca Sp. En</t>
  </si>
  <si>
    <t>Enstatite Orthopyroxene Pyroxene Aubrite</t>
  </si>
  <si>
    <t>Blanca Spring, Marathon, Brewster Co., TX</t>
  </si>
  <si>
    <t xml:space="preserve">Enstatite in Pen~a Blanc Spring aubrite   </t>
  </si>
  <si>
    <t>https://www.researchgate.net/publication/324459195_Reflectance_spectra_of_synthetic_Fe-free_ortho-_and_clinoenstatites_in_the_UVVISIR_and_implications_for_remote_sensing_detection_of_Fe-free_pyroxenes_on_planetary_surfaces</t>
  </si>
  <si>
    <t>AG-TJM-008</t>
  </si>
  <si>
    <t>Olivine (Fo90)</t>
  </si>
  <si>
    <t>Silicate (Neso)</t>
  </si>
  <si>
    <t>Olivine</t>
  </si>
  <si>
    <t>San Carlos, Gila Co., AZ</t>
  </si>
  <si>
    <t>CM-CMP-002</t>
  </si>
  <si>
    <t xml:space="preserve">Olivine </t>
  </si>
  <si>
    <t xml:space="preserve">Olivine Forsterite </t>
  </si>
  <si>
    <t>San Carlos, Ariz</t>
  </si>
  <si>
    <t xml:space="preserve">Olivine for Clementine camera calibration   </t>
  </si>
  <si>
    <t>same as PO-EAC-050</t>
  </si>
  <si>
    <t>DD-MDD-037</t>
  </si>
  <si>
    <t>Fo 90</t>
  </si>
  <si>
    <t>See Dyar, M. D. et al. (2009) American Mineralogist, 94, 883-898.</t>
  </si>
  <si>
    <t>DD-MDD-038</t>
  </si>
  <si>
    <t>Fo 80</t>
  </si>
  <si>
    <t>DD-MDD-039</t>
  </si>
  <si>
    <t>Fo 70</t>
  </si>
  <si>
    <t>DD-MDD-040</t>
  </si>
  <si>
    <t>Fo 60</t>
  </si>
  <si>
    <t>DD-MDD-041</t>
  </si>
  <si>
    <t>Fo 50</t>
  </si>
  <si>
    <t>DD-MDD-042</t>
  </si>
  <si>
    <t>Fo 40</t>
  </si>
  <si>
    <t>DD-MDD-043</t>
  </si>
  <si>
    <t>Fo 30</t>
  </si>
  <si>
    <t>DD-MDD-044</t>
  </si>
  <si>
    <t>Fo 20</t>
  </si>
  <si>
    <t>DD-MDD-045</t>
  </si>
  <si>
    <t>Fo 10</t>
  </si>
  <si>
    <t>DD-MDD-052</t>
  </si>
  <si>
    <t>San Carlos olivine</t>
  </si>
  <si>
    <t>Unaltered</t>
  </si>
  <si>
    <t>DD-MDD-087</t>
  </si>
  <si>
    <t>Fa 20 Fo 80 &lt;45 um</t>
  </si>
  <si>
    <t>From Don Lindsley.  See Dyar, M. D. et al. (2009) American Mineralogist, 94, 883-898.</t>
  </si>
  <si>
    <t>DD-MDD-088</t>
  </si>
  <si>
    <t>Fa 25 Fo 75 (B) &lt;45 um</t>
  </si>
  <si>
    <t>DD-MDD-088-P</t>
  </si>
  <si>
    <t>Fa 25 Fo 75 (B) &lt;45 um pellet</t>
  </si>
  <si>
    <t>From Don Lindsley.  Pressed by Tim Glotch.  See Dyar, M. D. et al. (2009) American Mineralogist, 94, 883-898.</t>
  </si>
  <si>
    <t>DD-MDD-089</t>
  </si>
  <si>
    <t>Fa 30 Fo 70 (A) &lt;45 um</t>
  </si>
  <si>
    <t>DD-MDD-089-P</t>
  </si>
  <si>
    <t>Fa 30 Fo 70 (A) &lt;45 um pellet</t>
  </si>
  <si>
    <t>DD-MDD-090</t>
  </si>
  <si>
    <t>Fa 35 Fo 65 (A) &lt;45 um</t>
  </si>
  <si>
    <t>DD-MDD-090-P</t>
  </si>
  <si>
    <t>Fa 35 Fo 65 (A) &lt;45 um pellet</t>
  </si>
  <si>
    <t>DD-MDD-091</t>
  </si>
  <si>
    <t>Fa 40 Fo 60 (B) &lt;45 um</t>
  </si>
  <si>
    <t>DD-MDD-092</t>
  </si>
  <si>
    <t>Fa 45 Fo 55 (A) &lt;45 um</t>
  </si>
  <si>
    <t>DD-MDD-092-P</t>
  </si>
  <si>
    <t>Fa 45 Fo 55 (A) &lt;45 um pellet</t>
  </si>
  <si>
    <t>DD-MDD-093</t>
  </si>
  <si>
    <t>Fa 50 Fo 50 (A) &lt;45 um</t>
  </si>
  <si>
    <t>DD-MDD-093-P</t>
  </si>
  <si>
    <t>Fa 50 Fo 50 (A) &lt;45 um pellet</t>
  </si>
  <si>
    <t>DD-MDD-094</t>
  </si>
  <si>
    <t>Fa 60 Fo 40 &lt;45 um</t>
  </si>
  <si>
    <t>DD-MDD-094-P</t>
  </si>
  <si>
    <t>Fa 60 Fo 40 &lt;45 um pellet</t>
  </si>
  <si>
    <t>DD-MDD-095</t>
  </si>
  <si>
    <t>Fa 70 Fo 30 &lt;45 um</t>
  </si>
  <si>
    <t>DD-MDD-095-P</t>
  </si>
  <si>
    <t>Fa 70 Fo 30 &lt;45 um pellet</t>
  </si>
  <si>
    <t>DD-MDD-096</t>
  </si>
  <si>
    <t>Fa 80 Fo 20 &lt;45 um</t>
  </si>
  <si>
    <t>DD-MDD-096-P</t>
  </si>
  <si>
    <t>Fa 80 Fo 20 &lt;45 um pellet</t>
  </si>
  <si>
    <t>DD-MDD-097</t>
  </si>
  <si>
    <t>Fa 90 Fo 10 &lt;45 um</t>
  </si>
  <si>
    <t>DD-MDD-097-P</t>
  </si>
  <si>
    <t>Fa 90 Fo 10 &lt;45 um pellet</t>
  </si>
  <si>
    <t>DD-MDD-098</t>
  </si>
  <si>
    <t>Fa 100 Fo 0 &lt;45 um</t>
  </si>
  <si>
    <t>Olivine Fayalite</t>
  </si>
  <si>
    <t>DD-MDD-098-P</t>
  </si>
  <si>
    <t>Fa 100 Fo 0 &lt;45 um pellet</t>
  </si>
  <si>
    <t>DD-MDD-115</t>
  </si>
  <si>
    <t>Fa 10.5 Fo 89.5 &lt;45 um (new)</t>
  </si>
  <si>
    <t>From Don Lindsley.</t>
  </si>
  <si>
    <t>DD-MDD-115-P</t>
  </si>
  <si>
    <t>Fa 10.5 Fo 89.5 &lt;45 um (new) pellet</t>
  </si>
  <si>
    <t>DD-MDD-116</t>
  </si>
  <si>
    <t>Fa 30 Fo 70 (A) &lt;45 um (new)</t>
  </si>
  <si>
    <t>DD-MDD-116-P</t>
  </si>
  <si>
    <t>Fa 30 Fo 70 (A) &lt;45 um (new) pellet</t>
  </si>
  <si>
    <t>MS-CMP-004-C</t>
  </si>
  <si>
    <t>Olivine (Fa 10-12) 100-200 um</t>
  </si>
  <si>
    <t xml:space="preserve">Silicate (Neso) </t>
  </si>
  <si>
    <t>Terrestrial Olivine (Fa 10-12)</t>
  </si>
  <si>
    <t>MS-CMP-004-F</t>
  </si>
  <si>
    <t>Olivine (Fa 10-12) 40-100 um</t>
  </si>
  <si>
    <t>MS-CMP-004-X</t>
  </si>
  <si>
    <t>Olivine (Fa 10-12) &lt;40 um</t>
  </si>
  <si>
    <t>MS-CMP-005-C</t>
  </si>
  <si>
    <t>Olivine (Fa 13.5) 100-200 um</t>
  </si>
  <si>
    <t>Karelia ASSR, USSR</t>
  </si>
  <si>
    <t>Marjalahti Pallasite Olivine (Fa 13.5)</t>
  </si>
  <si>
    <t>MS-CMP-005-F</t>
  </si>
  <si>
    <t>Olivine (Fa 13.5) 40-100 um</t>
  </si>
  <si>
    <t>MS-CMP-005-X</t>
  </si>
  <si>
    <t>Olivine (Fa 13.5) &lt;40 um</t>
  </si>
  <si>
    <t>OL-JMS-001</t>
  </si>
  <si>
    <t>OLV002</t>
  </si>
  <si>
    <t>Chrysolite- Cindercone W. of Hale Pohaku, S. flank of Mauna Kea   Self collected volcanic bomb</t>
  </si>
  <si>
    <t>OL-JMS-002</t>
  </si>
  <si>
    <t>OLV005</t>
  </si>
  <si>
    <t xml:space="preserve">Egypt </t>
  </si>
  <si>
    <t xml:space="preserve">Forsterite- St. John's Island, Red Sea, Egypt (Minerals Unlimited)  </t>
  </si>
  <si>
    <t>OL-JMS-004</t>
  </si>
  <si>
    <t>OLV013</t>
  </si>
  <si>
    <t xml:space="preserve">Arizona </t>
  </si>
  <si>
    <t>Forsterite- Navajo Indian Reservation, San Carlos County, AZ  Minerals Unlimited [from volcanic bomb, with PYX015]</t>
  </si>
  <si>
    <t>OL-JMS-008</t>
  </si>
  <si>
    <t>OLV025</t>
  </si>
  <si>
    <t xml:space="preserve">Stillwater Intrusion, Montana </t>
  </si>
  <si>
    <t xml:space="preserve">Chrysolite- U. of Hawaii collection #10-3-6   </t>
  </si>
  <si>
    <t>PF-RGB-033</t>
  </si>
  <si>
    <t>Synthetic Fayalite</t>
  </si>
  <si>
    <t xml:space="preserve">Synthetic fayalite that has had magnetite magnetically separated from it  </t>
  </si>
  <si>
    <t>PH-RGB-001</t>
  </si>
  <si>
    <t xml:space="preserve">Hortonolite </t>
  </si>
  <si>
    <t>Olivine Hortonlite</t>
  </si>
  <si>
    <t>Transvaal, RSA</t>
  </si>
  <si>
    <t>MIT (EAPS Dept.)</t>
  </si>
  <si>
    <t xml:space="preserve">Hortonlite is (Fay 50, For 50)  </t>
  </si>
  <si>
    <t>PH-RGB-015</t>
  </si>
  <si>
    <t xml:space="preserve">Hortonolite &lt;45 </t>
  </si>
  <si>
    <t xml:space="preserve">Olivine Hortonolite Hyalosiderite </t>
  </si>
  <si>
    <t>Lydenburg, Transvaal, South Africa</t>
  </si>
  <si>
    <t xml:space="preserve">Relab C1-I3 </t>
  </si>
  <si>
    <t>https://journals.co.za/doi/pdf/10.10520/AJA10120750_1555</t>
  </si>
  <si>
    <t>PH-RGB-016</t>
  </si>
  <si>
    <t xml:space="preserve">Hortonolite 45-75 </t>
  </si>
  <si>
    <t>Relab C3-J</t>
  </si>
  <si>
    <t>PO-CMP-025</t>
  </si>
  <si>
    <t>Oliv 45-75</t>
  </si>
  <si>
    <t xml:space="preserve">Hawaii olivine ground up for mixing experiments   </t>
  </si>
  <si>
    <t>Sunshine 1990, MGM paper</t>
  </si>
  <si>
    <t>PO-CMP-027</t>
  </si>
  <si>
    <t>Hawaii Olivine</t>
  </si>
  <si>
    <t xml:space="preserve">Relab C1-G1 </t>
  </si>
  <si>
    <t xml:space="preserve">Olivine from Hawaii beaches with no Opx contamination   </t>
  </si>
  <si>
    <t>https://www.researchgate.net/publication/348799548_Unmixing_Mineral_Abundance_and_Mg_With_Radiative_Transfer_Theory_Modeling_and_Applications</t>
  </si>
  <si>
    <t>PO-CMP-030</t>
  </si>
  <si>
    <t>1801 Olivine</t>
  </si>
  <si>
    <t xml:space="preserve">Olivine grains handpicked from 1801 volcanic bomb   FOR 82.4% </t>
  </si>
  <si>
    <t>PO-CMP-031</t>
  </si>
  <si>
    <t>Res slope</t>
  </si>
  <si>
    <t>PO-CMP-032-A</t>
  </si>
  <si>
    <t>GSB olivine &lt;25 um</t>
  </si>
  <si>
    <t>Green olivine beach sand purified by hand for "soil" mixture experiment   A had spinel inclusions,D was noisy,E was &lt;25 sample we finally used</t>
  </si>
  <si>
    <t>https://agupubs.onlinelibrary.wiley.com/doi/full/10.1029/2019JE006011</t>
  </si>
  <si>
    <t>PO-CMP-032-B</t>
  </si>
  <si>
    <t>GSB olivine 25-75 um</t>
  </si>
  <si>
    <t>PO-CMP-032-C</t>
  </si>
  <si>
    <t>GSB olivine 75-250 um</t>
  </si>
  <si>
    <t>PO-CMP-032-E</t>
  </si>
  <si>
    <t>GSB olivine &lt;25 um (purer)</t>
  </si>
  <si>
    <t>Ground from purer portion.</t>
  </si>
  <si>
    <t>PO-CMP-032-H</t>
  </si>
  <si>
    <t>GSB olivine fine soil</t>
  </si>
  <si>
    <t>PO-CMP-032-I</t>
  </si>
  <si>
    <t>GSB olivine medium soil</t>
  </si>
  <si>
    <t>PO-CMP-032-J</t>
  </si>
  <si>
    <t>GSB olivine coarse soil</t>
  </si>
  <si>
    <t>PO-CMP-070</t>
  </si>
  <si>
    <t>St. Peter's Fayalite</t>
  </si>
  <si>
    <t>St. Peter's Dome, Colorado</t>
  </si>
  <si>
    <t xml:space="preserve">#104568   </t>
  </si>
  <si>
    <t>https://www.nature.com/articles/303325a0.pdf</t>
  </si>
  <si>
    <t>PO-CMP-071</t>
  </si>
  <si>
    <t>chem. analysis 640</t>
  </si>
  <si>
    <t>PO-CMP-072</t>
  </si>
  <si>
    <t xml:space="preserve">Franklin Fayalite </t>
  </si>
  <si>
    <t>Franklin, Sussex Co., NJ</t>
  </si>
  <si>
    <t xml:space="preserve">#113637   </t>
  </si>
  <si>
    <t>Red slope</t>
  </si>
  <si>
    <t>PO-CMP-073</t>
  </si>
  <si>
    <t>PO-CMP-074</t>
  </si>
  <si>
    <t xml:space="preserve">Rustanburg Fayalite </t>
  </si>
  <si>
    <t xml:space="preserve">Rustanburg, Transvaal, SA </t>
  </si>
  <si>
    <t xml:space="preserve">#118652   </t>
  </si>
  <si>
    <t>PO-CMP-076</t>
  </si>
  <si>
    <t xml:space="preserve">Apache Forsterite </t>
  </si>
  <si>
    <t>Olivine Forsterite</t>
  </si>
  <si>
    <t>Apache County, Arizona</t>
  </si>
  <si>
    <t xml:space="preserve">Fo = c. 92%   #103267 </t>
  </si>
  <si>
    <t>PO-CMP-077</t>
  </si>
  <si>
    <t>PO-EAC-004</t>
  </si>
  <si>
    <t>OLV107</t>
  </si>
  <si>
    <t>Rayfield River, British Columbia, Canada</t>
  </si>
  <si>
    <t xml:space="preserve">Extracted from basalt xenolith  </t>
  </si>
  <si>
    <t>PO-EAC-050</t>
  </si>
  <si>
    <t>OLV003</t>
  </si>
  <si>
    <t>San Carlos, AZ</t>
  </si>
  <si>
    <t xml:space="preserve">(see also entry for OLV003 size 45-90 microns [SC-EAC-002])   FOR 90.4% -- FAY 9.6% </t>
  </si>
  <si>
    <t>PO-EAC-051</t>
  </si>
  <si>
    <t xml:space="preserve">(see also entry for OLV003 size 0-45 microns [PO-EAC-050])  FOR 90.4% -- FAY 9.6% </t>
  </si>
  <si>
    <t>PO-EAC-052</t>
  </si>
  <si>
    <t>OLV007</t>
  </si>
  <si>
    <t>Cecchino, near Rome, Italy</t>
  </si>
  <si>
    <t>An intimate fine-grained mess with mica diopside (?) etc.   FOR 96.9% -- FAY 3.1% Clean separate</t>
  </si>
  <si>
    <t>PO-EAC-053</t>
  </si>
  <si>
    <t xml:space="preserve">Intimate fine-grained mass with mica-diopside (?).  FOR 96.9% FAY 3.1% Clean Separate. Spectra for 45-75 also exists. </t>
  </si>
  <si>
    <t>PO-EAC-056</t>
  </si>
  <si>
    <t>OLV010</t>
  </si>
  <si>
    <t>Olivine Chrysolite</t>
  </si>
  <si>
    <t xml:space="preserve">Green sand beach near S Point, HI </t>
  </si>
  <si>
    <t>grains show rust, inclusions  FOR 88.5% -- FAY 11.5%</t>
  </si>
  <si>
    <t>PO-EAC-057</t>
  </si>
  <si>
    <t>PO-EAC-058</t>
  </si>
  <si>
    <t>OLV011</t>
  </si>
  <si>
    <t xml:space="preserve">Rockport, Mass. </t>
  </si>
  <si>
    <t>FOR 0.1% -- FAY 99.9%   Smithsonian Inst. #35117</t>
  </si>
  <si>
    <t>PO-EAC-059</t>
  </si>
  <si>
    <t>Rockport, Mass</t>
  </si>
  <si>
    <t xml:space="preserve">FOR 0.1% -- FAY 99.9%   Smithsonian Inst.#35117. Spectra also exists for 45-75. </t>
  </si>
  <si>
    <t>PO-EAC-060</t>
  </si>
  <si>
    <t>OLV012</t>
  </si>
  <si>
    <t xml:space="preserve">Twin Sister's Range, WA </t>
  </si>
  <si>
    <t>Easy to separate -- only minor chromite contamination   FOR 91.8% -- FAY 8.2% Ward's #136053</t>
  </si>
  <si>
    <t>PO-EAC-061</t>
  </si>
  <si>
    <t xml:space="preserve">Easy to separate -- only minor chromite contamination   FOR 91.8% FAY 8.2% Ward's#13605345-75 spectra also exists </t>
  </si>
  <si>
    <t>PO-EAC-062</t>
  </si>
  <si>
    <t>OLV020</t>
  </si>
  <si>
    <t xml:space="preserve">Olivine Hyalosiderite </t>
  </si>
  <si>
    <t>with PYX115 (PP-50)Still contains some pyroxene   FOR 59.5% -- FAY 40.5%</t>
  </si>
  <si>
    <t>PO-EAC-063</t>
  </si>
  <si>
    <t>with PYX115 (PP-50) Still contains some pyroxene  FOR 59.5% FAY 40.5% Spectra for 45-75 also exists. U Alberta sample?</t>
  </si>
  <si>
    <t>PO-EAC-064</t>
  </si>
  <si>
    <t>OLV021</t>
  </si>
  <si>
    <t xml:space="preserve">sample contaminated with chromite as discreet grains &amp; vein fillings  separation may not be 100% efficient.FOR 85.9% -- FAY 14.1% </t>
  </si>
  <si>
    <t>PO-EAC-065</t>
  </si>
  <si>
    <t>Sample contaminated with chromite as discreet grains &amp; vein fillings  Separation may not be 100% efficient.FOR 85.9 -- FAY 14.1%</t>
  </si>
  <si>
    <t>PO-JFM-084-C</t>
  </si>
  <si>
    <t>Olivine &gt;45 um</t>
  </si>
  <si>
    <t xml:space="preserve">Jackson Cty, NC </t>
  </si>
  <si>
    <t>https://www.sciencedirect.com/science/article/pii/S0019103596955839   AND   Taki's mail</t>
  </si>
  <si>
    <t>PO-JFM-084-E</t>
  </si>
  <si>
    <t>Olivine 45-75 um</t>
  </si>
  <si>
    <t>PO-JFM-084-N</t>
  </si>
  <si>
    <t>Olivine 5-10 um</t>
  </si>
  <si>
    <t>PO-JFM-084-O</t>
  </si>
  <si>
    <t>Olivine &lt;5 um</t>
  </si>
  <si>
    <t>PO-RGB-040</t>
  </si>
  <si>
    <t xml:space="preserve">Peridot (unreacted) </t>
  </si>
  <si>
    <t xml:space="preserve">San Carlos, Arizona </t>
  </si>
  <si>
    <t xml:space="preserve">Unreacted Olv(Fo88)stand (powdered single crystal)  Standard for locating crystal field bands @~ .9,1.05,1.25 </t>
  </si>
  <si>
    <t>PO-RGB-044</t>
  </si>
  <si>
    <t xml:space="preserve">OLIV 4526 </t>
  </si>
  <si>
    <t>Skaergaard Intrusion, East Greenland</t>
  </si>
  <si>
    <t xml:space="preserve">Fa 21%  </t>
  </si>
  <si>
    <t>PO-RGB-045</t>
  </si>
  <si>
    <t xml:space="preserve">Oliv 5111 </t>
  </si>
  <si>
    <t>Skaergaard intrusion, East Greenland</t>
  </si>
  <si>
    <t xml:space="preserve">Fa 40%  </t>
  </si>
  <si>
    <t>PO-RGB-047</t>
  </si>
  <si>
    <t xml:space="preserve">Oliv 5107 </t>
  </si>
  <si>
    <t xml:space="preserve">Skaergaard intrusion, East Greenland </t>
  </si>
  <si>
    <t>PO-RGB-049</t>
  </si>
  <si>
    <t>Oliv 54087</t>
  </si>
  <si>
    <t xml:space="preserve">Olivine Hortonolite </t>
  </si>
  <si>
    <t xml:space="preserve">Fa 49.09%   </t>
  </si>
  <si>
    <t>SC-EAC-002</t>
  </si>
  <si>
    <t>San Carlos, AZ USA</t>
  </si>
  <si>
    <t xml:space="preserve">Vial B6a Sample wet sieved  </t>
  </si>
  <si>
    <t>ZB-CMP-011-A</t>
  </si>
  <si>
    <t>Hawaii olivine</t>
  </si>
  <si>
    <t xml:space="preserve">Hawaii (beach sand) </t>
  </si>
  <si>
    <t>https://academic.oup.com/petrology/article-pdf/52/2/279/16671653/egq080.pdf</t>
  </si>
  <si>
    <t>ZB-CMP-011-B</t>
  </si>
  <si>
    <t>ZB-CMP-011-C</t>
  </si>
  <si>
    <t>High slope</t>
  </si>
  <si>
    <t>ZB-CMP-011-D</t>
  </si>
  <si>
    <t>MIX210</t>
  </si>
  <si>
    <t>PYX032+OLV003 (ol50+opx50)</t>
  </si>
  <si>
    <t>Silicate</t>
  </si>
  <si>
    <t>Olivine-Orthopyroxene mixture</t>
  </si>
  <si>
    <t>C-Tape; wt% -&gt; vol%</t>
  </si>
  <si>
    <t>MIX212</t>
  </si>
  <si>
    <t>PYX032+OLV020 (ol50+opx50)</t>
  </si>
  <si>
    <t>MIX230</t>
  </si>
  <si>
    <t>PYX032+PYX040 (opx75+cpx25)</t>
  </si>
  <si>
    <t>Orthopyroxene-Clinopyroxene mixture</t>
  </si>
  <si>
    <t>MIX231</t>
  </si>
  <si>
    <t>PYX032+PYX040 (opx50+cpx50)</t>
  </si>
  <si>
    <t>MIX232</t>
  </si>
  <si>
    <t>PYX032+PYX040 (opx25+cpx75)</t>
  </si>
  <si>
    <t>OOCMIX01</t>
  </si>
  <si>
    <t>PYX042+OLV003 (ol75+opx25)</t>
  </si>
  <si>
    <t>pmix1102</t>
  </si>
  <si>
    <t>PYX023+PYX005 (opx10+cpx90)</t>
  </si>
  <si>
    <t>pmix1103</t>
  </si>
  <si>
    <t>PYX023+PYX005 (opx20+cpx80)</t>
  </si>
  <si>
    <t>pmix1104</t>
  </si>
  <si>
    <t>PYX023+PYX005 (opx30+cpx70)</t>
  </si>
  <si>
    <t>pmix1105</t>
  </si>
  <si>
    <t>PYX023+PYX005 (opx40+cpx60)</t>
  </si>
  <si>
    <t>pmix1106</t>
  </si>
  <si>
    <t>PYX023+PYX005 (opx50+cpx50)</t>
  </si>
  <si>
    <t>pmix1107</t>
  </si>
  <si>
    <t>PYX023+PYX005 (opx60+cpx40)</t>
  </si>
  <si>
    <t>pmix1108</t>
  </si>
  <si>
    <t>PYX023+PYX005 (opx70+cpx30)</t>
  </si>
  <si>
    <t>pmix1109</t>
  </si>
  <si>
    <t>PYX023+PYX005 (opx80+cpx20)</t>
  </si>
  <si>
    <t>pmix1110</t>
  </si>
  <si>
    <t>PYX023+PYX005 (opx90+cpx10)</t>
  </si>
  <si>
    <t>pmix1111</t>
  </si>
  <si>
    <t>PYX023</t>
  </si>
  <si>
    <t xml:space="preserve">Mirabel Springs, Lake Co., CA </t>
  </si>
  <si>
    <t>FeO: 6.36, MgO: 34.04, CaO: 0.65, MnO: 0.17, NaO2: 0, Fe2O3: 0.83, Al2O3: 0.76</t>
  </si>
  <si>
    <t>pmix2002</t>
  </si>
  <si>
    <t>PYX032+PYX017 (opx20+cpx80)</t>
  </si>
  <si>
    <t>pmix2003</t>
  </si>
  <si>
    <t>PYX032+PYX017 (opx40+cpx60)</t>
  </si>
  <si>
    <t>pmix2004</t>
  </si>
  <si>
    <t>PYX032+PYX017 (opx60+cpx40)</t>
  </si>
  <si>
    <t>pmix2005</t>
  </si>
  <si>
    <t>PYX032+PYX017 (opx80+cpx20)</t>
  </si>
  <si>
    <t>pmix2102</t>
  </si>
  <si>
    <t>pmix2103</t>
  </si>
  <si>
    <t>pmix2104</t>
  </si>
  <si>
    <t>pmix2105</t>
  </si>
  <si>
    <t>pomix1002</t>
  </si>
  <si>
    <t>PYX042+OLV003 (ol90+opx10)</t>
  </si>
  <si>
    <t>pomix1003</t>
  </si>
  <si>
    <t>PYX042+OLV003 (ol80+opx20)</t>
  </si>
  <si>
    <t>pomix1004</t>
  </si>
  <si>
    <t>PYX042+OLV003 (ol70+opx30)</t>
  </si>
  <si>
    <t>pomix1005</t>
  </si>
  <si>
    <t>PYX042+OLV003 (ol60+opx40)</t>
  </si>
  <si>
    <t>pomix1006</t>
  </si>
  <si>
    <t>PYX042+OLV003 (ol50+opx50)</t>
  </si>
  <si>
    <t>pomix1007</t>
  </si>
  <si>
    <t>PYX042+OLV003 (ol40+opx60)</t>
  </si>
  <si>
    <t>pomix1008</t>
  </si>
  <si>
    <t>PYX042+OLV003 (ol30+opx70)</t>
  </si>
  <si>
    <t>pomix1009</t>
  </si>
  <si>
    <t>PYX042+OLV003 (ol20+opx80)</t>
  </si>
  <si>
    <t>pomix1010</t>
  </si>
  <si>
    <t>PYX042+OLV003 (ol10+opx90)</t>
  </si>
  <si>
    <t>pomix2002</t>
  </si>
  <si>
    <t>pomix2003</t>
  </si>
  <si>
    <t>pomix2004</t>
  </si>
  <si>
    <t>pomix2005</t>
  </si>
  <si>
    <t>pomix2006</t>
  </si>
  <si>
    <t>pomix2007</t>
  </si>
  <si>
    <t>pomix2008</t>
  </si>
  <si>
    <t>pomix2009</t>
  </si>
  <si>
    <t>pomix2010</t>
  </si>
  <si>
    <t>pomix3002</t>
  </si>
  <si>
    <t>pomix3003</t>
  </si>
  <si>
    <t>pomix3004</t>
  </si>
  <si>
    <t>pomix3005</t>
  </si>
  <si>
    <t>pomix3006</t>
  </si>
  <si>
    <t>pomix3007</t>
  </si>
  <si>
    <t>pomix3008</t>
  </si>
  <si>
    <t>pomix3009</t>
  </si>
  <si>
    <t>pomix3010</t>
  </si>
  <si>
    <t>pomix4002</t>
  </si>
  <si>
    <t>pomix4003</t>
  </si>
  <si>
    <t>pomix4004</t>
  </si>
  <si>
    <t>pomix4005</t>
  </si>
  <si>
    <t>pomix4006</t>
  </si>
  <si>
    <t>pomix4007</t>
  </si>
  <si>
    <t>pomix4008</t>
  </si>
  <si>
    <t>pomix4009</t>
  </si>
  <si>
    <t>pomix4010</t>
  </si>
  <si>
    <t>pomix4012</t>
  </si>
  <si>
    <t>PYX042+OLV003 (ol5+opx95)</t>
  </si>
  <si>
    <t>pomix4013</t>
  </si>
  <si>
    <t>PYX042+OLV003 (ol15+opx85)</t>
  </si>
  <si>
    <t>pomix5002</t>
  </si>
  <si>
    <t>pomix5006</t>
  </si>
  <si>
    <t>pomix5010</t>
  </si>
  <si>
    <t>pomix5014</t>
  </si>
  <si>
    <t>pomix5015</t>
  </si>
  <si>
    <t>PYX042+OLV003 (ol25+opx75)</t>
  </si>
  <si>
    <t>PYX040</t>
  </si>
  <si>
    <t>NW of Haleakala Obs., Maui, Hawaii</t>
  </si>
  <si>
    <t xml:space="preserve">Univ. of Hawaii collection  </t>
  </si>
  <si>
    <t>FeO: 4.69, MgO: 13.19, CaO: 20.9, MnO: 0.11, NaO2: 0.63, Fe2O3: 2.77, Al2O3: 8.28</t>
  </si>
  <si>
    <t>TK1</t>
  </si>
  <si>
    <t>OL100</t>
  </si>
  <si>
    <t>TK</t>
  </si>
  <si>
    <t>TK2</t>
  </si>
  <si>
    <t>OL90+OPX10</t>
  </si>
  <si>
    <t>TK; wt% -&gt; vol%</t>
  </si>
  <si>
    <t>TK3</t>
  </si>
  <si>
    <t>OL75+OPX25</t>
  </si>
  <si>
    <t>TK4</t>
  </si>
  <si>
    <t>OL50+OPX50</t>
  </si>
  <si>
    <t>TK5</t>
  </si>
  <si>
    <t>OL25+OPX75</t>
  </si>
  <si>
    <t>TK6</t>
  </si>
  <si>
    <t>OL10+OPX90</t>
  </si>
  <si>
    <t>TK7</t>
  </si>
  <si>
    <t>OPX100</t>
  </si>
  <si>
    <t>Rec #</t>
  </si>
  <si>
    <t>Sample ID</t>
  </si>
  <si>
    <t>%SiO2</t>
  </si>
  <si>
    <t>%TiO2</t>
  </si>
  <si>
    <t>%Al2O3</t>
  </si>
  <si>
    <t>%Cr2O3</t>
  </si>
  <si>
    <t>%Fe2O3</t>
  </si>
  <si>
    <t>%FeO</t>
  </si>
  <si>
    <t>%MnO</t>
  </si>
  <si>
    <t>%MgO</t>
  </si>
  <si>
    <t>%CaO</t>
  </si>
  <si>
    <t>%Na2O</t>
  </si>
  <si>
    <t>%K2O</t>
  </si>
  <si>
    <t>%P2O5</t>
  </si>
  <si>
    <t>%LOI</t>
  </si>
  <si>
    <t>Cu(ppm)</t>
  </si>
  <si>
    <t>Ni(ppm)</t>
  </si>
  <si>
    <t>Co(ppm)</t>
  </si>
  <si>
    <t>Zn(ppm)</t>
  </si>
  <si>
    <t>V(ppm)</t>
  </si>
  <si>
    <t>TS-JWS-002</t>
  </si>
  <si>
    <t>BULK</t>
  </si>
  <si>
    <t>JWS Bu-1a</t>
  </si>
  <si>
    <t>TS-JWS-003</t>
  </si>
  <si>
    <t>JWS MM-2</t>
  </si>
  <si>
    <t>TS-JWS-001</t>
  </si>
  <si>
    <t>JWS Br-4</t>
  </si>
  <si>
    <t>OLV</t>
  </si>
  <si>
    <t>Ed Cloutis' OLV003</t>
  </si>
  <si>
    <t>Ed Cloutis' OLV007</t>
  </si>
  <si>
    <t>Ed Cloutis' OLV010</t>
  </si>
  <si>
    <t>Ed Cloutis' OLV011</t>
  </si>
  <si>
    <t>Ed Cloutis' OLV012</t>
  </si>
  <si>
    <t>Ed Cloutis' OLV020</t>
  </si>
  <si>
    <t>Ed Cloutis' OLV021</t>
  </si>
  <si>
    <t>PYX</t>
  </si>
  <si>
    <t>Ed Cloutis' PYX003</t>
  </si>
  <si>
    <t>Ed Cloutis' PYX112</t>
  </si>
  <si>
    <t>PO-EAC-044</t>
  </si>
  <si>
    <t>Ed Cloutis' PYX117</t>
  </si>
  <si>
    <t>Ed Cloutis' PYX015</t>
  </si>
  <si>
    <t>Ed Cloutis' PYX103</t>
  </si>
  <si>
    <t>Ed Cloutis' PYX115</t>
  </si>
  <si>
    <t>SC-EAC-006</t>
  </si>
  <si>
    <t>MET</t>
  </si>
  <si>
    <t>Ed Cloutis' MET101 Odessa</t>
  </si>
  <si>
    <t>Ed Cloutis' PYX107</t>
  </si>
  <si>
    <t>PP-EAC-068</t>
  </si>
  <si>
    <t>Ed Cloutis' PYX009</t>
  </si>
  <si>
    <t>PP-EAC-069</t>
  </si>
  <si>
    <t>Ed Cloutis' PYX018</t>
  </si>
  <si>
    <t>PP-EAC-070</t>
  </si>
  <si>
    <t>Ed Cloutis' PYX020</t>
  </si>
  <si>
    <t>PP-EAC-056</t>
  </si>
  <si>
    <t>Ed Cloutis' PYX104</t>
  </si>
  <si>
    <t>Ed Cloutis' PYX058</t>
  </si>
  <si>
    <t>PP-EAC-060</t>
  </si>
  <si>
    <t>Ed Cloutis' PYX136</t>
  </si>
  <si>
    <t>PP-EAC-062</t>
  </si>
  <si>
    <t>Ed Cloutis' PYX025</t>
  </si>
  <si>
    <t>PP-EAC-064</t>
  </si>
  <si>
    <t>Ed Cloutis' PYX150</t>
  </si>
  <si>
    <t>Ed Cloutis' PYX111</t>
  </si>
  <si>
    <t>PO-EAC-054</t>
  </si>
  <si>
    <t>Ed Cloutis' OLV008</t>
  </si>
  <si>
    <t>SC-EAC-001</t>
  </si>
  <si>
    <t>ENS</t>
  </si>
  <si>
    <t>EJ Olsen,et al, Meteor.1977,12,p109</t>
  </si>
  <si>
    <t>Happy Canyon E7 Enstatite Chondrite En99.2 Fs0.4 Wo0.4</t>
  </si>
  <si>
    <t>Ed Cloutis' PYX032</t>
  </si>
  <si>
    <t>SC-EAC-025</t>
  </si>
  <si>
    <t>MAG</t>
  </si>
  <si>
    <t>Ed Cloutis' MAG101</t>
  </si>
  <si>
    <t>Ed Cloutis' PLG108</t>
  </si>
  <si>
    <t>SC-EAC-034</t>
  </si>
  <si>
    <t>ILM</t>
  </si>
  <si>
    <t>Ed Cloutis' ILM101</t>
  </si>
  <si>
    <t>SC-EAC-035</t>
  </si>
  <si>
    <t>Ed Cloutis' PYX036</t>
  </si>
  <si>
    <t>JMS' Clinopyroxene Diopside Wo 46% En 46% Fs 9%</t>
  </si>
  <si>
    <t>Webster Enstatite Wo 1% En 87% Fs 12%</t>
  </si>
  <si>
    <t>JMS' Olivine Fo 82.4%</t>
  </si>
  <si>
    <t>PE-CMO-011</t>
  </si>
  <si>
    <t>Singer (1981)</t>
  </si>
  <si>
    <t>Bamble, Norway Enstatite</t>
  </si>
  <si>
    <t>PL-CMP-005</t>
  </si>
  <si>
    <t>Nain, Labrador Labradorite</t>
  </si>
  <si>
    <t>PE-CMP-010</t>
  </si>
  <si>
    <t>Bamble, Norway Enstatite - analysis w/Brown U. microprobe</t>
  </si>
  <si>
    <t>PA-CMP-001</t>
  </si>
  <si>
    <t>Split Rock, Minn. Anorthite</t>
  </si>
  <si>
    <t>PO-CMP-010</t>
  </si>
  <si>
    <t>Twin Sisters' Forsterite (samp. contains c.10% pyroxene)</t>
  </si>
  <si>
    <t>LS-JBA-001</t>
  </si>
  <si>
    <t>Lofgren &amp; Lofgren, NASA, 1981</t>
  </si>
  <si>
    <t>Apollo 11 Basalt 10020</t>
  </si>
  <si>
    <t>LS-JBA-003</t>
  </si>
  <si>
    <t>RM Fruland, Regolith Breccia Workbook, NASA 1983</t>
  </si>
  <si>
    <t>Apollo 11 Regolith Breccia NASA #10046</t>
  </si>
  <si>
    <t>LS-JBA-004</t>
  </si>
  <si>
    <t>Fruland, Reg. Breccia Workbook, NASA 1983</t>
  </si>
  <si>
    <t>Apollo 11 Regolith Breccia NASA #10048</t>
  </si>
  <si>
    <t>LS-JBA-005</t>
  </si>
  <si>
    <t>Lofgren &amp; Lofgren, NASA 1981</t>
  </si>
  <si>
    <t>Apollo 11 Intersertal Basalt NASA #10072</t>
  </si>
  <si>
    <t>LS-JBA-006 (THRU -01</t>
  </si>
  <si>
    <t>Morris, et al, Handbook of Lunar Soils, NASA 1983</t>
  </si>
  <si>
    <t>Apollo 11 Soil Breccia NASA #10084</t>
  </si>
  <si>
    <t>LS-JBA-030</t>
  </si>
  <si>
    <t>Apollo 12 Basalt NASA #12009</t>
  </si>
  <si>
    <t>LS-JBA-031</t>
  </si>
  <si>
    <t>Lofgren &amp; Lofgren, Catalog...., NASA 1981</t>
  </si>
  <si>
    <t>Apollo 12 Basalt NASA #12022</t>
  </si>
  <si>
    <t>LS-JBA-035</t>
  </si>
  <si>
    <t>Lofgren &amp; Lofgren, Catalog of...., NASA 1981</t>
  </si>
  <si>
    <t>Apollo 12 Mare Basalt NASA #12038</t>
  </si>
  <si>
    <t>LS-JBA-036 (-043)</t>
  </si>
  <si>
    <t>Morris et al, Handbook of Lunar Soils, NASA 1983</t>
  </si>
  <si>
    <t>Apollo 12 Soil NASA #12042</t>
  </si>
  <si>
    <t>LS-JBA-044 (-050)</t>
  </si>
  <si>
    <t>Lofgren &amp; Lofgren, Catalog of Lunar Mare ..., 1981</t>
  </si>
  <si>
    <t>Apollo 12 Mare Basalt NASA #12053</t>
  </si>
  <si>
    <t>LS-JBA-051 (-058)</t>
  </si>
  <si>
    <t>P McGee et al, Intro Apollo Collec I, NASA 1977</t>
  </si>
  <si>
    <t>Apollo 12 Basalt NASA #12063</t>
  </si>
  <si>
    <t>LS-JBA-059 (-065)</t>
  </si>
  <si>
    <t>RV Morris et al, Handbook of Lunar Soils, 1983</t>
  </si>
  <si>
    <t>Apollo 12 Soil NASA #12070</t>
  </si>
  <si>
    <t>LS-JBA-070</t>
  </si>
  <si>
    <t>Apollo 14 Soil NASA#14003</t>
  </si>
  <si>
    <t>LS-JBA-073</t>
  </si>
  <si>
    <t>McGee et al, Intro Apollo Collec II, 1979</t>
  </si>
  <si>
    <t>Apollo 14 Breccia NASA #14063</t>
  </si>
  <si>
    <t>LS-JBA-074</t>
  </si>
  <si>
    <t>P McGee et al, Intro Apollo Colec II, NASA 1979</t>
  </si>
  <si>
    <t>Apollo 14 Breccia NASA #14082</t>
  </si>
  <si>
    <t>LS-JBA-076</t>
  </si>
  <si>
    <t>Apollo 14 Soil NASA #14141</t>
  </si>
  <si>
    <t>LS-JBA-081</t>
  </si>
  <si>
    <t>Apollo 14 Soil NASA #14148</t>
  </si>
  <si>
    <t>LS-JBA-084</t>
  </si>
  <si>
    <t>Apollo 14 Soil NASA #14149</t>
  </si>
  <si>
    <t>LS-JBA-086</t>
  </si>
  <si>
    <t>Apollo 14 Soil NASA #14156</t>
  </si>
  <si>
    <t>LS-JBA-088</t>
  </si>
  <si>
    <t>Apollo 14 Soil NASA #14163</t>
  </si>
  <si>
    <t>LS-JBA-090</t>
  </si>
  <si>
    <t>Apollo 14 Soil NASA #14240</t>
  </si>
  <si>
    <t>LS-JBA-091</t>
  </si>
  <si>
    <t>RV Morris et al, Handbook fo Lunar Soils, 1983</t>
  </si>
  <si>
    <t>Apollo 14 Soil NASA #14259</t>
  </si>
  <si>
    <t>LS-JBA-092</t>
  </si>
  <si>
    <t>Apollo 14 Soil NASA #14260</t>
  </si>
  <si>
    <t>LS-JBA-093</t>
  </si>
  <si>
    <t>P McGee et al, Intro Apollo Collec II, NASA 1979</t>
  </si>
  <si>
    <t>Apollo 14 Breccia NASA#14301</t>
  </si>
  <si>
    <t>LS-JBA-095</t>
  </si>
  <si>
    <t>Apollo 14 Breccia NASA #14310</t>
  </si>
  <si>
    <t>LS-JBA-096</t>
  </si>
  <si>
    <t>Apollo 14 Breccia NASA#14311</t>
  </si>
  <si>
    <t>LS-JBA-094</t>
  </si>
  <si>
    <t>JW Shervais &amp; LA Taylor, Breccia Guidebook No.5, NASA 1983</t>
  </si>
  <si>
    <t>Apollo 14 Breccia #14305</t>
  </si>
  <si>
    <t>LS-JBA-097</t>
  </si>
  <si>
    <t>P McGee et al, Intro Apollo Collec, NASA 1979</t>
  </si>
  <si>
    <t>Apollo 14 Breccia NASA#14321 (Matrix only)</t>
  </si>
  <si>
    <t>LS-JBA-104</t>
  </si>
  <si>
    <t>Apollo 15 Basalt NASA#15016</t>
  </si>
  <si>
    <t>LS-JBA-105</t>
  </si>
  <si>
    <t>RV Morris, et al, Handbook of Lunar Soils, 1983</t>
  </si>
  <si>
    <t>Apollo 15 Soil NASA#15021</t>
  </si>
  <si>
    <t>LS-JBA-106</t>
  </si>
  <si>
    <t>Apollo 15 Mare Basalt NASA#15058</t>
  </si>
  <si>
    <t>LS-JBA-107</t>
  </si>
  <si>
    <t>Apollo 15 Mare Basalt NASA#15065</t>
  </si>
  <si>
    <t>LS-JBA-108</t>
  </si>
  <si>
    <t>Apollo 15 Soil NASA#15081</t>
  </si>
  <si>
    <t>LS-JBA-109</t>
  </si>
  <si>
    <t>Apollo 15 Regolith Breccia NASA#15086</t>
  </si>
  <si>
    <t>LS-JBA-110</t>
  </si>
  <si>
    <t>Apollo 15 Soil NASA#15091</t>
  </si>
  <si>
    <t>LS-JBA-111</t>
  </si>
  <si>
    <t>Apollo 15 Soil NASA#15101</t>
  </si>
  <si>
    <t>LS-JBA-112</t>
  </si>
  <si>
    <t>Apollo 15 Regolith Breccia NASA#15205</t>
  </si>
  <si>
    <t>LS-JBA-113</t>
  </si>
  <si>
    <t>RV Morris, Handbook of Lunar Soils, 1983</t>
  </si>
  <si>
    <t>Apollo 15 Soil NASA#15211</t>
  </si>
  <si>
    <t>LS-JBA-114</t>
  </si>
  <si>
    <t>Apollo 15 Soil NASA#15221</t>
  </si>
  <si>
    <t>LS-JBA-116</t>
  </si>
  <si>
    <t>Apollo 15 Soil NASA#15231</t>
  </si>
  <si>
    <t>LS-JBA-117</t>
  </si>
  <si>
    <t>Apollo 15 Soil NASA#15251</t>
  </si>
  <si>
    <t>LS-JBA-118</t>
  </si>
  <si>
    <t>G Ryder, Catalog of Apollo 15 Rocks, NASA 1985</t>
  </si>
  <si>
    <t>Rind Glass on Apollo 15 Reg. Breccia 15255,77</t>
  </si>
  <si>
    <t>LS-JBA-119</t>
  </si>
  <si>
    <t>Apollo 15 Soil</t>
  </si>
  <si>
    <t>LS-JBA-120</t>
  </si>
  <si>
    <t>Apollo 15 Soil NASA#15301</t>
  </si>
  <si>
    <t>LS-JBA-121</t>
  </si>
  <si>
    <t>Apollo 15 Soil NASA#15401</t>
  </si>
  <si>
    <t>LS-JBA-125</t>
  </si>
  <si>
    <t>Apollo 15 Soil NASA 15471</t>
  </si>
  <si>
    <t>LS-JBA-126</t>
  </si>
  <si>
    <t>Lofgren &amp; Lofgren, Catalog of Lunar Mare..., 1981</t>
  </si>
  <si>
    <t>Apollo 15 Mare Basalt NASA 15499</t>
  </si>
  <si>
    <t>LS-JBA-127</t>
  </si>
  <si>
    <t>Apollo 15 Mare Soil NASA 15501</t>
  </si>
  <si>
    <t>LS-JBA-128</t>
  </si>
  <si>
    <t>Apollo 15 Mare Soil NASA 15531</t>
  </si>
  <si>
    <t>LS-JBA-129</t>
  </si>
  <si>
    <t>Apollo 15 Mare Basalt NASA 15555</t>
  </si>
  <si>
    <t>LS-JBA-130</t>
  </si>
  <si>
    <t>Apollo 15 Mare Soil NASA 15601</t>
  </si>
  <si>
    <t>LS-JBA-141 (-145)</t>
  </si>
  <si>
    <t>Luna 24 Soils average composition</t>
  </si>
  <si>
    <t>LS-JBA-150</t>
  </si>
  <si>
    <t>Apollo 16 Regolith Breccia 60016</t>
  </si>
  <si>
    <t>LS-JBA-161</t>
  </si>
  <si>
    <t>Apollo 16 Soil 60601</t>
  </si>
  <si>
    <t>LS-JBA-152</t>
  </si>
  <si>
    <t>Apollo 16 Soil 61141</t>
  </si>
  <si>
    <t>LS-JBA-153</t>
  </si>
  <si>
    <t>Apollo 16 Soil 61161</t>
  </si>
  <si>
    <t>LS-JBA-154</t>
  </si>
  <si>
    <t>Apollo 16 Soil 61221</t>
  </si>
  <si>
    <t>LS-JBA-155</t>
  </si>
  <si>
    <t>Apollo 16 Soil 61241</t>
  </si>
  <si>
    <t>LS-JBA-156</t>
  </si>
  <si>
    <t>Apollo 16 Soil 61281</t>
  </si>
  <si>
    <t>LS-JBA-157</t>
  </si>
  <si>
    <t>Apollo 16 Soil 61501</t>
  </si>
  <si>
    <t>LS-JBA-158</t>
  </si>
  <si>
    <t>Apollo 16 Soil 62231</t>
  </si>
  <si>
    <t>LS-JBA-159</t>
  </si>
  <si>
    <t>Apollo 16 Soil 63321</t>
  </si>
  <si>
    <t>LS-JBA-160</t>
  </si>
  <si>
    <t>Apollo 16 Soil 63341</t>
  </si>
  <si>
    <t>Apollo 16 Soil 63501</t>
  </si>
  <si>
    <t>LS-JBA-162</t>
  </si>
  <si>
    <t>Apollo 16 Soil 64421</t>
  </si>
  <si>
    <t>LS-JBA-163</t>
  </si>
  <si>
    <t>Apollo 16 Soil 64501</t>
  </si>
  <si>
    <t>LS-JBA-164</t>
  </si>
  <si>
    <t>Apollo 16 Soil 64801</t>
  </si>
  <si>
    <t>LS-JBA-166</t>
  </si>
  <si>
    <t>Apollo 16 Soil #65501</t>
  </si>
  <si>
    <t>LS-JBA-167</t>
  </si>
  <si>
    <t>Apollo 16 Soil #65701</t>
  </si>
  <si>
    <t>LS-JBA-168</t>
  </si>
  <si>
    <t>Apollo 16 Soil #66041</t>
  </si>
  <si>
    <t>LS-JBA-169</t>
  </si>
  <si>
    <t>Apollo 16 Soil #66081</t>
  </si>
  <si>
    <t>LS-JBA-170</t>
  </si>
  <si>
    <t>G Ryder &amp; MD Norman, Catalog of Apollo 16 Rocks, 1980</t>
  </si>
  <si>
    <t>Apollo 16 Breccia #67016</t>
  </si>
  <si>
    <t>LS-JBA-171</t>
  </si>
  <si>
    <t>G Ryder &amp; MD Norman, Cataolog of Apollo 16 Rocks, 1980</t>
  </si>
  <si>
    <t>Apollo 16 Breccia #67455</t>
  </si>
  <si>
    <t>LS-JBA-172</t>
  </si>
  <si>
    <t>Apollo 16 Soil #67461</t>
  </si>
  <si>
    <t>LS-JBA-173</t>
  </si>
  <si>
    <t>Apollo 16 Soil #67481</t>
  </si>
  <si>
    <t>LS-JBA-174</t>
  </si>
  <si>
    <t>Apollo 16 Soil #67601</t>
  </si>
  <si>
    <t>LS-JBA-175</t>
  </si>
  <si>
    <t>Apollo 16 Soil #67701</t>
  </si>
  <si>
    <t>LS-JBA-176</t>
  </si>
  <si>
    <t>Apollo 16 Soil #67711</t>
  </si>
  <si>
    <t>LS-JBA-177</t>
  </si>
  <si>
    <t>Apollo 16 Soil #67941</t>
  </si>
  <si>
    <t>LS-JBA-122</t>
  </si>
  <si>
    <t>Apollo 16 Soil #68501</t>
  </si>
  <si>
    <t>LS-JBA-179</t>
  </si>
  <si>
    <t>G Ryder &amp; MD Norman, Catalog of Apollo 16 Rocks, NASA 1980</t>
  </si>
  <si>
    <t>Apollo 16 Breccia #68815</t>
  </si>
  <si>
    <t>LS-JBA-180</t>
  </si>
  <si>
    <t>RV Morris et al, Hnadbook of Lunar Soils, 1983</t>
  </si>
  <si>
    <t>Apollo 16 Soil #68841</t>
  </si>
  <si>
    <t>LS-JBA-181</t>
  </si>
  <si>
    <t>Apollo 16 Soil #69921</t>
  </si>
  <si>
    <t>LS-JBA-182</t>
  </si>
  <si>
    <t>Apollo 16 Soil #69941</t>
  </si>
  <si>
    <t>LS-JBA-183</t>
  </si>
  <si>
    <t>Apollo 16 Soil #69961</t>
  </si>
  <si>
    <t>LS-JBA-200</t>
  </si>
  <si>
    <t>EW Wolfe, et al, Geol Invest T-L Valley, USGS 1981</t>
  </si>
  <si>
    <t>Apollo 17 Basalt #70017</t>
  </si>
  <si>
    <t>LS-JBA-202</t>
  </si>
  <si>
    <t>Apollo 17 Soil #70181</t>
  </si>
  <si>
    <t>LS-JBA-203</t>
  </si>
  <si>
    <t>Apollo 17 Soil #71041</t>
  </si>
  <si>
    <t>LS-JBA-204</t>
  </si>
  <si>
    <t>Lofgren &amp; Lofgren, Catalog of Lunar Mare..., NASA 1981</t>
  </si>
  <si>
    <t>Apollo 17 Mare Basalt #71055</t>
  </si>
  <si>
    <t>LS-JBA-205</t>
  </si>
  <si>
    <t>Apollo 17 Soil #71061</t>
  </si>
  <si>
    <t>LS-JBA-213</t>
  </si>
  <si>
    <t>RV Morris,et al, Handbook of Lunar Soils</t>
  </si>
  <si>
    <t>Apollo 17 Soil #72321</t>
  </si>
  <si>
    <t>LS-JBA-241</t>
  </si>
  <si>
    <t>Apollo 17 Soil #79221</t>
  </si>
  <si>
    <t>LS-JBA-208</t>
  </si>
  <si>
    <t>Apollo 17 Soil #71501</t>
  </si>
  <si>
    <t>LS-JBA-242</t>
  </si>
  <si>
    <t>Apollo 17 Soil #79511</t>
  </si>
  <si>
    <t>LS-JBA-210</t>
  </si>
  <si>
    <t>Apollo 17 Soil #72141</t>
  </si>
  <si>
    <t>LS-JBA-211</t>
  </si>
  <si>
    <t>Apollo 17 Soil #72161</t>
  </si>
  <si>
    <t>LS-JBA-214</t>
  </si>
  <si>
    <t>Apollo 17 Soil #72441</t>
  </si>
  <si>
    <t>LS-JBA-215</t>
  </si>
  <si>
    <t>Apollo 17 Soil #72461</t>
  </si>
  <si>
    <t>LS-JBA-216</t>
  </si>
  <si>
    <t>Apollo 17 Soil #72500</t>
  </si>
  <si>
    <t>LS-JBA-217</t>
  </si>
  <si>
    <t>Apollo 17 Soil #72701</t>
  </si>
  <si>
    <t>LS-JBA-218</t>
  </si>
  <si>
    <t>Apollo 17 Soil #73121</t>
  </si>
  <si>
    <t>LS-JBA-219</t>
  </si>
  <si>
    <t>Apollo 17 Soil #73141</t>
  </si>
  <si>
    <t>LS-JBA-220</t>
  </si>
  <si>
    <t>RV Morris et al, Handbook of Lunar Soils,1983</t>
  </si>
  <si>
    <t>Apollo 17 Soil #73221</t>
  </si>
  <si>
    <t>LS-JBA-221</t>
  </si>
  <si>
    <t>Apollo 17 Soil #73241</t>
  </si>
  <si>
    <t>LS-JBA-222</t>
  </si>
  <si>
    <t>Apollo 17 Soil #73281</t>
  </si>
  <si>
    <t>LS-JBA-224</t>
  </si>
  <si>
    <t>Apollo 17 Soil #74220</t>
  </si>
  <si>
    <t>LS-JBA-225</t>
  </si>
  <si>
    <t>Apollo 17 Soil #74241</t>
  </si>
  <si>
    <t>LS-JBA-226</t>
  </si>
  <si>
    <t>Apollo 17 Mare Basalt #74275</t>
  </si>
  <si>
    <t>LS-JBA-227</t>
  </si>
  <si>
    <t>Lofgren &amp; Lofgren, Catalog of Lunar Mare Basalts &gt;40g, NASA 1981</t>
  </si>
  <si>
    <t>Apollo 17 Mare Basalt #75035</t>
  </si>
  <si>
    <t>LS-JBA-228</t>
  </si>
  <si>
    <t>Morris et al, Handbook of Lunar Soils, 1983.</t>
  </si>
  <si>
    <t>Apollo 17 Soil #75061</t>
  </si>
  <si>
    <t>LS-JBA-229,230</t>
  </si>
  <si>
    <t>Morris et al, Handbook of Lunar Soils, 1983</t>
  </si>
  <si>
    <t>Apollo 17 Soil #75080,75081</t>
  </si>
  <si>
    <t>LS-JBA-239</t>
  </si>
  <si>
    <t>Morris, et al, Handbook of Lunar Soils, 1983</t>
  </si>
  <si>
    <t>Apollo 17 #78481 (%represents pure element, not oxide;O=41.9%)</t>
  </si>
  <si>
    <t>LS-JBA-240</t>
  </si>
  <si>
    <t>Apollo 17 Soil #78501</t>
  </si>
  <si>
    <t>LS-JBA-233</t>
  </si>
  <si>
    <t>Apollo 17 Soil #76240</t>
  </si>
  <si>
    <t>LS-JBA-234</t>
  </si>
  <si>
    <t>Apollo 17 Soil #76261</t>
  </si>
  <si>
    <t>LS-JBA-235</t>
  </si>
  <si>
    <t>McGee, et al, Intro Apollo Collec II, 1979</t>
  </si>
  <si>
    <t>Apollo 17 Breccia #77017</t>
  </si>
  <si>
    <t>LS-JBA-238</t>
  </si>
  <si>
    <t>EW Wolfe, et al, Geol Invest T-L Valley, USGS, 1981</t>
  </si>
  <si>
    <t>Apollo 17 Metagabbro Cataclastite #78155</t>
  </si>
  <si>
    <t>LM-LAM-007-PA</t>
  </si>
  <si>
    <t>Elephant Moraine meteorite (EETA79001), lith. A</t>
  </si>
  <si>
    <t>LM-LAM-007-PB</t>
  </si>
  <si>
    <t>Elephant Morain Achondrite (EETA79001), lith. B</t>
  </si>
  <si>
    <t>JMS' Hortonolite from RGB</t>
  </si>
  <si>
    <t>Roger Burns' Oliv 4526</t>
  </si>
  <si>
    <t>Roger Burns' Oliv 5111</t>
  </si>
  <si>
    <t>PO-RGB-046</t>
  </si>
  <si>
    <t>Roger Burns' Oliv 4167</t>
  </si>
  <si>
    <t>Roger Burns' Oliv 5107</t>
  </si>
  <si>
    <t>PO-RGB-048</t>
  </si>
  <si>
    <t>Roger Burns' Oliv 5181</t>
  </si>
  <si>
    <t>MR-MJG-021</t>
  </si>
  <si>
    <t>Indarch Meteorite (E4) (Pure elem's, not oxides; Ni&amp;Co=wt%)</t>
  </si>
  <si>
    <t>MR-MJG-038</t>
  </si>
  <si>
    <t>Pillistfer Meteorite(E6) (Pure elem's, not oxides; Ni=%, not ppm)</t>
  </si>
  <si>
    <t>MR-MJG-060</t>
  </si>
  <si>
    <t>Geochimica et Cosmochimica Acta, 1967,31,p1103</t>
  </si>
  <si>
    <t>Leedey Meteorite (L6) (Total Fe=22.11; Ni=wt%, not ppm)</t>
  </si>
  <si>
    <t>MR-MJG-098</t>
  </si>
  <si>
    <t>Johnstown Meteorite (Pure elements, not oxides)</t>
  </si>
  <si>
    <t>MR-MJG-100</t>
  </si>
  <si>
    <t>Tatahouine Meteorite (Pure elements, not oxides)</t>
  </si>
  <si>
    <t>MR-MJG-101</t>
  </si>
  <si>
    <t>Shalka Meteorite (Pure elements, not oxides)</t>
  </si>
  <si>
    <t>MR-MJG-102</t>
  </si>
  <si>
    <t>Nakhla Meteorite</t>
  </si>
  <si>
    <t>MR-MJG-103</t>
  </si>
  <si>
    <t>Angra dos Reis Meteorite (SiO2=estimate)</t>
  </si>
  <si>
    <t>MR-MJG-104</t>
  </si>
  <si>
    <t>Chassigny Meteorite</t>
  </si>
  <si>
    <t>MR-MJG-105</t>
  </si>
  <si>
    <t>Orgueil Meteorite (C1) (Pure elments, not oxides)</t>
  </si>
  <si>
    <t>MR-MJG-108</t>
  </si>
  <si>
    <t>Mighei Meteorite (C2M) (Pure elements, not oxides)</t>
  </si>
  <si>
    <t>MR-MJG-115</t>
  </si>
  <si>
    <t>Ornans Meteorite (Pure elem's, not oxides; Ni=%, not ppm)</t>
  </si>
  <si>
    <t>MR-MJG-121</t>
  </si>
  <si>
    <t>Mokoia Meteorite (C3V) (Pure elements, not oxides)</t>
  </si>
  <si>
    <t>MR-MJG-028</t>
  </si>
  <si>
    <t>Allegan Meteorite (H5) (See also analysis #182)</t>
  </si>
  <si>
    <t>Allegan Meteorite (H5) (analysis of non-mag separate; see #181)</t>
  </si>
  <si>
    <t>MR-MJG-026</t>
  </si>
  <si>
    <t>Daniel's Kuil Meteorite (E6) (analysis of non-mag unattacked)</t>
  </si>
  <si>
    <t>MR-MJG-027</t>
  </si>
  <si>
    <t>Ochansk Meteorite (H4) (Analysis of non-mag, unattacked separate)</t>
  </si>
  <si>
    <t>MR-MJG-070</t>
  </si>
  <si>
    <t>B Mason &amp; HB Wiik, Geochim.Cosmochim.Acta,1964,28,533</t>
  </si>
  <si>
    <t>Soko-Banja Meteorite (LL4) (Ni &amp; Co = wt%, no ppm)</t>
  </si>
  <si>
    <t>MR-MJG-063</t>
  </si>
  <si>
    <t>Tourinnes-la-Grosse Meteorite (L6) (Ni=%, not ppm)</t>
  </si>
  <si>
    <t>MR-MJG-106</t>
  </si>
  <si>
    <t>DM Shaw &amp; RS Harmon, Meteor. 1975,10,p253 (factor analysis)</t>
  </si>
  <si>
    <t>Alais Meteorite (C1) (pure elem's, not oxides)</t>
  </si>
  <si>
    <t>MR-MJG-110</t>
  </si>
  <si>
    <t>DM Shaw &amp; RS Harmon, Meteor. 1975,10,p253</t>
  </si>
  <si>
    <t>Murray Meteorite (C2) (Pure elements, not oxides)</t>
  </si>
  <si>
    <t>MR-MJG-112</t>
  </si>
  <si>
    <t>Felix Meteorite (C3O) (Pure elements, not oxides)</t>
  </si>
  <si>
    <t>MR-MJG-119</t>
  </si>
  <si>
    <t>Grosnaja Meteorite (C3V) (Pure elements, not oxides)</t>
  </si>
  <si>
    <t>MR-MJG-114</t>
  </si>
  <si>
    <t>Geochimica et Cosmochimica Acta, 1956, p279</t>
  </si>
  <si>
    <t>Lance Meteorite (C3O) (Ni = %, not ppm)</t>
  </si>
  <si>
    <t>MR-MJG-122</t>
  </si>
  <si>
    <t>Vigarano Meteorite (C3V) (Pure elements, not oxides)</t>
  </si>
  <si>
    <t>MR-MJG-116</t>
  </si>
  <si>
    <t>Warrenton Meteorite (C3O) (Ni = % not ppm)</t>
  </si>
  <si>
    <t>MR-MJG-117</t>
  </si>
  <si>
    <t>Smith. Contrib. Earth Sci., 1970 (5)</t>
  </si>
  <si>
    <t>Allende Meteorite (C3V) (Total Fe=23.85%; Ni=wt%, not ppm)</t>
  </si>
  <si>
    <t>MR-MJG-067</t>
  </si>
  <si>
    <t>RT Dodd, et al, Geochim. Cosmochim. Acta, 1967,31,p921</t>
  </si>
  <si>
    <t>Chainpur Meteorite (LL3) (Total Fe=19.78; Ni&amp;Co=wt%, not ppm)</t>
  </si>
  <si>
    <t>MR-MJG-068</t>
  </si>
  <si>
    <t>RT Dodd,et al, Geochim.Cosmochim.Acta,1967,31,p921</t>
  </si>
  <si>
    <t>Parnallee Meteorite (LL3) (Ni &amp; Co = wt%, not oxides)</t>
  </si>
  <si>
    <t>MR-MJG-032</t>
  </si>
  <si>
    <t>Pantar Meteorite (H5) (Pure elem's, not oxides)</t>
  </si>
  <si>
    <t>MR-MJG-020</t>
  </si>
  <si>
    <t>Abee Meteorite (E4) (Pure elements, not oxides)</t>
  </si>
  <si>
    <t>MR-MJG-023</t>
  </si>
  <si>
    <t>H Von Michaelis et al, Earth Planet.Sci.Lett.,1969,5,p387</t>
  </si>
  <si>
    <t>Atalnta Meteorite(E6) (Pure elem's, not oxides)</t>
  </si>
  <si>
    <t>MR-MJG-024</t>
  </si>
  <si>
    <t>Hvittis Meteorite (E6) (Ni = % not ppm)</t>
  </si>
  <si>
    <t>MR-MJG-025</t>
  </si>
  <si>
    <t>Khairpur Meteorite(E6) (Factor analysis; pure elem's, not oxides)</t>
  </si>
  <si>
    <t>MR-MJG-090</t>
  </si>
  <si>
    <t>MB Duke &amp; LT Silver, Geochim.Cosmochim.Acta,1967,31,1637</t>
  </si>
  <si>
    <t>Pasamonte Meteorite (AEUC)</t>
  </si>
  <si>
    <t>MR-MJG-203</t>
  </si>
  <si>
    <t>MB Duke &amp; LT Silver, Geochim.Cosmochim.Acta,1967,31,p1637</t>
  </si>
  <si>
    <t>Sioux County Meteorite (AEUC)</t>
  </si>
  <si>
    <t>MR-MJG-092</t>
  </si>
  <si>
    <t>Stannern Meteorite (AEUC)</t>
  </si>
  <si>
    <t>MR-MJG-095</t>
  </si>
  <si>
    <t>B Mason,et al, Smith.Contrib.Earth Sci.,1979 (22)</t>
  </si>
  <si>
    <t>Frankfort Meteorite (AHOW)</t>
  </si>
  <si>
    <t>MR-MJG-053</t>
  </si>
  <si>
    <t>RT Dodd &amp; E Jarosewich, Meteor.1981,16,p93</t>
  </si>
  <si>
    <t>Aumale Meteorite (L6) (Ni=wt%, not ppm)</t>
  </si>
  <si>
    <t>MR-MJG-125</t>
  </si>
  <si>
    <t>Vouille Meteorite (L6) (Ni=wt%, not ppm)</t>
  </si>
  <si>
    <t>MR-MJG-043</t>
  </si>
  <si>
    <t>Geochim.Cosmochim.Acta,1967,31,p1103</t>
  </si>
  <si>
    <t>Mezo-Madaras Meteorite (L3) (Total Fe=21.60; Ni=wt%, not ppm)</t>
  </si>
  <si>
    <t>MR-MJG-091</t>
  </si>
  <si>
    <t>MB Duke &amp; LT Silver,Geochim.Cosmochim.Acta,1967,31,p1637</t>
  </si>
  <si>
    <t>Juvinas Meteorite (AEUC)</t>
  </si>
  <si>
    <t>MR-MJG-118</t>
  </si>
  <si>
    <t>E Jarosewich, Geochim.Cosmochim.Acta,1966,30,p1261</t>
  </si>
  <si>
    <t>Coolidge Meteorite (C4) (Total Fe=23.68%; Ni=wt%, not ppm)</t>
  </si>
  <si>
    <t>MR-MJG-094</t>
  </si>
  <si>
    <t>Pavlovka Meteorite (AHOW)</t>
  </si>
  <si>
    <t>MR-MJG-096</t>
  </si>
  <si>
    <t>B Mason,et al, Smith.Contrib.Earth Sci.,1979(22)</t>
  </si>
  <si>
    <t>Le Teilleul Meteorite (AHOW)</t>
  </si>
  <si>
    <t>MR-MJG-097</t>
  </si>
  <si>
    <t>Petersburg Meteorite (AHOW)</t>
  </si>
  <si>
    <t>MR-MJG-013</t>
  </si>
  <si>
    <t>Kapoeta Meteorite (AHOW)</t>
  </si>
  <si>
    <t>MR-MJG-015</t>
  </si>
  <si>
    <t>Shergotty Meteorite (AEUC)</t>
  </si>
  <si>
    <t>MR-MJG-093</t>
  </si>
  <si>
    <t>Nobleborough Meteorite (AEUC)</t>
  </si>
  <si>
    <t>MR-MJG-088</t>
  </si>
  <si>
    <t>Jonzac Meteorite (AEUC)</t>
  </si>
  <si>
    <t>MR-MJG-089</t>
  </si>
  <si>
    <t>Haraiya Meteorite (AEUC)</t>
  </si>
  <si>
    <t>MR-MJG-085</t>
  </si>
  <si>
    <t>Bereba Meteorite (AEUC)</t>
  </si>
  <si>
    <t>MR-MJG-029</t>
  </si>
  <si>
    <t>Castalia Meteorite (H5) (Total Fe=25.83; Ni &amp; Co=wt%, not ppm)</t>
  </si>
  <si>
    <t>MR-MJG-072</t>
  </si>
  <si>
    <t>B Mason &amp; HB Wiik, Geochim.Cosmochim.Acta,1964,28,p533</t>
  </si>
  <si>
    <t>Jelica Meteorite (LL6) (Ni=wt%, not ppm)</t>
  </si>
  <si>
    <t>MR-MJG-071</t>
  </si>
  <si>
    <t>Olivenza Meteorite (LL5) (Ni &amp; Co = wt%, not ppm)</t>
  </si>
  <si>
    <t>MR-MJG-073</t>
  </si>
  <si>
    <t>Manbhoom Meteorite (LL6) (Ni &amp; Co = wt%, not ppm)</t>
  </si>
  <si>
    <t>MR-MJG-074</t>
  </si>
  <si>
    <t>Vavilovka Meteorite (LL6) (Ni=wt%, not ppm)</t>
  </si>
  <si>
    <t>MR-MJG-109</t>
  </si>
  <si>
    <t>LH Fuchs,et al, Smith.Contrib.Earth Sci.,1973 (10)</t>
  </si>
  <si>
    <t>Murchison Meteorite (C2M) (Matrix; NiO = 1.5%; Ni = 0.08%)</t>
  </si>
  <si>
    <t>MR-MJG-022</t>
  </si>
  <si>
    <t>H Von Michaelis,et al,Earth Planet.Sci.Lett.,1969,5,p387</t>
  </si>
  <si>
    <t>St. Mark's Meteorite (E5) (Pure elements, not oxides)</t>
  </si>
  <si>
    <t>MR-MJG-107</t>
  </si>
  <si>
    <t>H Von Michaelis,et al, Earth Planet.Sci.Lett.,1969,5,p387</t>
  </si>
  <si>
    <t>Cold Bokkeveld Meteorite (C2M) (Pure elements, not oxides)</t>
  </si>
  <si>
    <t>MR-MJG-057</t>
  </si>
  <si>
    <t>Colby (Wisconsin) Meteorite (L6) (Pure elem's, not oxides)</t>
  </si>
  <si>
    <t>MR-MJG-051</t>
  </si>
  <si>
    <t>Alfianello Meteorite (L6) (Pure elements, not oxides)</t>
  </si>
  <si>
    <t>MR-MJG-058</t>
  </si>
  <si>
    <t>Drake Creek Meteorite (L6) (Pure elements, not oxides)</t>
  </si>
  <si>
    <t>MR-MJG-062</t>
  </si>
  <si>
    <t>St. Michel Meteorite (L6) (Pure elements, not oxides)</t>
  </si>
  <si>
    <t>MR-MJG-077</t>
  </si>
  <si>
    <t>Farmington Meteorite (L5) (Pure elements, not oxides)</t>
  </si>
  <si>
    <t>MR-MJG-031</t>
  </si>
  <si>
    <t>Forest City Meteorite (H5) (Pure elements, not oxides)</t>
  </si>
  <si>
    <t>MR-MJG-045</t>
  </si>
  <si>
    <t>RT Dodd,et al, Geochim.Cosmochim.Acta, 1967,31,p921</t>
  </si>
  <si>
    <t>Cynthiana Meteorite (L4) (Ni &amp; Co = wt%, not ppm)</t>
  </si>
  <si>
    <t>MR-MJG-069</t>
  </si>
  <si>
    <t>Hamlet Meteorite (LL4) (Ni &amp; Co = wt%, not ppm)</t>
  </si>
  <si>
    <t>MR-MJG-039</t>
  </si>
  <si>
    <t>Tieschitz Meteorite (H3) (Ni &amp; Co = wt%, not ppm)</t>
  </si>
  <si>
    <t>MR-MJG-111</t>
  </si>
  <si>
    <t>Nogoya Meteorite (C2M)</t>
  </si>
  <si>
    <t>MR-MJG-030</t>
  </si>
  <si>
    <t>Collescipoli Meteorite (H5) (Ni &amp; Co = wt%, not ppm)</t>
  </si>
  <si>
    <t>MR-MJG-048</t>
  </si>
  <si>
    <t>GT Prior, Min. Mag., 1918,18,p173</t>
  </si>
  <si>
    <t>Homestead Meteorite (L5) (Ni &amp; Co = wt%, not ppm)</t>
  </si>
  <si>
    <t>MR-MJG-035</t>
  </si>
  <si>
    <t>GT Prior, Min. Mag., 1926,21,p190</t>
  </si>
  <si>
    <t>Queen's Mercy Meteorite (H6) (analysis of unsoluble silicate (pyx))</t>
  </si>
  <si>
    <t>MR-MJG-059</t>
  </si>
  <si>
    <t>GR Levi-Donati &amp; E Jarosevich, Meteor. 1972, 7, p109.</t>
  </si>
  <si>
    <t>Girgenti Meteorite (L6) (Ni &amp; Co = wt%, not ppm)</t>
  </si>
  <si>
    <t>MR-MJG-054</t>
  </si>
  <si>
    <t>Journal Geo. Resch., 1961, 66, p3574.</t>
  </si>
  <si>
    <t>Bruderheim Meteorite (L6) (Ni &amp; Co = wt%, not ppm)</t>
  </si>
  <si>
    <t>MR-MJG-042</t>
  </si>
  <si>
    <t>R.Hutchinson et al, Proc.Roy.Soc.London,1981,A374,p159</t>
  </si>
  <si>
    <t>Quenggouk Meteorite (H4) (Ni &amp; Co = %, not ppm)</t>
  </si>
  <si>
    <t>MR-MJG-120</t>
  </si>
  <si>
    <t>TS McCarthy, et al, Earth Planet.Sci.Lett.,1972,14,p97</t>
  </si>
  <si>
    <t>Leoville Meteorite (C3V) (Pure elements, not oxides)</t>
  </si>
  <si>
    <t>MR-MJG-123</t>
  </si>
  <si>
    <t>B Mason &amp; HB Wiik, Am.Mus.Novit., 1962 (2115)</t>
  </si>
  <si>
    <t>Karoonda Meteorite (C3V) (Ni &amp; Co = %, not ppm)</t>
  </si>
  <si>
    <t>MR-MJG-079</t>
  </si>
  <si>
    <t>B Mason &amp; HB Wiik, Am.Mus.Novit., 1966 (2272)</t>
  </si>
  <si>
    <t>Rose City Meteorite (HB) (Ni &amp; Co = %, not ppm)</t>
  </si>
  <si>
    <t>MR-MJG-113</t>
  </si>
  <si>
    <t>LH Ahrens, et al, Meteor. 1973,8,p133</t>
  </si>
  <si>
    <t>Kainsaz Meteorite (C3O) (Ni = %NiO)</t>
  </si>
  <si>
    <t>LS-CMP-007</t>
  </si>
  <si>
    <t>HJ Rose, et al, Proc.Lunar Sci.Conf.6th,1975,p1363</t>
  </si>
  <si>
    <t>Matrix chemistry of Apollo 16 Reg. Breccia #60019</t>
  </si>
  <si>
    <t>Edward W. Wolfe, et al, Geol. Invest. T-L Valley, USGS 1981.</t>
  </si>
  <si>
    <t>Apollo 17 Metatroctolite #76535</t>
  </si>
  <si>
    <t>LS-CMP-005</t>
  </si>
  <si>
    <t>Edward W. Wolfe et al, Geol. Invest. T-L Valley, USGS, 1981</t>
  </si>
  <si>
    <t>Apollo 17 Metadunite Cataclastite #72415</t>
  </si>
  <si>
    <t>LS-CMP-012</t>
  </si>
  <si>
    <t>Wolfe, Edward W., et al, 1981.</t>
  </si>
  <si>
    <t>Pyroxene of Apollo 17 Norite #78235,34</t>
  </si>
  <si>
    <t>LS-CMP-011,-JBA-122</t>
  </si>
  <si>
    <t>ANO</t>
  </si>
  <si>
    <t>Ryder, Graham. Catalog of Apollo 15 Rocks. Houston: NASA, 1985.</t>
  </si>
  <si>
    <t>Pristine Lunar Anorthosite #15415,123</t>
  </si>
  <si>
    <t>LS-JBA-124</t>
  </si>
  <si>
    <t>GLS</t>
  </si>
  <si>
    <t>Green glass from Apollo 15 Breccia #15259</t>
  </si>
  <si>
    <t>LS-JBA-123</t>
  </si>
  <si>
    <t>Bulk separated green glass spherules of Apollo 15 #15426,38</t>
  </si>
  <si>
    <t>LS-JBA-212</t>
  </si>
  <si>
    <t>Wolfe, Edward W. et al, 1981.</t>
  </si>
  <si>
    <t>Apollo 17 Polymict Breccia 72255, avg of 4 matrix analyses</t>
  </si>
  <si>
    <t>LS-CMP-015-R3</t>
  </si>
  <si>
    <t>Pieters &amp; Taylor, Proc.LunarPlanet.Sci.Conf. 19th, pp115-125</t>
  </si>
  <si>
    <t>Clast R3 of Apollo 16 regolith breccia 60019,215</t>
  </si>
  <si>
    <t>LS-CMP-015-R1</t>
  </si>
  <si>
    <t>Pieters &amp; Taylor, Proc.Lunar Planet.Sci.Conf. 19th, pp115-125</t>
  </si>
  <si>
    <t>Spot R1 of Apollo 16 regolith breccia chip 60019,215</t>
  </si>
  <si>
    <t>LS-CMP-015-R2</t>
  </si>
  <si>
    <t>Pieters &amp; Taylor, Proc. Lunar Planet. Sci. Conf. 19th, pp115-125</t>
  </si>
  <si>
    <t>Spot R2 of Apollo 16 regolith breccia chip 60019,215</t>
  </si>
  <si>
    <t>LS-CMP-015-S3</t>
  </si>
  <si>
    <t>Matrix area S3 of Apollo 16 regolith breccia chip 60019,215</t>
  </si>
  <si>
    <t>RS-CMP-046</t>
  </si>
  <si>
    <t>Geochimica et Cosmochimica Acta 1956, p279</t>
  </si>
  <si>
    <t>Boriskino Meteorite</t>
  </si>
  <si>
    <t>MH-CMP-001</t>
  </si>
  <si>
    <t>McKinney Meteorite</t>
  </si>
  <si>
    <t>MR-MJG-014</t>
  </si>
  <si>
    <t>Smithsonian Contributions to Earth Sciences, 1979,22,p30</t>
  </si>
  <si>
    <t>Moore County Meteorite</t>
  </si>
  <si>
    <t>MH-CMP-002</t>
  </si>
  <si>
    <t>Dodd, et al, Geochimica et Cosmochimica Acta, 1967,31,p921</t>
  </si>
  <si>
    <t>Barratta Meteorite</t>
  </si>
  <si>
    <t>MH-CMP-015</t>
  </si>
  <si>
    <t>Goodland Meteorite</t>
  </si>
  <si>
    <t>RS-CMP-063</t>
  </si>
  <si>
    <t>Dodd, et. al., Geochimica et Cosmochimica Acta, 1967,31,p921</t>
  </si>
  <si>
    <t>Krymka Meteorite</t>
  </si>
  <si>
    <t>OLSEN, et al, Meteor.1977,12,p109 (Ni = % not ppm)</t>
  </si>
  <si>
    <t>Happy Canyon E7 Enstatite Chondrite Bulk Analysis</t>
  </si>
  <si>
    <t>MH-JFB-021</t>
  </si>
  <si>
    <t>Pop. Astron., 1948, 56, p385</t>
  </si>
  <si>
    <t>Cavour Meteorite (soluble silicates)</t>
  </si>
  <si>
    <t>LS-CMP-022</t>
  </si>
  <si>
    <t>R. Warner et al, 1980</t>
  </si>
  <si>
    <t>DBA analysis of glass coat on Apollo 16 60035</t>
  </si>
  <si>
    <t>LS-CMP-023</t>
  </si>
  <si>
    <t>Blanchard (1973 unpublished);INAA</t>
  </si>
  <si>
    <t>Bulk analysis of Apollo 15 Breccia 15565,3</t>
  </si>
  <si>
    <t>MI-CMP-009</t>
  </si>
  <si>
    <t>B Mason &amp; HB Wiik, Geochim Cosmochim Acta, 1969, 21, p276</t>
  </si>
  <si>
    <t>Holbrook Meteorite Fo74 En76 An15</t>
  </si>
  <si>
    <t>MR-MJG-011</t>
  </si>
  <si>
    <t>Min. Mag., 1977, 41, p201</t>
  </si>
  <si>
    <t>Kakangari Meteorite</t>
  </si>
  <si>
    <t>MR-MJG-012</t>
  </si>
  <si>
    <t>Min. Mag. 1977, 41, p201</t>
  </si>
  <si>
    <t>Pontylfni Meteorite</t>
  </si>
  <si>
    <t>MH-JFB-025</t>
  </si>
  <si>
    <t>Meteoritika 1969, 29, p91</t>
  </si>
  <si>
    <t>Dimmit Meteorite</t>
  </si>
  <si>
    <t>RS-CMP-048</t>
  </si>
  <si>
    <t>Meteoritika 1977, 36, p46</t>
  </si>
  <si>
    <t>Gorlovka meteorite</t>
  </si>
  <si>
    <t>MH-CMP-011</t>
  </si>
  <si>
    <t>Am. Mus. Novit. 1966 (2273)</t>
  </si>
  <si>
    <t>Tadjera meteorite</t>
  </si>
  <si>
    <t>PA-CMP-051</t>
  </si>
  <si>
    <t>ACT</t>
  </si>
  <si>
    <t>R Burns &amp; C Greaves, Am Min 1971, 56, p2010</t>
  </si>
  <si>
    <t>Actinolite, glaucophane schist, Berkeley, CA</t>
  </si>
  <si>
    <t>PA-CMP-052</t>
  </si>
  <si>
    <t>Actinolite, metamorphosed iron fm, Quebec</t>
  </si>
  <si>
    <t>PA-CMP-053</t>
  </si>
  <si>
    <t>R Burns &amp; C Greaves, Am Min, 1971, 56, p2010</t>
  </si>
  <si>
    <t>Actinolite, in qtzite, Cumberland, RI</t>
  </si>
  <si>
    <t>FB-CMP-001</t>
  </si>
  <si>
    <t>P. Pinet &amp; S. Chevrel basalt powder #5</t>
  </si>
  <si>
    <t>FB-CMP-002</t>
  </si>
  <si>
    <t>P. Pinet &amp; S. Chevrel basalt powder #8</t>
  </si>
  <si>
    <t>FB-CMP-003</t>
  </si>
  <si>
    <t>P. Pinet &amp; S. Chevrel basalt powder #13</t>
  </si>
  <si>
    <t>FB-CMP-004</t>
  </si>
  <si>
    <t>P. Pinet &amp; S. Chevrel basalt powder #18</t>
  </si>
  <si>
    <t>FB-CMP-005</t>
  </si>
  <si>
    <t>P. Pinet &amp; S. Chevrel basalt powder #30</t>
  </si>
  <si>
    <t>SB-RGB-050</t>
  </si>
  <si>
    <t>HED</t>
  </si>
  <si>
    <t>Hedenbergite sample # 90326</t>
  </si>
  <si>
    <t>Osborne, et al (1978) Proc. Lunar Planet. Sci. Conf., 9th, p. 2951</t>
  </si>
  <si>
    <t>SB-RGB-021</t>
  </si>
  <si>
    <t>HEDE</t>
  </si>
  <si>
    <t>Microprobe analysis by D. Straub</t>
  </si>
  <si>
    <t>Hedenbergite sample # 119668</t>
  </si>
  <si>
    <t>SB-RGB-015</t>
  </si>
  <si>
    <t>Hedenbergite sample # 126736</t>
  </si>
  <si>
    <t>PIG</t>
  </si>
  <si>
    <t>Osborne et al, 1978. Proc. Lunar Planet. Sci. Conf. 9th, p. 295</t>
  </si>
  <si>
    <t>Wo16 En48 Fs37 from Hakone Volcano, Japan, Gift of H. Kuno</t>
  </si>
  <si>
    <t>SB-RGB-049</t>
  </si>
  <si>
    <t>Analysis provided by J. Besancon</t>
  </si>
  <si>
    <t>Unknown origin, gift of J. Besancon</t>
  </si>
  <si>
    <t>PA-RGB-024</t>
  </si>
  <si>
    <t>AUG</t>
  </si>
  <si>
    <t>Osborne et al, 1978. Proc. Lunar. Planet. Sci. Conf., 9th, p.2950.</t>
  </si>
  <si>
    <t>Wo46 En41 Fs10, Frome, Norway, Provided by R.Huguenin</t>
  </si>
  <si>
    <t>SB-RGB-051</t>
  </si>
  <si>
    <t>R.G. Burns/MIT</t>
  </si>
  <si>
    <t>Site Occup. study, sample TZHP</t>
  </si>
  <si>
    <t>SB-RGB-052</t>
  </si>
  <si>
    <t>R.G. Burns, MIT</t>
  </si>
  <si>
    <t>Site Occup. Study, sample 337</t>
  </si>
  <si>
    <t>SB-RGB-053</t>
  </si>
  <si>
    <t>Site occupancy study, sample 230</t>
  </si>
  <si>
    <t>SB-RGB-055</t>
  </si>
  <si>
    <t>Ferrian Clinopyroxene, Site occupancy study, sample from Hawaii</t>
  </si>
  <si>
    <t>LS-JBA-243</t>
  </si>
  <si>
    <t>BASA</t>
  </si>
  <si>
    <t>Lofgren, G.E. and Lofgren, E.M., 1981; L&amp;P Contrib. 438, pp.304-306</t>
  </si>
  <si>
    <t>Chemistry of Lunar Mare Basalt #71055</t>
  </si>
  <si>
    <t>LS-JBA-244</t>
  </si>
  <si>
    <t>Morris, et al, Handbook of Lunar Soils, 1983, p. 772.</t>
  </si>
  <si>
    <t>Soil Chemistry of Apollo 17 "light mantle" #73260</t>
  </si>
  <si>
    <t>LS-JBA-245</t>
  </si>
  <si>
    <t>McGee, et al, 1977. Intro to Apollo Collections, Part 1, p. 82.</t>
  </si>
  <si>
    <t>Coarse grained troctolite #76535 from Station 6.</t>
  </si>
  <si>
    <t>LS-JBA-246</t>
  </si>
  <si>
    <t>McGee, et al, 1979. Intro. to Apollo Collec. Part 2 p.188.</t>
  </si>
  <si>
    <t>Granulitic Impactite form Apollo 17, Sample #79215</t>
  </si>
  <si>
    <t>LS-JBA-247</t>
  </si>
  <si>
    <t>Morris, et al, 1983. Handbook of Lunar Soils, Part 2, p.782.</t>
  </si>
  <si>
    <t>Soil #74120 from Apollo 17</t>
  </si>
  <si>
    <t>LS-JBA-248</t>
  </si>
  <si>
    <t>McGee et al, 1977. Intro to Apollo Collec., Part 1, p.82</t>
  </si>
  <si>
    <t>Apollo 17 Orange Glass pyroclastic sample #74220</t>
  </si>
  <si>
    <t>LS-JBA-250</t>
  </si>
  <si>
    <t>Lofgren &amp; Lofgren, 1981. L &amp; P Contrib. 438, p.348.</t>
  </si>
  <si>
    <t>Apollo 17 sample #74235, Mare Basalt</t>
  </si>
  <si>
    <t>LS-JBA-251</t>
  </si>
  <si>
    <t>Morris et al, 1983. Handbook of Lunar Soils, Part 2, p.800.</t>
  </si>
  <si>
    <t>Apollo 17 soil sample #74240</t>
  </si>
  <si>
    <t>LS-JBA-252</t>
  </si>
  <si>
    <t>Lofgren &amp; Lofgren, 1981, L and P Contrib. 438, p.357</t>
  </si>
  <si>
    <t>LS-JBA-253</t>
  </si>
  <si>
    <t>Lofgren &amp; Lofgren, 1981, L and P Contrib. 438, p.366.</t>
  </si>
  <si>
    <t>Apollo 17 sample #75055 Mare Basalt</t>
  </si>
  <si>
    <t>LS-JBA-254</t>
  </si>
  <si>
    <t>McGee et al, 1979. Intro to Apollo Collec., Part 2, pp. 186-7</t>
  </si>
  <si>
    <t>Apollo 17 Impact Breccia matrix sample #76315</t>
  </si>
  <si>
    <t>LS-JBA-255</t>
  </si>
  <si>
    <t>McGee et al, 1979. Intro to the Apollo Collec. Part 2, pp.188-9.</t>
  </si>
  <si>
    <t>Apollo 17 Granulitic Impactite sample #77017</t>
  </si>
  <si>
    <t>LS-JBA-256</t>
  </si>
  <si>
    <t>Wanke et al, 1975. PLSC 6, pp. 1313-40.</t>
  </si>
  <si>
    <t>Apollo 17 regolith breccia #79035</t>
  </si>
  <si>
    <t>LS-JBA-257</t>
  </si>
  <si>
    <t>Lofgren &amp; Lofgren, 1981. L and P Contrib. 438, p. 276</t>
  </si>
  <si>
    <t>Apollo 17 Mare Basalt #70017</t>
  </si>
  <si>
    <t>LS-JBA-258</t>
  </si>
  <si>
    <t>Lofgren &amp; Lofgren, 1981. L and P Contrib. 438, p.288.</t>
  </si>
  <si>
    <t>Apollo 17 Mare Basalt #70215</t>
  </si>
  <si>
    <t>LS-JBA-259</t>
  </si>
  <si>
    <t>Ryder &amp; Norman, 1980. Catalog of Apollo 16 Rocks, p.1103.</t>
  </si>
  <si>
    <t>Apollo 16 Glassy Melt Breccia #69935</t>
  </si>
  <si>
    <t>LS-JBA-260</t>
  </si>
  <si>
    <t>Bansal et al., 1973. EPSL 17, p. 29.</t>
  </si>
  <si>
    <t>Apollo 16 Soil sample #68501</t>
  </si>
  <si>
    <t>Apollo 16 P.E.T., 1973, Science, Vol. 179, 23-34.</t>
  </si>
  <si>
    <t>Apollo 16 Soil sample #67480</t>
  </si>
  <si>
    <t>LS-JBA-262</t>
  </si>
  <si>
    <t>Lofgren &amp; Lofgren, 1981. L &amp; P Contrib. 438, p. 166</t>
  </si>
  <si>
    <t>Apollo 12 Mare Basalt sample #12063</t>
  </si>
  <si>
    <t>LS-JBA-263</t>
  </si>
  <si>
    <t>Apollo 17 PET, 1974, Vol. 182, p. 659-672.</t>
  </si>
  <si>
    <t>Apollo 17 Soil sample #75080</t>
  </si>
  <si>
    <t>LS-JBA-264</t>
  </si>
  <si>
    <t>McGee et al, 1977. Intro to Apollo Collect. Part 1, pp.78-79.</t>
  </si>
  <si>
    <t>Porphyritic Pyroxene Basalt #10003</t>
  </si>
  <si>
    <t>LS-JBA-265</t>
  </si>
  <si>
    <t>Lofgren &amp; Lofgren, 1981. L &amp; P Contrib. 438, p.15.</t>
  </si>
  <si>
    <t>Apollo 11 Mare Basalt sample #10022</t>
  </si>
  <si>
    <t>LS-JBA-266</t>
  </si>
  <si>
    <t>Lofgren &amp; Lofgren, 1981. L &amp; P Contrib. 438, p. 151.</t>
  </si>
  <si>
    <t>Apoll 12 Mare Basalt sample #12053</t>
  </si>
  <si>
    <t>LS-CMP-030</t>
  </si>
  <si>
    <t>Morris et al, 1983. Handbook of Lunar Soils, p. 490</t>
  </si>
  <si>
    <t>Apollo 16 Soil #62230</t>
  </si>
  <si>
    <t>LS-CMP-039</t>
  </si>
  <si>
    <t>Morris, et al, 1983. Handbook of Lunar Soils, Part 1, p. 346.</t>
  </si>
  <si>
    <t>Apollo 15 sample # 15261 from Station 6.</t>
  </si>
  <si>
    <t>LS-CMP-040</t>
  </si>
  <si>
    <t>Ryder, G., 1985. Catalog of Apollo 15 Rocks, Part 2, pp.339-344.</t>
  </si>
  <si>
    <t>Apollo 15 Regolith Breccia #15306</t>
  </si>
  <si>
    <t>LS-CMP-041</t>
  </si>
  <si>
    <t>Ryder, G., 1985. Catalog of Apollo 15 Rocks, Part 3, pp. 789-797.</t>
  </si>
  <si>
    <t>Apollo 15 Mare Basalt #15476</t>
  </si>
  <si>
    <t>LS-CMP-042</t>
  </si>
  <si>
    <t>Ryder and Norman, 1980. Catalog of Apollo 16 Rocks, pp. 791-797.</t>
  </si>
  <si>
    <t>Apollo 16 Fragmental Polymict Breccia #67035.</t>
  </si>
  <si>
    <t>LS-CMP-037</t>
  </si>
  <si>
    <t>Fruland, R.M., 1983. Regolith Breccia Workbook, p. 146.</t>
  </si>
  <si>
    <t>Apollo 14 Regolith Breccia #14047</t>
  </si>
  <si>
    <t>LS-CMP-034</t>
  </si>
  <si>
    <t>Lofgren &amp; Lofgren, 1981. Lunar and Plan. Contrib. 438, p.58.</t>
  </si>
  <si>
    <t>Apollo 12 Mare Basalt Sample #12002</t>
  </si>
  <si>
    <t>LS-CMP-065</t>
  </si>
  <si>
    <t>Lofgren &amp; Lofgren, 1981. Lunar and Plan. Contrib. 438, p.172.</t>
  </si>
  <si>
    <t>Apollo 12 Mare Basalt Sample #12065</t>
  </si>
  <si>
    <t>RK-CMP-091</t>
  </si>
  <si>
    <t>ACTI</t>
  </si>
  <si>
    <t>JFM Actinolite #1</t>
  </si>
  <si>
    <t>RK-CMP-092</t>
  </si>
  <si>
    <t>JFM Actinolite powder #2</t>
  </si>
  <si>
    <t>RK-CMP-094</t>
  </si>
  <si>
    <t>JFM Actinolite #4</t>
  </si>
  <si>
    <t>RK-CMP-095</t>
  </si>
  <si>
    <t>JFM Actinolite #5</t>
  </si>
  <si>
    <t>RK-CMP-096</t>
  </si>
  <si>
    <t>JFM Actinolite #6</t>
  </si>
  <si>
    <t>RK-CMP-097</t>
  </si>
  <si>
    <t>JFM Actinolite #7</t>
  </si>
  <si>
    <t>PA-CMP-040</t>
  </si>
  <si>
    <t>JFM Actinolite 8</t>
  </si>
  <si>
    <t>PA-CMP-041</t>
  </si>
  <si>
    <t>TREM</t>
  </si>
  <si>
    <t>JFM Actinolite 9</t>
  </si>
  <si>
    <t>PA-CMP-042</t>
  </si>
  <si>
    <t>JFM Actinolite #10</t>
  </si>
  <si>
    <t>PA-CMP-043</t>
  </si>
  <si>
    <t>JFM Actinolite 11</t>
  </si>
  <si>
    <t>PA-CMP-044</t>
  </si>
  <si>
    <t>JFM Actinolite 12</t>
  </si>
  <si>
    <t>PA-CMP-045</t>
  </si>
  <si>
    <t>JFM Actinolite 13</t>
  </si>
  <si>
    <t>PA-CMP-049</t>
  </si>
  <si>
    <t>JFM Actinolite 17</t>
  </si>
  <si>
    <t>PA-CMP-050</t>
  </si>
  <si>
    <t>JFM Actinolite 18</t>
  </si>
  <si>
    <t>Burns and Greaves (1970)</t>
  </si>
  <si>
    <t>RGB Berkeley #14785</t>
  </si>
  <si>
    <t>Mitchell el at(1970)</t>
  </si>
  <si>
    <t>RGB USNM #44973</t>
  </si>
  <si>
    <t>Mueller (1960)</t>
  </si>
  <si>
    <t>RGB Mueller 12BA</t>
  </si>
  <si>
    <t>RK-CMP-083</t>
  </si>
  <si>
    <t>TALC</t>
  </si>
  <si>
    <t>JFM KK 9a</t>
  </si>
  <si>
    <t>RK-CMP-084</t>
  </si>
  <si>
    <t>TRE</t>
  </si>
  <si>
    <t>JFM KK 9g</t>
  </si>
  <si>
    <t>RB-JFM-042</t>
  </si>
  <si>
    <t>Differentiated Basalt</t>
  </si>
  <si>
    <t>RB-JFM-043</t>
  </si>
  <si>
    <t>High Al Olivine Tholecite Primative Basalt</t>
  </si>
  <si>
    <t>RB-JFM-044</t>
  </si>
  <si>
    <t>RB-JFM-045</t>
  </si>
  <si>
    <t>High Al Olivine Tholecite Primitive Basalt</t>
  </si>
  <si>
    <t>RB-JFM-046</t>
  </si>
  <si>
    <t>Primative Basalt</t>
  </si>
  <si>
    <t>SB-RGB-070</t>
  </si>
  <si>
    <t>BIO</t>
  </si>
  <si>
    <t>Dyar and Burns, Amer. Min., 71, 955-965 (1986)</t>
  </si>
  <si>
    <t>Fe(2+) rich Annite</t>
  </si>
  <si>
    <t>SB-RGB-063</t>
  </si>
  <si>
    <t>Fe(2+) in equal proportion to Fe(3+)</t>
  </si>
  <si>
    <t>SB-RGB-064</t>
  </si>
  <si>
    <t>Flourine-rich</t>
  </si>
  <si>
    <t>SB-RGB-065</t>
  </si>
  <si>
    <t>Burns and Greaves, Amer. Min., 56, 2010 (1971)</t>
  </si>
  <si>
    <t>Klein #11B. Actinolite. Standard and Heated</t>
  </si>
  <si>
    <t>SB-RGB-067</t>
  </si>
  <si>
    <t>GLU</t>
  </si>
  <si>
    <t>Bancroft and Burns, Min. Soc. Amer., Spec. Pap. #2, 138 (1969)</t>
  </si>
  <si>
    <t>UC Berkeley 330-M-19B. Glaucophane. Standard and heated.</t>
  </si>
  <si>
    <t>SB-RGB-068</t>
  </si>
  <si>
    <t>HBD</t>
  </si>
  <si>
    <t>Burns and Greaves, Am. Min., 56, 2010 (1971)</t>
  </si>
  <si>
    <t>Cambridge Univ. #613. Hornblende.</t>
  </si>
  <si>
    <t>SB-RGB-069</t>
  </si>
  <si>
    <t>RIE</t>
  </si>
  <si>
    <t>Cambridg Univ. 93995. Riebeckite.</t>
  </si>
  <si>
    <t>LS-CMP-050</t>
  </si>
  <si>
    <t>Morris et al., 1983. Handbook of Lunar Soils, Part 1, p. 194.</t>
  </si>
  <si>
    <t>Apollo 14 soil #14141 from Station C.</t>
  </si>
  <si>
    <t>LS-CMP-051</t>
  </si>
  <si>
    <t>Morris et al., 1983. Handbook of Lunar Soils, Part 2, p. 898</t>
  </si>
  <si>
    <t>Apollo 17 soil #79221 from Station 9.</t>
  </si>
  <si>
    <t>LS-CMP-053</t>
  </si>
  <si>
    <t>Morris et al., 1983. Handbook of Lunar Soils, Part 2, p. 696.</t>
  </si>
  <si>
    <t>Apollo 17 soil #71501 from Station 1.</t>
  </si>
  <si>
    <t>LS-CMP-054</t>
  </si>
  <si>
    <t>Morris et al., 1983. Handbook of Lunar Soils, Part 1, p. 200.</t>
  </si>
  <si>
    <t>Apollo 14 soil #14148 from Station G.</t>
  </si>
  <si>
    <t>LS-CMP-055</t>
  </si>
  <si>
    <t>Morris et al., 1983. Handbook of Lunar Soils, Part 2, p. 648.</t>
  </si>
  <si>
    <t>Apollo 16 soil #69961 from Station 9.</t>
  </si>
  <si>
    <t>LS-CMP-056</t>
  </si>
  <si>
    <t>Morris et al., 1983. Handbook of Lunar Soils, Part 2, p. 816.</t>
  </si>
  <si>
    <t>Apollo 17 soil #75080 from Station 5.</t>
  </si>
  <si>
    <t>LS-CMP-057</t>
  </si>
  <si>
    <t>Morris et al., 1983. Handbook of Lunar Soils, Part 2, p. 620.</t>
  </si>
  <si>
    <t>Apollo 16 soil #68501 from Station 8.</t>
  </si>
  <si>
    <t>LS-CMP-058</t>
  </si>
  <si>
    <t>Morris et al., 1983. Handbook of Lunar Soils, Part 1, p. 362.</t>
  </si>
  <si>
    <t>Apollo 15 soil #15301 from Station 7.</t>
  </si>
  <si>
    <t>LS-CMP-059</t>
  </si>
  <si>
    <t>Morris et al., 1983. Handbook of Lunar Soils, Part 1, p. 346.</t>
  </si>
  <si>
    <t>Apollo 15 soil #15261 from Station 6.</t>
  </si>
  <si>
    <t>LS-CMP-060</t>
  </si>
  <si>
    <t>Morris et al., 1983. Handbook of Lunar Soils, Part 1, p. 412.</t>
  </si>
  <si>
    <t>Apollo 15 soil #15601 from Station 9a.</t>
  </si>
  <si>
    <t>LS-CMP-062</t>
  </si>
  <si>
    <t>Morris et al., 1983. Handbook of Lunar Soils, Part 1, p. 84.</t>
  </si>
  <si>
    <t>Apollo 12 soil #12024</t>
  </si>
  <si>
    <t>LS-CMP-052</t>
  </si>
  <si>
    <t>Lofgren and Lofgren, 1981. Catalog of Lunar Mare Basalts, p. 362.</t>
  </si>
  <si>
    <t>Apollo 17 rock #75035</t>
  </si>
  <si>
    <t>BA-EAC-001</t>
  </si>
  <si>
    <t>Ed Cloutis, University of Alberta</t>
  </si>
  <si>
    <t>BAS101A-D</t>
  </si>
  <si>
    <t>Ed Cloutis' OLV002</t>
  </si>
  <si>
    <t>Ed Cloutis' OLV005</t>
  </si>
  <si>
    <t>OL-JMS-003</t>
  </si>
  <si>
    <t>Ed Cloutis' OLV009</t>
  </si>
  <si>
    <t>Ed Cloutis' OLV013</t>
  </si>
  <si>
    <t>OL-JMS-007</t>
  </si>
  <si>
    <t>Ed Cloutis' OLV023</t>
  </si>
  <si>
    <t>Ed Cloutis' OLV025</t>
  </si>
  <si>
    <t>OL-JMS-009</t>
  </si>
  <si>
    <t>Ed Cloutis' OLV101</t>
  </si>
  <si>
    <t>OL-JMS-010</t>
  </si>
  <si>
    <t>Ed Cloutis' OLV102</t>
  </si>
  <si>
    <t>OL-JMS-011</t>
  </si>
  <si>
    <t>Ed Cloutis' OLV103</t>
  </si>
  <si>
    <t>OL-JMS-012</t>
  </si>
  <si>
    <t>Ed Cloutis' OLV105</t>
  </si>
  <si>
    <t>OL-JMS-013</t>
  </si>
  <si>
    <t>Ed Cloutis' OLV106</t>
  </si>
  <si>
    <t>Ed Cloutis' PYX005</t>
  </si>
  <si>
    <t>PP-EAC-003</t>
  </si>
  <si>
    <t>Ed Cloutis' PYX006</t>
  </si>
  <si>
    <t>PP-EAC-004</t>
  </si>
  <si>
    <t>Ed Cloutis' PYX007</t>
  </si>
  <si>
    <t>PP-EAC-005</t>
  </si>
  <si>
    <t>Ed Cloutis' PYX010</t>
  </si>
  <si>
    <t>PP-EAC-007</t>
  </si>
  <si>
    <t>Ed Cloutis' PYX012d</t>
  </si>
  <si>
    <t>PP-EAC-008</t>
  </si>
  <si>
    <t>Ed Cloutis' PYX013</t>
  </si>
  <si>
    <t>Ed Cloutis' PYX016</t>
  </si>
  <si>
    <t>Ed Cloutis' PYX017</t>
  </si>
  <si>
    <t>PP-EAC-011</t>
  </si>
  <si>
    <t>Ed Cloutis' PYX019</t>
  </si>
  <si>
    <t>PP-EAC-012</t>
  </si>
  <si>
    <t>Ed Cloutis' PYX021</t>
  </si>
  <si>
    <t>PP-EAC-014</t>
  </si>
  <si>
    <t>Ed Cloutis' PYX026</t>
  </si>
  <si>
    <t>PP-EAC-015</t>
  </si>
  <si>
    <t>Ed Cloutis' PYX029</t>
  </si>
  <si>
    <t>PP-EAC-019</t>
  </si>
  <si>
    <t>Ed Cloutis' PYX033</t>
  </si>
  <si>
    <t>PP-EAC-017</t>
  </si>
  <si>
    <t>Ed Cloutis' PYX034</t>
  </si>
  <si>
    <t>PP-EAC-018</t>
  </si>
  <si>
    <t>Ed Cloutis' PYX035</t>
  </si>
  <si>
    <t>PP-EAC-079</t>
  </si>
  <si>
    <t>Ed Cloutis' PYX037</t>
  </si>
  <si>
    <t>PP-EAC-086</t>
  </si>
  <si>
    <t>Ed Cloutis' PYX038</t>
  </si>
  <si>
    <t>PP-EAC-028</t>
  </si>
  <si>
    <t>Ed Cloutis' PYX039</t>
  </si>
  <si>
    <t>PP-EAC-029</t>
  </si>
  <si>
    <t>Ed Cloutis' PYX040</t>
  </si>
  <si>
    <t>PP-EAC-031</t>
  </si>
  <si>
    <t>Ed Cloutis' PYX041</t>
  </si>
  <si>
    <t>PP-EAC-088</t>
  </si>
  <si>
    <t>Ed Cloutis' PYX044</t>
  </si>
  <si>
    <t>PP-EAC-089</t>
  </si>
  <si>
    <t>Ed Cloutis' PYX101</t>
  </si>
  <si>
    <t>PP-EAC-039</t>
  </si>
  <si>
    <t>Ed Cloutis' PYX102</t>
  </si>
  <si>
    <t>PP-EAC-041</t>
  </si>
  <si>
    <t>Ed Cloutis' PYX105</t>
  </si>
  <si>
    <t>PP-EAC-045</t>
  </si>
  <si>
    <t>Ed Cloutis' PYX109</t>
  </si>
  <si>
    <t>PP-EAC-047</t>
  </si>
  <si>
    <t>Ed Cloutis' PYX110</t>
  </si>
  <si>
    <t>Ed Cloutis' PYX114</t>
  </si>
  <si>
    <t>PP-EAC-051</t>
  </si>
  <si>
    <t>Ed Cloutis' PYX116</t>
  </si>
  <si>
    <t>Ed Cloutis' PYX119</t>
  </si>
  <si>
    <t>PP-EAC-053</t>
  </si>
  <si>
    <t>Ed Cloutis' PYX120</t>
  </si>
  <si>
    <t>PP-EAC-055</t>
  </si>
  <si>
    <t>Ed Cloutis' PYX121</t>
  </si>
  <si>
    <t>PP-EAC-057</t>
  </si>
  <si>
    <t>Ed Cloutis' PYX122</t>
  </si>
  <si>
    <t>PP-EAC-061</t>
  </si>
  <si>
    <t>Ed Cloutis' PYX126</t>
  </si>
  <si>
    <t>PP-EAC-063</t>
  </si>
  <si>
    <t>Ed Cloutis' PYX127</t>
  </si>
  <si>
    <t>PP-EAC-065</t>
  </si>
  <si>
    <t>Ed Cloutis' PYX128</t>
  </si>
  <si>
    <t>PP-EAC-059</t>
  </si>
  <si>
    <t>Ed Cloutis' PYX130</t>
  </si>
  <si>
    <t>PP-EAC-067</t>
  </si>
  <si>
    <t>Ed Cloutis' PYX132</t>
  </si>
  <si>
    <t>PP-EAC-071</t>
  </si>
  <si>
    <t>Ed Cloutis' PYX134</t>
  </si>
  <si>
    <t>PP-EAC-072</t>
  </si>
  <si>
    <t>Ed Cloutis' PYX152</t>
  </si>
  <si>
    <t>PP-EAC-090</t>
  </si>
  <si>
    <t>Ed Cloutis' PYX153</t>
  </si>
  <si>
    <t>PP-EAC-013</t>
  </si>
  <si>
    <t>Ed Cloutis' PYX023</t>
  </si>
  <si>
    <t>Ed Cloutis' PYX042</t>
  </si>
  <si>
    <t>PP-EAC-043</t>
  </si>
  <si>
    <t>Ed Cloutis' PYX108</t>
  </si>
  <si>
    <t>SC-EAC-068</t>
  </si>
  <si>
    <t>Ed Cloutis' OLV201</t>
  </si>
  <si>
    <t>SC-EAC-069</t>
  </si>
  <si>
    <t>Ed Cloutis' PYX151</t>
  </si>
  <si>
    <t>SC-EAC-070</t>
  </si>
  <si>
    <t>Ed Cloutis' PYX131</t>
  </si>
  <si>
    <t>Ed Cloutis' PYX135</t>
  </si>
  <si>
    <t>JB-CMP-001</t>
  </si>
  <si>
    <t>MON</t>
  </si>
  <si>
    <t>100% FeCl2, pH=7</t>
  </si>
  <si>
    <t>JB-CMP-009</t>
  </si>
  <si>
    <t>300% FeCl2, O2, pH=7</t>
  </si>
  <si>
    <t>JB-CMP-016</t>
  </si>
  <si>
    <t>100% FeCl3</t>
  </si>
  <si>
    <t>JB-CMP-017</t>
  </si>
  <si>
    <t>300% FeCl3</t>
  </si>
  <si>
    <t>JB-CMP-018</t>
  </si>
  <si>
    <t>600% FeCl3, There is a previous measurement also.</t>
  </si>
  <si>
    <t>JB-CMP-019</t>
  </si>
  <si>
    <t>100% MgCl2</t>
  </si>
  <si>
    <t>JB-CMP-035</t>
  </si>
  <si>
    <t>600% FeCl3, pH=5</t>
  </si>
  <si>
    <t>JB-CMP-036</t>
  </si>
  <si>
    <t>600% Fe2(SO4)3, pH=4</t>
  </si>
  <si>
    <t>JB-CMP-037</t>
  </si>
  <si>
    <t>600% FeCl3, CO2, pH=4</t>
  </si>
  <si>
    <t>IO-RVM-001</t>
  </si>
  <si>
    <t>IOR</t>
  </si>
  <si>
    <t>British Chemical Standards No. 301/1</t>
  </si>
  <si>
    <t>Lincolnshire Iron Ore</t>
  </si>
  <si>
    <t>FM-JGS-003</t>
  </si>
  <si>
    <t>XRF</t>
  </si>
  <si>
    <t>Pseudotachylyte bulk</t>
  </si>
  <si>
    <t>FM-JGS-001</t>
  </si>
  <si>
    <t>EDS raster analyses</t>
  </si>
  <si>
    <t>Pseudotachylyte matrix</t>
  </si>
  <si>
    <t>Microprobe fused bead / INAA at JSC by Graham Ryder, LPI.</t>
  </si>
  <si>
    <t>Sm 15.4 ppm, Sc 17.6 ppm</t>
  </si>
  <si>
    <t>LS-CMP-029</t>
  </si>
  <si>
    <t>Sm 18.5 ppm, Sc 17.7 ppm.</t>
  </si>
  <si>
    <t>LS-CMP-018</t>
  </si>
  <si>
    <t>Sm 33.0 ppm, Sc 23.1 ppm.</t>
  </si>
  <si>
    <t>LS-CMP-028</t>
  </si>
  <si>
    <t>Sm 14.8 ppm, Sc 16.0 ppm.</t>
  </si>
  <si>
    <t>LS-CMP-077</t>
  </si>
  <si>
    <t>Sm 13.2 ppm, Sc 15.0 ppm.</t>
  </si>
  <si>
    <t>LS-CMP-079</t>
  </si>
  <si>
    <t>Sm 16.6 ppm, Sc 17.4 ppm.</t>
  </si>
  <si>
    <t>LS-CMP-035</t>
  </si>
  <si>
    <t>Sm 14.4 ppm, Sc 15.7 ppm.</t>
  </si>
  <si>
    <t>AM-JFM-001</t>
  </si>
  <si>
    <t>AM-JFM-002</t>
  </si>
  <si>
    <t>AM-JFM-003</t>
  </si>
  <si>
    <t>AM-JFM-004</t>
  </si>
  <si>
    <t>AM-JFM-005</t>
  </si>
  <si>
    <t>AM-JFM-006</t>
  </si>
  <si>
    <t>SC-EAC-074</t>
  </si>
  <si>
    <t>HERC</t>
  </si>
  <si>
    <t>Univ. of Alberta</t>
  </si>
  <si>
    <t>HER101</t>
  </si>
  <si>
    <t>CR-EAC-011</t>
  </si>
  <si>
    <t>CHR</t>
  </si>
  <si>
    <t>Univ. of Calgary and Univ. of Alberta</t>
  </si>
  <si>
    <t>CHR101</t>
  </si>
  <si>
    <t>SC-EAC-066</t>
  </si>
  <si>
    <t>MEL</t>
  </si>
  <si>
    <t>MEL101</t>
  </si>
  <si>
    <t>SC-EAC-067</t>
  </si>
  <si>
    <t>Univ. of Calgary &amp; Univ. of Alberta</t>
  </si>
  <si>
    <t>MEL103</t>
  </si>
  <si>
    <t>PV-EAC-001</t>
  </si>
  <si>
    <t>PER</t>
  </si>
  <si>
    <t>PER101</t>
  </si>
  <si>
    <t>CR-EAC-012</t>
  </si>
  <si>
    <t>CHR102</t>
  </si>
  <si>
    <t>PP-EAC-097</t>
  </si>
  <si>
    <t>PYX170</t>
  </si>
  <si>
    <t>PP-EAC-096</t>
  </si>
  <si>
    <t>PYX172</t>
  </si>
  <si>
    <t>PP-EAC-094</t>
  </si>
  <si>
    <t>Univ. of Calgary</t>
  </si>
  <si>
    <t>PYX129</t>
  </si>
  <si>
    <t>PP-EAC-093</t>
  </si>
  <si>
    <t>PYX124</t>
  </si>
  <si>
    <t>CC-JFM-018</t>
  </si>
  <si>
    <t>Carlton Allen at JSC</t>
  </si>
  <si>
    <t>JSC Mars-1</t>
  </si>
  <si>
    <t>LS-CMP-088</t>
  </si>
  <si>
    <t>Frondel et al., 1971 (&lt;37um)</t>
  </si>
  <si>
    <t>Ropy brown glass (possibly from Copernicus impact)</t>
  </si>
  <si>
    <t>LS-CMP-093</t>
  </si>
  <si>
    <t>Cuttitta et al., 1971</t>
  </si>
  <si>
    <t>LS-CMP-097</t>
  </si>
  <si>
    <t>BSLT</t>
  </si>
  <si>
    <t>Haskin et al., 1973</t>
  </si>
  <si>
    <t>Glass-coated basaltic impact melt (possibly from South Ray Crater format</t>
  </si>
  <si>
    <t>Glass-coated basaltic impact (possibly from South Ray Crater formation)</t>
  </si>
  <si>
    <t>PMLT</t>
  </si>
  <si>
    <t>MT-JFM-005</t>
  </si>
  <si>
    <t>MM-MJR-002</t>
  </si>
  <si>
    <t>MST-1 glass composition</t>
  </si>
  <si>
    <t>MST-1 pigeonite composition</t>
  </si>
  <si>
    <t>MM-MJR-031</t>
  </si>
  <si>
    <t>Glass component of MST-25</t>
  </si>
  <si>
    <t>MM-MJR-047</t>
  </si>
  <si>
    <t>Brown Univ.</t>
  </si>
  <si>
    <t>SFA3-1 (047), SFA3-2 (048), SFA3-3 (049)</t>
  </si>
  <si>
    <t>MT-MJR-045</t>
  </si>
  <si>
    <t>SFA2-14 (MT-MJR-045), SFA2-22 (MT-MJR-046)</t>
  </si>
  <si>
    <t>KA-EAC-003</t>
  </si>
  <si>
    <t>KAO</t>
  </si>
  <si>
    <t>Data Handbook for Clay Minerals &amp; Other Non-Metallic Minerals</t>
  </si>
  <si>
    <t>KAO103 kaolinite (KGa-1)</t>
  </si>
  <si>
    <t>KA-EAC-004</t>
  </si>
  <si>
    <t>Data Handbook for Clay Materials &amp; Other Non-Metallic Minerals</t>
  </si>
  <si>
    <t>KAO104 kaolinite (KGa-2)</t>
  </si>
  <si>
    <t>MM-MJR-003</t>
  </si>
  <si>
    <t>Mox-Test1 (oxidized MST-1) average glass composition</t>
  </si>
  <si>
    <t>MM-MJR-008</t>
  </si>
  <si>
    <t>Glass estimated composition</t>
  </si>
  <si>
    <t>MM-MJR-007</t>
  </si>
  <si>
    <t>Estimated glass composition</t>
  </si>
  <si>
    <t>MM-MJR-006</t>
  </si>
  <si>
    <t>MST-12</t>
  </si>
  <si>
    <t>MM-MJR-019</t>
  </si>
  <si>
    <t>Glass pre-oxidation in MST-13_ox1</t>
  </si>
  <si>
    <t>MM-MJR-020</t>
  </si>
  <si>
    <t>Glass pre-oxidation of MST-16_ox1</t>
  </si>
  <si>
    <t>Pigeonite in MST-13_ox1 (pre-oxidation)</t>
  </si>
  <si>
    <t>Augite in MST-13_ox1 (pre-oxidation)</t>
  </si>
  <si>
    <t>Plagioclase in MST-13_ox1 (pre-oxidation)</t>
  </si>
  <si>
    <t>Magnetite in MST-13_ox1 (pre-oxidation)</t>
  </si>
  <si>
    <t>Pigeonite in MST-16_ox1 (pre-oxidation)</t>
  </si>
  <si>
    <t>MM-MJR-022</t>
  </si>
  <si>
    <t>Glass in MST-19_ox1 (pre-oxidation)</t>
  </si>
  <si>
    <t>Pigeonite in MST-19_ox1 (pre-oxidation)</t>
  </si>
  <si>
    <t>Augite in MST-19_ox1 (pre-oxidation)</t>
  </si>
  <si>
    <t>Plagioclase in MST-19_ox1 (pre-oxidation)</t>
  </si>
  <si>
    <t>Magnetite in MST-19_ox1 (pre-oxidation)</t>
  </si>
  <si>
    <t>MM-MJR-055</t>
  </si>
  <si>
    <t>SFA3-5 100-500 um</t>
  </si>
  <si>
    <t>MM-MJR-056</t>
  </si>
  <si>
    <t>SFA3-9 40-90 um</t>
  </si>
  <si>
    <t>MM-MJR-057</t>
  </si>
  <si>
    <t>SFA3-11</t>
  </si>
  <si>
    <t>MM-MJR-058</t>
  </si>
  <si>
    <t>SFA4-1b</t>
  </si>
  <si>
    <t>CR-EAC-013</t>
  </si>
  <si>
    <t>CHR103</t>
  </si>
  <si>
    <t>CR-EAC-014</t>
  </si>
  <si>
    <t>CHR104</t>
  </si>
  <si>
    <t>CR-EAC-015</t>
  </si>
  <si>
    <t>CHR105</t>
  </si>
  <si>
    <t>CR-EAC-016</t>
  </si>
  <si>
    <t>CHR106</t>
  </si>
  <si>
    <t>CR-EAC-017</t>
  </si>
  <si>
    <t>CHR107</t>
  </si>
  <si>
    <t>CR-EAC-018</t>
  </si>
  <si>
    <t>CHR108</t>
  </si>
  <si>
    <t>CR-EAC-019</t>
  </si>
  <si>
    <t>CHR109</t>
  </si>
  <si>
    <t>SC-EAC-075</t>
  </si>
  <si>
    <t>SPI</t>
  </si>
  <si>
    <t>SPI101</t>
  </si>
  <si>
    <t>SP-EAC-012</t>
  </si>
  <si>
    <t>FRA</t>
  </si>
  <si>
    <t>SPI112</t>
  </si>
  <si>
    <t>SP-EAC-014</t>
  </si>
  <si>
    <t>PLE</t>
  </si>
  <si>
    <t>SPI114</t>
  </si>
  <si>
    <t>SP-EAC-015</t>
  </si>
  <si>
    <t>SPI115</t>
  </si>
  <si>
    <t>SP-EAC-016</t>
  </si>
  <si>
    <t>SPI116</t>
  </si>
  <si>
    <t>SP-EAC-017</t>
  </si>
  <si>
    <t>SPI117</t>
  </si>
  <si>
    <t>SP-EAC-018</t>
  </si>
  <si>
    <t>GAH</t>
  </si>
  <si>
    <t>SPI118</t>
  </si>
  <si>
    <t>SP-EAC-019</t>
  </si>
  <si>
    <t>SPI119</t>
  </si>
  <si>
    <t>SP-EAC-020</t>
  </si>
  <si>
    <t>SPI120</t>
  </si>
  <si>
    <t>SP-EAC-021</t>
  </si>
  <si>
    <t>SPI121</t>
  </si>
  <si>
    <t>SP-EAC-022</t>
  </si>
  <si>
    <t>SPI122</t>
  </si>
  <si>
    <t>SP-EAC-023</t>
  </si>
  <si>
    <t>SPI123</t>
  </si>
  <si>
    <t>SP-EAC-024</t>
  </si>
  <si>
    <t>SPI124</t>
  </si>
  <si>
    <t>SP-EAC-025</t>
  </si>
  <si>
    <t>SPI125</t>
  </si>
  <si>
    <t>SP-EAC-026</t>
  </si>
  <si>
    <t>SPI126</t>
  </si>
  <si>
    <t>SP-EAC-027</t>
  </si>
  <si>
    <t>SPI127</t>
  </si>
  <si>
    <t>SP-EAC-033</t>
  </si>
  <si>
    <t>SPI133</t>
  </si>
  <si>
    <t>BA-EAC-002</t>
  </si>
  <si>
    <t>Bjarni Gautason, University of Alberta</t>
  </si>
  <si>
    <t>BAS201</t>
  </si>
  <si>
    <t>BA-EAC-003</t>
  </si>
  <si>
    <t>BAS202</t>
  </si>
  <si>
    <t>BA-EAC-004</t>
  </si>
  <si>
    <t>BAS203</t>
  </si>
  <si>
    <t>BA-EAC-005</t>
  </si>
  <si>
    <t>Sue Atkinson, University of Alberta</t>
  </si>
  <si>
    <t>BAS204</t>
  </si>
  <si>
    <t>BA-EAC-006</t>
  </si>
  <si>
    <t>BAS205</t>
  </si>
  <si>
    <t>Ed Cloutis, University of Calgary</t>
  </si>
  <si>
    <t>PL-EAC-030</t>
  </si>
  <si>
    <t>PLG102</t>
  </si>
  <si>
    <t>PL-EAC-031</t>
  </si>
  <si>
    <t>PLG103</t>
  </si>
  <si>
    <t>PL-EAC-033</t>
  </si>
  <si>
    <t>PLG105</t>
  </si>
  <si>
    <t>PL-EAC-034</t>
  </si>
  <si>
    <t>PLG106</t>
  </si>
  <si>
    <t>PL-EAC-038</t>
  </si>
  <si>
    <t>PLG110</t>
  </si>
  <si>
    <t>PL-EAC-039</t>
  </si>
  <si>
    <t>PLG111</t>
  </si>
  <si>
    <t>PL-EAC-041</t>
  </si>
  <si>
    <t>PLG114</t>
  </si>
  <si>
    <t>PL-EAC-042</t>
  </si>
  <si>
    <t>PLG115</t>
  </si>
  <si>
    <t>PL-EAC-044</t>
  </si>
  <si>
    <t>PLG117</t>
  </si>
  <si>
    <t>PL-EAC-045</t>
  </si>
  <si>
    <t>PLG118</t>
  </si>
  <si>
    <t>PL-EAC-047</t>
  </si>
  <si>
    <t>PLG120</t>
  </si>
  <si>
    <t>PL-EAC-049</t>
  </si>
  <si>
    <t>PLG122</t>
  </si>
  <si>
    <t>AP-EAC-003</t>
  </si>
  <si>
    <t>APA</t>
  </si>
  <si>
    <t>APA101</t>
  </si>
  <si>
    <t>SA-EAC-044</t>
  </si>
  <si>
    <t>SAR</t>
  </si>
  <si>
    <t>SAR101</t>
  </si>
  <si>
    <t>TO-EAC-003</t>
  </si>
  <si>
    <t>GAR</t>
  </si>
  <si>
    <t>TOP101</t>
  </si>
  <si>
    <t>GF-EAC-001</t>
  </si>
  <si>
    <t>GRA</t>
  </si>
  <si>
    <t>GRA101</t>
  </si>
  <si>
    <t>TR-EAC-001</t>
  </si>
  <si>
    <t>TRP</t>
  </si>
  <si>
    <t>TRI101</t>
  </si>
  <si>
    <t>MA-ATB-041</t>
  </si>
  <si>
    <t>H2O-: 0.1~0.18%, H2O+: 0.04~0.48%</t>
  </si>
  <si>
    <t>MA-ATB-042</t>
  </si>
  <si>
    <t>SER</t>
  </si>
  <si>
    <t>MA-ATB-043</t>
  </si>
  <si>
    <t>KER</t>
  </si>
  <si>
    <t>C 86.54%, H 8.28%, N 2.02%, S 1.38%, O 1.85%</t>
  </si>
  <si>
    <t>MA-ATB-045</t>
  </si>
  <si>
    <t>JJ-JRJ-001</t>
  </si>
  <si>
    <t>Muszynski M. and Natkaniec-Nowak L. (1992) Albitites and oligoclasite from Szklary (Lower Silesia), Bull. Polish Acad. Sci. Earth Sci., 40, 141-159 (Sample #2)</t>
  </si>
  <si>
    <t>Fe2O3 + FeO = 0.085</t>
  </si>
  <si>
    <t>JJ-JRJ-014</t>
  </si>
  <si>
    <t>Haskin L. A. and Salpas P. A. (1992) Genesis of compositional characteristics of Stillwater AN-I and AN-II thick anorthositic units. Geochim. Cosmochim. Acta 56, 1187-1212. Sample was labeled S2-104, closest sample in paper is S2-107 (this data)</t>
  </si>
  <si>
    <t>Xirouchakis D., Draper S. D., Schwandt C. S., and Lanzirotti A. (2002) Crystallization conditions of Los Angeles, a basaltic Martian meteorite. Geochim. Cosmochim. Acta 66, 1867-1880.</t>
  </si>
  <si>
    <t>S: 0.00-0.05 %</t>
  </si>
  <si>
    <t>Stolper and McSween (1979) Geochim. Cosmochim. Acta 43, 1475-1498</t>
  </si>
  <si>
    <t>AC-PCP-001</t>
  </si>
  <si>
    <t>AC-PCP-009</t>
  </si>
  <si>
    <t>AC-PCP-007</t>
  </si>
  <si>
    <t>AC-PCP-004</t>
  </si>
  <si>
    <t>AC-PCP-012</t>
  </si>
  <si>
    <t>AC-PCP-002</t>
  </si>
  <si>
    <t>AC-PCP-003</t>
  </si>
  <si>
    <t>AC-PCP-005</t>
  </si>
  <si>
    <t>AC-PCP-006</t>
  </si>
  <si>
    <t>AC-PCP-008</t>
  </si>
  <si>
    <t>AC-PCP-010</t>
  </si>
  <si>
    <t>AC-PCP-011</t>
  </si>
  <si>
    <t>SR-JFM-041</t>
  </si>
  <si>
    <t>LAB</t>
  </si>
  <si>
    <t>SR-JFM-042</t>
  </si>
  <si>
    <t>DIO</t>
  </si>
  <si>
    <t>SR-JFM-043</t>
  </si>
  <si>
    <t>FOR</t>
  </si>
  <si>
    <t>SR-JFM-044</t>
  </si>
  <si>
    <t>AND</t>
  </si>
  <si>
    <t>SR-JFM-045</t>
  </si>
  <si>
    <t>MIC</t>
  </si>
  <si>
    <t>SR-JFM-046</t>
  </si>
  <si>
    <t>OLG</t>
  </si>
  <si>
    <t>SR-JFM-047</t>
  </si>
  <si>
    <t>ALB</t>
  </si>
  <si>
    <t>SR-JFM-048</t>
  </si>
  <si>
    <t>SR-JFM-049</t>
  </si>
  <si>
    <t>MM-MEM-063</t>
  </si>
  <si>
    <t>Arizona State Univ. Jeol 845 scanning electron microscope w/EDS</t>
  </si>
  <si>
    <t>Qualitative coating composition</t>
  </si>
  <si>
    <t>MM-MEM-064</t>
  </si>
  <si>
    <t>MM-MEM-065</t>
  </si>
  <si>
    <t>MM-MEM-066</t>
  </si>
  <si>
    <t>Qualitative coating composition, S: 2 %</t>
  </si>
  <si>
    <t>MM-MEM-067</t>
  </si>
  <si>
    <t>Qualitative coating composition, S: 1.2 %</t>
  </si>
  <si>
    <t>MM-MEM-068</t>
  </si>
  <si>
    <t>Basalt glass 100%</t>
  </si>
  <si>
    <t>SR-EAC-011</t>
  </si>
  <si>
    <t>Pranoti Asher at Univ. of Connecticut, USA</t>
  </si>
  <si>
    <t>Sr 17 ppm, Zr 8 ppm, Cr 1865 ppm, Rb 21 ppm, Y 6 ppm, Ba 28 ppm</t>
  </si>
  <si>
    <t>SR-EAC-012</t>
  </si>
  <si>
    <t>Sr 5 ppm, Zr 6 ppm, Cr 2820 ppm, Rb 4 ppm, Ba 38 ppm</t>
  </si>
  <si>
    <t>SR-EAC-013</t>
  </si>
  <si>
    <t>Sr 2 ppm, Zr 10 ppm, Cr 2750 ppm, Rb 3 ppm, Ba 26 ppm</t>
  </si>
  <si>
    <t>SR-EAC-014</t>
  </si>
  <si>
    <t>Sr 4 ppm, Zr 6 ppm, Cr 1835 ppm, Rb 3 ppm, Ba 12 ppm</t>
  </si>
  <si>
    <t>SR-EAC-015</t>
  </si>
  <si>
    <t>Sr 2 ppm, Zr 6 ppm, Cr 2682 ppm, Rb 3 ppm, Ba 35 ppm</t>
  </si>
  <si>
    <t>SR-EAC-016</t>
  </si>
  <si>
    <t>Sr 9 ppm, Zr 3 ppm, Cr 2337 ppm, Rb 7 ppm, Nb 6 ppm, Ba 8 ppm</t>
  </si>
  <si>
    <t>SR-EAC-017</t>
  </si>
  <si>
    <t>Zr 7 ppm, Cr 2260 ppm, Y 1 ppm, Ba 14 ppm</t>
  </si>
  <si>
    <t>SR-EAC-018</t>
  </si>
  <si>
    <t>Zr 6 ppm, Cr 3593 ppm, Rb 2 ppm, Y 2 ppm, Nb 2 ppm, Ba 12 ppm</t>
  </si>
  <si>
    <t>SR-EAC-019</t>
  </si>
  <si>
    <t>Zr 9 ppm, Cr 2705 ppm, Rb 2 ppm, Ba 37 ppm</t>
  </si>
  <si>
    <t>SR-EAC-020</t>
  </si>
  <si>
    <t>Sr 2 ppm, Zr 9 ppm, Cr 2632 ppm, Rb 5 ppm, Y 1 ppm, Ba 9 ppm</t>
  </si>
  <si>
    <t>SR-EAC-021</t>
  </si>
  <si>
    <t>Sr 3 ppm, Zr 6 ppm, Cr 2729 ppm, Rb 5 ppm, Ba 33 ppm</t>
  </si>
  <si>
    <t>SR-EAC-023</t>
  </si>
  <si>
    <t>Zr 6 ppm, Cr 929 ppm, Rb 3 ppm, Ba 18 ppm</t>
  </si>
  <si>
    <t>FB-JFM-031-3OP</t>
  </si>
  <si>
    <t>Zachary Morgan at Brown University</t>
  </si>
  <si>
    <t>FB-JFM-031-3CP</t>
  </si>
  <si>
    <t>FB-JFM-031-3OL</t>
  </si>
  <si>
    <t>SR-JFM-050</t>
  </si>
  <si>
    <t>Arizona State Univ.</t>
  </si>
  <si>
    <t>SR-JFM-051</t>
  </si>
  <si>
    <t>SR-JFM-053</t>
  </si>
  <si>
    <t>SR-JFM-054</t>
  </si>
  <si>
    <t>SR-JFM-057</t>
  </si>
  <si>
    <t>ATH</t>
  </si>
  <si>
    <t>SR-JFM-058</t>
  </si>
  <si>
    <t>SR-JFM-059</t>
  </si>
  <si>
    <t>CLC</t>
  </si>
  <si>
    <t>SR-JFM-060</t>
  </si>
  <si>
    <t>SR-JFM-061</t>
  </si>
  <si>
    <t>QTZ</t>
  </si>
  <si>
    <t>SR-JFM-062</t>
  </si>
  <si>
    <t>SR-JFM-063</t>
  </si>
  <si>
    <t>MHT</t>
  </si>
  <si>
    <t>SR-JFM-064</t>
  </si>
  <si>
    <t>SR-JFM-065</t>
  </si>
  <si>
    <t>ALM</t>
  </si>
  <si>
    <t>SR-JFM-066</t>
  </si>
  <si>
    <t>ANC</t>
  </si>
  <si>
    <t>SR-JFM-067</t>
  </si>
  <si>
    <t>PYM</t>
  </si>
  <si>
    <t>SR-JFM-068</t>
  </si>
  <si>
    <t>CHL</t>
  </si>
  <si>
    <t>SR-JFM-069</t>
  </si>
  <si>
    <t>SR-JFM-070</t>
  </si>
  <si>
    <t>WOL</t>
  </si>
  <si>
    <t>SR-JFM-071</t>
  </si>
  <si>
    <t>MUS</t>
  </si>
  <si>
    <t>SR-JFM-074</t>
  </si>
  <si>
    <t>SR-JFM-075</t>
  </si>
  <si>
    <t>H2O: 0.10 %</t>
  </si>
  <si>
    <t>RM-HYM-061</t>
  </si>
  <si>
    <t>Smithsonian Institution Dept. of Mineral Sci. &amp; Univ. Tennessee</t>
  </si>
  <si>
    <t>FAY</t>
  </si>
  <si>
    <t>RM-HYM-063</t>
  </si>
  <si>
    <t>JM-TGS-070</t>
  </si>
  <si>
    <t>Washington State Univ.</t>
  </si>
  <si>
    <t>JM-TGS-072</t>
  </si>
  <si>
    <t>Smithsonian Institution, E. J. Jarosewich</t>
  </si>
  <si>
    <t>Fo 90.5 Fa 9.5</t>
  </si>
  <si>
    <t>HYP</t>
  </si>
  <si>
    <t>H2O 0.00 %, En 73.6 Fs 23.5 Wo 3.0</t>
  </si>
  <si>
    <t>H2O 0.04 %, En 52.7 Fs 11.4 Wo 36.0</t>
  </si>
  <si>
    <t>H2O 0.05 %, An 67.7 Ab 31.2 Or 1.1</t>
  </si>
  <si>
    <t>DD-MDD-099</t>
  </si>
  <si>
    <t>Martha Schaeffer</t>
  </si>
  <si>
    <t>DD-MDD-100</t>
  </si>
  <si>
    <t>DD-MDD-101</t>
  </si>
  <si>
    <t>AL-EAC-002</t>
  </si>
  <si>
    <t>ALL</t>
  </si>
  <si>
    <t>XRRF by Stan Mertzman - Franklin and Marshall College</t>
  </si>
  <si>
    <t>SO3: 0.23 %, Zr: 10 ppm, Sr: 35 ppm, Cr: &lt;5 ppm</t>
  </si>
  <si>
    <t>EA-EAC-019-A</t>
  </si>
  <si>
    <t>CEL</t>
  </si>
  <si>
    <t>Zr: 40 ppm, Sr: 20 ppm, Cr: 25 ppm</t>
  </si>
  <si>
    <t>CH-EAC-016</t>
  </si>
  <si>
    <t>CHM</t>
  </si>
  <si>
    <t>Zr: 197 ppm, Sr: 101 ppm, Cr: 370 ppm</t>
  </si>
  <si>
    <t>EA-EAC-022-A</t>
  </si>
  <si>
    <t>CHY</t>
  </si>
  <si>
    <t>Zr: 30 ppm, Sr: 205 ppm, Cr: 35 ppm</t>
  </si>
  <si>
    <t>EA-EAC-014</t>
  </si>
  <si>
    <t>SO3: 0.32 %, Zr: 15 ppm, Sr: 8 ppm, Cr: 375 ppm</t>
  </si>
  <si>
    <t>HA-EAC-001</t>
  </si>
  <si>
    <t>HAL</t>
  </si>
  <si>
    <t>Zr: 15 ppm, Sr: 20 ppm, Cr: 145 ppm</t>
  </si>
  <si>
    <t>EA-EAC-031-A</t>
  </si>
  <si>
    <t>PHL</t>
  </si>
  <si>
    <t>Zr: 20 ppm, Sr: 125 ppm, Cr: 10 ppm</t>
  </si>
  <si>
    <t>SA-EAC-059</t>
  </si>
  <si>
    <t>SAP</t>
  </si>
  <si>
    <t>Zr: 53 ppm, Sr: 186 ppm, Cr: 72 ppm</t>
  </si>
  <si>
    <t>EA-EAC-015</t>
  </si>
  <si>
    <t>TLC</t>
  </si>
  <si>
    <t>SO3: 0.25 %, Zr: 54 ppm, Sr: 25 ppm, Cr: 3 ppm</t>
  </si>
  <si>
    <t>OG-CMA-001</t>
  </si>
  <si>
    <t>ORG</t>
  </si>
  <si>
    <t>C: 66.5 %, H: 3.3 %, N: 2.5 %, O: 16.2 %, S: ~4 %, 8.4 wt% minerals</t>
  </si>
  <si>
    <t>PP-EJH-102-A</t>
  </si>
  <si>
    <t>J. De Grave et al. (2002)</t>
  </si>
  <si>
    <t>ER-TGS-001</t>
  </si>
  <si>
    <t>ASI</t>
  </si>
  <si>
    <t>ER-TGS-005</t>
  </si>
  <si>
    <t>Na 0.33 (Al 1.67 Mg 0.33) Si 4 O 10 (OH)2</t>
  </si>
  <si>
    <t>JG-JJG-001</t>
  </si>
  <si>
    <t>Sasha Krot</t>
  </si>
  <si>
    <t>IL-M1O-005</t>
  </si>
  <si>
    <t>SO3: 0.03 %, ZrO: 0.145 %</t>
  </si>
  <si>
    <t>DP-JNG-001-A</t>
  </si>
  <si>
    <t>Shukla A. D. et al. (2001) Proc. Indian Acad. Sci. (Earth Planet. Sci.) 110, 111-132.</t>
  </si>
  <si>
    <t>DP-JNG-002-A</t>
  </si>
  <si>
    <t>DP-JNG-003-A</t>
  </si>
  <si>
    <t>DP-JNG-004-A</t>
  </si>
  <si>
    <t>DP-JNG-005-A</t>
  </si>
  <si>
    <t>MT-TJM-068</t>
  </si>
  <si>
    <t>LR-CMP-144</t>
  </si>
  <si>
    <t>PGI, Taylor et al. Augute composition by Sarbadhikari et al.</t>
  </si>
  <si>
    <t>LR-CMP-145</t>
  </si>
  <si>
    <t>PGI, Taylor et al. Pigeonite composition by Sarbadhikari et al.</t>
  </si>
  <si>
    <t>LR-CMP-146</t>
  </si>
  <si>
    <t>PGI, Taylor et al.</t>
  </si>
  <si>
    <t>LR-CMP-147</t>
  </si>
  <si>
    <t>LR-CMP-148</t>
  </si>
  <si>
    <t>LR-CMP-149</t>
  </si>
  <si>
    <t>LR-CMP-150</t>
  </si>
  <si>
    <t>LR-CMP-151</t>
  </si>
  <si>
    <t>LR-CMP-152</t>
  </si>
  <si>
    <t>LR-CMP-160</t>
  </si>
  <si>
    <t>LR-CMP-161</t>
  </si>
  <si>
    <t>LR-CMP-162</t>
  </si>
  <si>
    <t>LR-CMP-163</t>
  </si>
  <si>
    <t>LR-CMP-164</t>
  </si>
  <si>
    <t>LR-CMP-165</t>
  </si>
  <si>
    <t>LR-CMP-166</t>
  </si>
  <si>
    <t>LR-CMP-167</t>
  </si>
  <si>
    <t>LR-CMP-154</t>
  </si>
  <si>
    <t>LR-CMP-156</t>
  </si>
  <si>
    <t>S: 0.175 %</t>
  </si>
  <si>
    <t>LR-CMP-158</t>
  </si>
  <si>
    <t>S: 0.15 %</t>
  </si>
  <si>
    <t>Jarosewich (1990)</t>
  </si>
  <si>
    <t>NT-MBW-004</t>
  </si>
  <si>
    <t>NON</t>
  </si>
  <si>
    <t>H2O: 5.3 %</t>
  </si>
  <si>
    <t>ER-TGS-013</t>
  </si>
  <si>
    <t>ER-TGS-014</t>
  </si>
  <si>
    <t>ER-TGS-015</t>
  </si>
  <si>
    <t>ER-TGS-016</t>
  </si>
  <si>
    <t>Analyzed by C. V. Clemency, Dept. of Geological Sci., SUNY, Buffalo, NY.</t>
  </si>
  <si>
    <t>F: 0.111 %, CO2: 1.33 %</t>
  </si>
  <si>
    <t>ER-TGS-017</t>
  </si>
  <si>
    <t>SIL</t>
  </si>
  <si>
    <t>PL-HYM-054</t>
  </si>
  <si>
    <t>Milam et al. 2004</t>
  </si>
  <si>
    <t>An 2</t>
  </si>
  <si>
    <t>An 51</t>
  </si>
  <si>
    <t>PL-HYM-056</t>
  </si>
  <si>
    <t>An 53</t>
  </si>
  <si>
    <t>PL-HYM-057</t>
  </si>
  <si>
    <t>An 68</t>
  </si>
  <si>
    <t>PL-HYM-058</t>
  </si>
  <si>
    <t>An 73</t>
  </si>
  <si>
    <t>PL-MDD-059</t>
  </si>
  <si>
    <t>MHC (Lundgaard et al. 2006)</t>
  </si>
  <si>
    <t>An 59.1</t>
  </si>
  <si>
    <t>PL-MDD-060</t>
  </si>
  <si>
    <t>PL-MDD-061</t>
  </si>
  <si>
    <t>An 58.1</t>
  </si>
  <si>
    <t>PL-MDD-062</t>
  </si>
  <si>
    <t>An 55</t>
  </si>
  <si>
    <t>PL-MDD-063</t>
  </si>
  <si>
    <t>An 55.2</t>
  </si>
  <si>
    <t>PL-MDD-064</t>
  </si>
  <si>
    <t>An 66.8</t>
  </si>
  <si>
    <t>PL-MDD-065</t>
  </si>
  <si>
    <t>An 62.6</t>
  </si>
  <si>
    <t>AA-A1S-001</t>
  </si>
  <si>
    <t>ANN</t>
  </si>
  <si>
    <t>Calculated composition (NH4)2Fe6[Si6Al2O20]OH4</t>
  </si>
  <si>
    <t>(NH4)2O: 5.308 %, H2O: 3.669 %</t>
  </si>
  <si>
    <t>AA-A1S-002</t>
  </si>
  <si>
    <t>Calculated composition (NH4)2(Fe2+)4(Fe3+)2[Si6Al4O20]OH4</t>
  </si>
  <si>
    <t>AA-A1S-003</t>
  </si>
  <si>
    <t>Calculated composition (NH4)2(Fe2+)5.3(Fe3+)0.7[Si5.3Al2.7O20]OH4</t>
  </si>
  <si>
    <t>(NH4)2O: 5.312 %, H2O: 3.671 %</t>
  </si>
  <si>
    <t>AA-A1S-004</t>
  </si>
  <si>
    <t>Calculated composition (NH4)2Ni4Al2[Si4Al4O20]F4</t>
  </si>
  <si>
    <t>NiO: 30.09 %, NH4F: 14.92 %</t>
  </si>
  <si>
    <t>DB-ACM-001</t>
  </si>
  <si>
    <t>All Fe reported as Fe2O3</t>
  </si>
  <si>
    <t>UH-MBW-001</t>
  </si>
  <si>
    <t>UH-MBW-002</t>
  </si>
  <si>
    <t>UH-MBW-003</t>
  </si>
  <si>
    <t>UH-MBW-004</t>
  </si>
  <si>
    <t>UH-MBW-005</t>
  </si>
  <si>
    <t>UH-MBW-006</t>
  </si>
  <si>
    <t>UH-MBW-007</t>
  </si>
  <si>
    <t>UH-MBW-008</t>
  </si>
  <si>
    <t>UH-MBW-009</t>
  </si>
  <si>
    <t>UH-MBW-010</t>
  </si>
  <si>
    <t>UH-MBW-011</t>
  </si>
  <si>
    <t>UH-MBW-012</t>
  </si>
  <si>
    <t>KK-KRK-001</t>
  </si>
  <si>
    <t>Taken from Deer, Howie, and Zussman.</t>
  </si>
  <si>
    <t>H2O: 0.07 wt%</t>
  </si>
  <si>
    <t>PX-DWS-013</t>
  </si>
  <si>
    <t>AEG</t>
  </si>
  <si>
    <t>PX-DWS-014</t>
  </si>
  <si>
    <t>SPO</t>
  </si>
  <si>
    <t>H2O+: 0.28 wt%</t>
  </si>
  <si>
    <t>PX-DWS-015</t>
  </si>
  <si>
    <t>JAD</t>
  </si>
  <si>
    <t>H2O+: 0.20, H2O: 0.05 wt%</t>
  </si>
  <si>
    <t>GS-MDD-035-A</t>
  </si>
  <si>
    <t>GS-MDD-036-A</t>
  </si>
  <si>
    <t>GS-MDD-037-A</t>
  </si>
  <si>
    <t>GS-MDD-038-A</t>
  </si>
  <si>
    <t>GS-MDD-039-A</t>
  </si>
  <si>
    <t>JG-JJG-003</t>
  </si>
  <si>
    <t>University of Hawaii electron microprobe</t>
  </si>
  <si>
    <t>JG-JJG-004</t>
  </si>
  <si>
    <t>JG-JJG-005</t>
  </si>
  <si>
    <t>JG-JJG-006</t>
  </si>
  <si>
    <t>GS-MDD-040-A</t>
  </si>
  <si>
    <t>GS-MDD-041-A</t>
  </si>
  <si>
    <t>H2O: 1.44 wt%</t>
  </si>
  <si>
    <t>GS-MDD-042-A</t>
  </si>
  <si>
    <t>H2O: 0.31 wt%</t>
  </si>
  <si>
    <t>GS-MDD-043-A</t>
  </si>
  <si>
    <t>H2O: 1.24 wt%</t>
  </si>
  <si>
    <t>UH-MBW-065-R</t>
  </si>
  <si>
    <t>V2O3: 0.03, NiO: 0.01, ZnO: 0.012, SO3: 0.09, Cl: 0.028, BaO: 0.023, SrO: 0.0192, CuO: 0.015, Rb2O: 0.0099, Y2O3: 0.003 wt%</t>
  </si>
  <si>
    <t>UH-MBW-065-S</t>
  </si>
  <si>
    <t>V2O3: 0.03, NiO: 0.007, ZnO: 0.009, SO3: 0.035, Cl: 0.017, BaO: 0.04, SrO: 0.018, CuO: 0.01, Rb2O: 0.005, Y2O3: 0.003 wt%</t>
  </si>
  <si>
    <t>UH-MBW-066-R</t>
  </si>
  <si>
    <t>V2O3: 0.033, NiO: 0.009, ZnO: 0.01, SO3: 0.055, Cl: 0.047, BaO: 0.036, SrO: 0.02, CuO: 0.016, Rb2O: 0.006, Y2O3: 0.003 wt%</t>
  </si>
  <si>
    <t>UH-MBW-066-S</t>
  </si>
  <si>
    <t>V2O3: 0.033, NiO: 0.008, ZnO: 0.011, SO3: 0.04, Cl: 0.032, BaO: 0.043, SrO: 0.019, CuO: 0.016, Rb2O: 0.0068, Y2O3: 0.003 wt%</t>
  </si>
  <si>
    <t>UH-MBW-067-R</t>
  </si>
  <si>
    <t>V2O3: 0.047, NiO: 0.008, ZnO: 0.013, SO3: 0.09, Cl: 0.036, BaO: 0.05, SrO: 0.02, CuO: 0.014, Rb2O: 0.006, Y2O3: 0.003 wt%</t>
  </si>
  <si>
    <t>UH-MBW-067-S</t>
  </si>
  <si>
    <t>V2O3: 0.04, NiO: 0.009, ZnO: 0.009, SO3: 0.031, Cl: 0.036, BaO: 0.042, SrO: 0.017, CuO: 0.011, Rb2O: 0.006, Y2O3: 0.003 wt%</t>
  </si>
  <si>
    <t>MM-MEM-076-A</t>
  </si>
  <si>
    <t>Arizona State University electron microprobe facility</t>
  </si>
  <si>
    <t>MM-MEM-077</t>
  </si>
  <si>
    <t>MM-MEM-078</t>
  </si>
  <si>
    <t>MM-MEM-079</t>
  </si>
  <si>
    <t>MM-MEM-080</t>
  </si>
  <si>
    <t>SrO: 0.111, Cl: 0.022</t>
  </si>
  <si>
    <t>PL-H1T-115</t>
  </si>
  <si>
    <t>SO3: 0.01, NiO: 0.006, CuO: 0.004, Ga2O3: 0.002, SrO: 0.054</t>
  </si>
  <si>
    <t>MT-A1W-114</t>
  </si>
  <si>
    <t>NASA Johnson Space Center Cameca SX-100</t>
  </si>
  <si>
    <t>SO2: 0.4 wt%</t>
  </si>
  <si>
    <t>SO2: 0.02 wt%, En 3.8-57.3 Fs 26.5-74.8 Wo 2.6-18.4</t>
  </si>
  <si>
    <t>SO2: 0.02, NiO: 0.01 wt%, Ab 9.7-13.1 An 86.7-90.1 Or 0.1-0.4</t>
  </si>
  <si>
    <t>SO2: 0.01, NiO: 0.02 wt%</t>
  </si>
  <si>
    <t>TP-SWP-001</t>
  </si>
  <si>
    <t>Tabb Prissel, Brown Geological Sciences</t>
  </si>
  <si>
    <t>H2O: 1.39 wt%</t>
  </si>
  <si>
    <t>JE-JEE-001</t>
  </si>
  <si>
    <t>USGS mill sand analysis from the NU-LHT-2M TM (Meurer and Boudreau 1996)</t>
  </si>
  <si>
    <t>NiO: 0.29 wt%</t>
  </si>
  <si>
    <t>NiO: 0.04 wt%</t>
  </si>
  <si>
    <t>JE-JEE-010</t>
  </si>
  <si>
    <t>NASA Marshall Space Flight Center</t>
  </si>
  <si>
    <t>V2O3: 0.04, CoO: 0.01, NiO: 0.02 wt%</t>
  </si>
  <si>
    <t>TMG</t>
  </si>
  <si>
    <t>CB-EAC-009-A</t>
  </si>
  <si>
    <t>CAL</t>
  </si>
  <si>
    <t>Stan Mertzman-Franklin and Marshall College</t>
  </si>
  <si>
    <t>CB-EAC-012-A</t>
  </si>
  <si>
    <t>CB-EAC-014-A</t>
  </si>
  <si>
    <t>MGN</t>
  </si>
  <si>
    <t>CB-EAC-021-A</t>
  </si>
  <si>
    <t>ART</t>
  </si>
  <si>
    <t>CB-EAC-030-A</t>
  </si>
  <si>
    <t>MAN</t>
  </si>
  <si>
    <t>CB-EAC-033-A</t>
  </si>
  <si>
    <t>THE</t>
  </si>
  <si>
    <t>CB-EAC-034-A</t>
  </si>
  <si>
    <t>TRN</t>
  </si>
  <si>
    <t>CB-EAC-035-A</t>
  </si>
  <si>
    <t>HMG</t>
  </si>
  <si>
    <t>CB-EAC-037-A</t>
  </si>
  <si>
    <t>BRG</t>
  </si>
  <si>
    <t>JE-JEE-014</t>
  </si>
  <si>
    <t>USGS Denver</t>
  </si>
  <si>
    <t>H2O: 0.52, CO2: 0.05 wt%</t>
  </si>
  <si>
    <t>JE-JEE-015</t>
  </si>
  <si>
    <t>JE-JEE-017</t>
  </si>
  <si>
    <t>University of New Brunswick</t>
  </si>
  <si>
    <t>JE-JEE-018</t>
  </si>
  <si>
    <t>JE-JEE-019</t>
  </si>
  <si>
    <t>JAXA / Shimizu Corp.</t>
  </si>
  <si>
    <t>S: 0.01, H2O: 0.03 wt%</t>
  </si>
  <si>
    <t>JE-JEE-020</t>
  </si>
  <si>
    <t>H2O: 0.43 wt%</t>
  </si>
  <si>
    <t>JE-JEE-021</t>
  </si>
  <si>
    <t>S: 0.01, H2O: 0.38 wt%</t>
  </si>
  <si>
    <t>JE-JEE-022</t>
  </si>
  <si>
    <t>Orbital Technologies, Inc.</t>
  </si>
  <si>
    <t>JE-JEE-023</t>
  </si>
  <si>
    <t>Colorado School of Mines</t>
  </si>
  <si>
    <t>Beck and McSween (2010) MAPS 45, 850. Mittlefehldt et al. (2011) in press.</t>
  </si>
  <si>
    <t>JE-JEE-029</t>
  </si>
  <si>
    <t>V2O3: 0.04, CoO: 0.01, NiO: 0.02, ZnO: 0.01 wt%</t>
  </si>
  <si>
    <t>JE-JEE-030</t>
  </si>
  <si>
    <t>JE-JEE-032</t>
  </si>
  <si>
    <t>DW-MJR-001-A</t>
  </si>
  <si>
    <t>Common for all GG samples</t>
  </si>
  <si>
    <t>DW-MJR-007</t>
  </si>
  <si>
    <t>Common for all DTB samples</t>
  </si>
  <si>
    <t>DW-MJR-008</t>
  </si>
  <si>
    <t>Common for all ECH samples</t>
  </si>
  <si>
    <t>DW-MJR-010</t>
  </si>
  <si>
    <t>Common for all Alb samples</t>
  </si>
  <si>
    <t>PP-ALS-107</t>
  </si>
  <si>
    <t>American Museum of Natural History</t>
  </si>
  <si>
    <t>NiO: 0.010, ZnO: 0.011 wt%</t>
  </si>
  <si>
    <t>PP-ALS-108</t>
  </si>
  <si>
    <t>NiO: 0.027, ZnO: 0.008 wt%</t>
  </si>
  <si>
    <t>DW-MJR-030</t>
  </si>
  <si>
    <t>Common for all OG samples</t>
  </si>
  <si>
    <t>DW-MJR-031</t>
  </si>
  <si>
    <t>Common for all YG samples</t>
  </si>
  <si>
    <t>RM-REM-133</t>
  </si>
  <si>
    <t>HIS</t>
  </si>
  <si>
    <t>Eggleton T. and D. Tilley (1998) Hisingerite: A ferric kaolin mineral with curved morphology, Clays and Clay Minerals 46, 400-413.</t>
  </si>
  <si>
    <t>RM-REM-134</t>
  </si>
  <si>
    <t>RM-REM-136</t>
  </si>
  <si>
    <t>RM-REM-137</t>
  </si>
  <si>
    <t>RM-REM-138</t>
  </si>
  <si>
    <t>BP-MJR-001</t>
  </si>
  <si>
    <t>OL-JJG-019</t>
  </si>
  <si>
    <t>NiO: 0.0356905 wt%</t>
  </si>
  <si>
    <t>CP-JJG-001</t>
  </si>
  <si>
    <t>TP-SWP-007</t>
  </si>
  <si>
    <t>Prissel et al. (2014a)</t>
  </si>
  <si>
    <t>Mg#: 86.3, %An: 50.2</t>
  </si>
  <si>
    <t>TP-SWP-004</t>
  </si>
  <si>
    <t>Mg#: 86.0, %An: 74.1</t>
  </si>
  <si>
    <t>TP-SWP-009</t>
  </si>
  <si>
    <t>Mg#: 94.3</t>
  </si>
  <si>
    <t>Mg#: 82.8, Cr#: 17.1</t>
  </si>
  <si>
    <t>Mg#: 83</t>
  </si>
  <si>
    <t>TP-SWP-008</t>
  </si>
  <si>
    <t>QNC</t>
  </si>
  <si>
    <t>Mg#: 94</t>
  </si>
  <si>
    <t>TP-SWP-006</t>
  </si>
  <si>
    <t>Mg#: 91</t>
  </si>
  <si>
    <t>Mg#: 82</t>
  </si>
  <si>
    <t>TP-SWP-005</t>
  </si>
  <si>
    <t>Mg#: 86</t>
  </si>
  <si>
    <t>KC-JFM-014</t>
  </si>
  <si>
    <t>ALK starting composition</t>
  </si>
  <si>
    <t>KC-JFM-019</t>
  </si>
  <si>
    <t>BLK starting composition</t>
  </si>
  <si>
    <t>KC-JFM-024</t>
  </si>
  <si>
    <t>VUL starting composition</t>
  </si>
  <si>
    <t>KC-JFM-036-A</t>
  </si>
  <si>
    <t>MCY starting composition</t>
  </si>
  <si>
    <t>KC-JFM-037-A</t>
  </si>
  <si>
    <t>MCY_NoFe starting composition</t>
  </si>
  <si>
    <t>KC-JFM-038-A</t>
  </si>
  <si>
    <t>KC-JFM-039-A</t>
  </si>
  <si>
    <t>KC-JFM-040-A</t>
  </si>
  <si>
    <t>KC-JFM-041-A</t>
  </si>
  <si>
    <t>KC-JFM-042-A</t>
  </si>
  <si>
    <t>KC-JFM-043-A</t>
  </si>
  <si>
    <t>KC-JFM-044-A</t>
  </si>
  <si>
    <t>KC-JFM-045-A</t>
  </si>
  <si>
    <t>KC-JFM-046-A</t>
  </si>
  <si>
    <t>S2-: 0.95 wt%</t>
  </si>
  <si>
    <t>KC-JFM-047-A</t>
  </si>
  <si>
    <t>S2-: 0.93 wt%</t>
  </si>
  <si>
    <t>OL-JPE-020-A</t>
  </si>
  <si>
    <t>Jarosewich et al. (1980) Smithsonian Museum of Natural History</t>
  </si>
  <si>
    <t>DR-DLR-002</t>
  </si>
  <si>
    <t>Mn3O4: 0.19, P2O3: 0.1, SO3: 0.4, SrO: 0.02, ZrO2: 0.02, BaO: 0.1, NiO: 0.01, CuO: 0.01, ZnO: 0.01, PbO: 0.01, V2O5: 0.01, HfO2: 0.1, F: 0.1, Cl: 0.1 wt%</t>
  </si>
  <si>
    <t>ES-E1S-001</t>
  </si>
  <si>
    <t>XRF at Vernadsky Institute</t>
  </si>
  <si>
    <t>ES-E1S-002</t>
  </si>
  <si>
    <t>DD-MDD-128</t>
  </si>
  <si>
    <t>DD-MDD-129</t>
  </si>
  <si>
    <t>NiO: 0.01 wt%</t>
  </si>
  <si>
    <t>DD-MDD-130</t>
  </si>
  <si>
    <t>NiO: 0.25 wt%</t>
  </si>
  <si>
    <t>DD-MDD-131</t>
  </si>
  <si>
    <t>DD-MDD-132</t>
  </si>
  <si>
    <t>DD-MDD-133</t>
  </si>
  <si>
    <t>DD-MDD-134</t>
  </si>
  <si>
    <t>DD-MDD-135</t>
  </si>
  <si>
    <t>DD-MDD-136</t>
  </si>
  <si>
    <t>DD-MDD-137</t>
  </si>
  <si>
    <t>DD-MDD-138</t>
  </si>
  <si>
    <t>DD-MDD-139</t>
  </si>
  <si>
    <t>DD-MDD-140</t>
  </si>
  <si>
    <t>DD-MDD-141</t>
  </si>
  <si>
    <t>DD-MDD-142</t>
  </si>
  <si>
    <t>DD-MDD-143</t>
  </si>
  <si>
    <t>DD-MDD-144</t>
  </si>
  <si>
    <t>DD-MDD-145</t>
  </si>
  <si>
    <t>DD-MDD-146</t>
  </si>
  <si>
    <t>DD-MDD-147</t>
  </si>
  <si>
    <t>DD-MDD-148</t>
  </si>
  <si>
    <t>NiO: 0.07 wt%</t>
  </si>
  <si>
    <t>DD-MDD-149</t>
  </si>
  <si>
    <t>NiO: 0.11 wt%</t>
  </si>
  <si>
    <t>DD-MDD-150</t>
  </si>
  <si>
    <t>DD-MDD-153</t>
  </si>
  <si>
    <t>DD-MDD-154</t>
  </si>
  <si>
    <t>DD-MDD-155</t>
  </si>
  <si>
    <t>DD-MDD-156</t>
  </si>
  <si>
    <t>DD-MDD-157</t>
  </si>
  <si>
    <t>DD-MDD-159</t>
  </si>
  <si>
    <t>DD-MDD-160</t>
  </si>
  <si>
    <t>DD-MDD-161</t>
  </si>
  <si>
    <t>DD-MDD-162</t>
  </si>
  <si>
    <t>DD-MDD-163</t>
  </si>
  <si>
    <t>DD-MDD-164</t>
  </si>
  <si>
    <t>NiO: 0.02 wt%</t>
  </si>
  <si>
    <t>DD-MDD-165</t>
  </si>
  <si>
    <t>DD-MDD-166</t>
  </si>
  <si>
    <t>NiO: 0.06 wt%</t>
  </si>
  <si>
    <t>DD-MDD-167</t>
  </si>
  <si>
    <t>DD-MDD-168</t>
  </si>
  <si>
    <t>DD-MDD-169</t>
  </si>
  <si>
    <t>DD-MDD-170</t>
  </si>
  <si>
    <t>DD-MDD-171</t>
  </si>
  <si>
    <t>DD-MDD-172</t>
  </si>
  <si>
    <t>DD-MDD-173</t>
  </si>
  <si>
    <t>DD-MDD-174</t>
  </si>
  <si>
    <t>OL-RLK-028</t>
  </si>
  <si>
    <t>OL-RLK-021</t>
  </si>
  <si>
    <t>OL-RLK-022</t>
  </si>
  <si>
    <t>OL-RLK-023</t>
  </si>
  <si>
    <t>OL-RLK-024</t>
  </si>
  <si>
    <t>OL-RLK-026</t>
  </si>
  <si>
    <t>OL-RLK-027</t>
  </si>
  <si>
    <t>CK-JFM-001</t>
  </si>
  <si>
    <t>M. Darby Dyar, Mout Holyoke (S. A. Byrne et al., 2015, LPS 46, Abstract #1499)</t>
  </si>
  <si>
    <t>NiO: 0.43 wt%</t>
  </si>
  <si>
    <t>CK-JFM-002</t>
  </si>
  <si>
    <t>NiO: 0.34 wt%</t>
  </si>
  <si>
    <t>CK-JFM-003</t>
  </si>
  <si>
    <t>CK-JFM-004</t>
  </si>
  <si>
    <t>CK-JFM-005</t>
  </si>
  <si>
    <t>CK-JFM-006</t>
  </si>
  <si>
    <t>CK-JFM-007</t>
  </si>
  <si>
    <t>CS-DTB-009</t>
  </si>
  <si>
    <t>Exolith Lab - Center for Lunar and Asteroid Surface Science</t>
  </si>
  <si>
    <t>SO3: 4.9 wt%</t>
  </si>
</sst>
</file>

<file path=xl/styles.xml><?xml version="1.0" encoding="utf-8"?>
<styleSheet xmlns="http://schemas.openxmlformats.org/spreadsheetml/2006/main">
  <numFmts count="3">
    <numFmt numFmtId="165" formatCode="0.0"/>
    <numFmt numFmtId="168" formatCode="0.000000000"/>
    <numFmt numFmtId="169" formatCode="0.0000"/>
  </numFmts>
  <fonts count="13">
    <font>
      <sz val="9"/>
      <name val="Genev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Geneva"/>
      <charset val="1"/>
    </font>
    <font>
      <u/>
      <sz val="9"/>
      <color theme="10"/>
      <name val="Geneva"/>
      <family val="2"/>
    </font>
    <font>
      <b/>
      <sz val="9"/>
      <name val="Arial"/>
    </font>
    <font>
      <sz val="9"/>
      <name val="Arial"/>
    </font>
    <font>
      <u/>
      <sz val="9"/>
      <color theme="10"/>
      <name val="Arial"/>
    </font>
    <font>
      <sz val="9"/>
      <color indexed="8"/>
      <name val="Arial"/>
    </font>
    <font>
      <sz val="9"/>
      <color rgb="FF000000"/>
      <name val="Arial"/>
    </font>
    <font>
      <sz val="9"/>
      <name val="Arial"/>
      <family val="2"/>
    </font>
    <font>
      <b/>
      <sz val="9"/>
      <color rgb="FF000000"/>
      <name val="Arial"/>
    </font>
    <font>
      <sz val="11"/>
      <color rgb="FF444444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BDBDB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63">
    <xf numFmtId="0" fontId="0" fillId="0" borderId="0" xfId="0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/>
    <xf numFmtId="0" fontId="6" fillId="2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6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7" fillId="9" borderId="0" xfId="2" applyFont="1" applyFill="1" applyBorder="1" applyAlignment="1">
      <alignment vertical="center"/>
    </xf>
    <xf numFmtId="2" fontId="6" fillId="6" borderId="0" xfId="0" applyNumberFormat="1" applyFont="1" applyFill="1" applyAlignment="1">
      <alignment vertical="center"/>
    </xf>
    <xf numFmtId="2" fontId="6" fillId="9" borderId="0" xfId="0" applyNumberFormat="1" applyFont="1" applyFill="1" applyAlignment="1">
      <alignment vertical="center"/>
    </xf>
    <xf numFmtId="2" fontId="6" fillId="0" borderId="0" xfId="0" applyNumberFormat="1" applyFont="1" applyAlignment="1">
      <alignment vertical="center"/>
    </xf>
    <xf numFmtId="2" fontId="6" fillId="7" borderId="0" xfId="0" applyNumberFormat="1" applyFont="1" applyFill="1" applyAlignment="1">
      <alignment vertical="center"/>
    </xf>
    <xf numFmtId="0" fontId="6" fillId="10" borderId="0" xfId="0" applyFont="1" applyFill="1" applyAlignment="1">
      <alignment vertical="center"/>
    </xf>
    <xf numFmtId="2" fontId="6" fillId="10" borderId="0" xfId="0" applyNumberFormat="1" applyFont="1" applyFill="1" applyAlignment="1">
      <alignment vertical="center"/>
    </xf>
    <xf numFmtId="0" fontId="6" fillId="11" borderId="0" xfId="0" applyFont="1" applyFill="1" applyAlignment="1">
      <alignment vertical="center"/>
    </xf>
    <xf numFmtId="0" fontId="6" fillId="12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7" fillId="3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2" fontId="6" fillId="8" borderId="0" xfId="0" applyNumberFormat="1" applyFont="1" applyFill="1" applyAlignment="1">
      <alignment vertical="center"/>
    </xf>
    <xf numFmtId="2" fontId="6" fillId="4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vertical="center"/>
    </xf>
    <xf numFmtId="2" fontId="6" fillId="5" borderId="0" xfId="0" applyNumberFormat="1" applyFont="1" applyFill="1" applyAlignment="1">
      <alignment vertical="center"/>
    </xf>
    <xf numFmtId="2" fontId="8" fillId="12" borderId="0" xfId="0" applyNumberFormat="1" applyFont="1" applyFill="1" applyAlignment="1">
      <alignment vertical="center"/>
    </xf>
    <xf numFmtId="2" fontId="6" fillId="12" borderId="0" xfId="0" applyNumberFormat="1" applyFont="1" applyFill="1" applyAlignment="1">
      <alignment vertical="center"/>
    </xf>
    <xf numFmtId="2" fontId="6" fillId="11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9" fillId="4" borderId="0" xfId="0" applyFont="1" applyFill="1" applyAlignment="1">
      <alignment vertical="center"/>
    </xf>
    <xf numFmtId="49" fontId="6" fillId="6" borderId="0" xfId="0" applyNumberFormat="1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165" fontId="6" fillId="6" borderId="0" xfId="0" applyNumberFormat="1" applyFont="1" applyFill="1"/>
    <xf numFmtId="0" fontId="6" fillId="6" borderId="0" xfId="0" applyFont="1" applyFill="1"/>
    <xf numFmtId="0" fontId="10" fillId="6" borderId="0" xfId="0" applyFont="1" applyFill="1" applyAlignment="1">
      <alignment vertical="center"/>
    </xf>
    <xf numFmtId="0" fontId="7" fillId="6" borderId="0" xfId="2" applyFont="1" applyFill="1" applyBorder="1" applyAlignment="1">
      <alignment vertical="center"/>
    </xf>
    <xf numFmtId="49" fontId="6" fillId="7" borderId="0" xfId="0" applyNumberFormat="1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165" fontId="6" fillId="7" borderId="0" xfId="0" applyNumberFormat="1" applyFont="1" applyFill="1" applyAlignment="1">
      <alignment vertical="center"/>
    </xf>
    <xf numFmtId="165" fontId="6" fillId="7" borderId="0" xfId="0" applyNumberFormat="1" applyFont="1" applyFill="1"/>
    <xf numFmtId="0" fontId="6" fillId="7" borderId="0" xfId="0" applyFont="1" applyFill="1"/>
    <xf numFmtId="0" fontId="7" fillId="7" borderId="0" xfId="2" applyFont="1" applyFill="1" applyBorder="1" applyAlignment="1">
      <alignment vertical="center"/>
    </xf>
    <xf numFmtId="168" fontId="6" fillId="7" borderId="0" xfId="0" applyNumberFormat="1" applyFont="1" applyFill="1" applyAlignment="1">
      <alignment vertical="center"/>
    </xf>
    <xf numFmtId="0" fontId="9" fillId="7" borderId="0" xfId="0" applyFont="1" applyFill="1" applyAlignment="1">
      <alignment vertical="center"/>
    </xf>
    <xf numFmtId="49" fontId="6" fillId="11" borderId="0" xfId="0" applyNumberFormat="1" applyFont="1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65" fontId="6" fillId="11" borderId="0" xfId="0" applyNumberFormat="1" applyFont="1" applyFill="1" applyAlignment="1">
      <alignment vertical="center"/>
    </xf>
    <xf numFmtId="165" fontId="6" fillId="11" borderId="0" xfId="0" applyNumberFormat="1" applyFont="1" applyFill="1"/>
    <xf numFmtId="0" fontId="7" fillId="11" borderId="0" xfId="2" applyFont="1" applyFill="1" applyBorder="1" applyAlignment="1">
      <alignment vertical="center"/>
    </xf>
    <xf numFmtId="0" fontId="6" fillId="11" borderId="0" xfId="0" applyFont="1" applyFill="1"/>
    <xf numFmtId="49" fontId="6" fillId="12" borderId="0" xfId="0" applyNumberFormat="1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165" fontId="6" fillId="12" borderId="0" xfId="0" applyNumberFormat="1" applyFont="1" applyFill="1"/>
    <xf numFmtId="0" fontId="7" fillId="12" borderId="0" xfId="2" applyFont="1" applyFill="1" applyBorder="1" applyAlignment="1">
      <alignment vertical="center"/>
    </xf>
    <xf numFmtId="0" fontId="6" fillId="12" borderId="0" xfId="0" applyFont="1" applyFill="1"/>
    <xf numFmtId="49" fontId="6" fillId="10" borderId="0" xfId="0" applyNumberFormat="1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165" fontId="6" fillId="10" borderId="0" xfId="0" applyNumberFormat="1" applyFont="1" applyFill="1"/>
    <xf numFmtId="0" fontId="6" fillId="10" borderId="0" xfId="0" applyFont="1" applyFill="1"/>
    <xf numFmtId="0" fontId="9" fillId="10" borderId="0" xfId="2" applyFont="1" applyFill="1" applyBorder="1" applyAlignment="1">
      <alignment vertical="center"/>
    </xf>
    <xf numFmtId="49" fontId="6" fillId="9" borderId="0" xfId="0" applyNumberFormat="1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165" fontId="6" fillId="9" borderId="0" xfId="0" applyNumberFormat="1" applyFont="1" applyFill="1" applyAlignment="1">
      <alignment vertical="center"/>
    </xf>
    <xf numFmtId="165" fontId="6" fillId="9" borderId="0" xfId="0" applyNumberFormat="1" applyFont="1" applyFill="1"/>
    <xf numFmtId="0" fontId="6" fillId="9" borderId="0" xfId="0" applyFont="1" applyFill="1"/>
    <xf numFmtId="0" fontId="6" fillId="9" borderId="0" xfId="0" applyFont="1" applyFill="1" applyAlignment="1">
      <alignment vertical="center" wrapText="1"/>
    </xf>
    <xf numFmtId="165" fontId="6" fillId="5" borderId="0" xfId="0" applyNumberFormat="1" applyFont="1" applyFill="1" applyAlignment="1">
      <alignment vertical="center"/>
    </xf>
    <xf numFmtId="165" fontId="6" fillId="5" borderId="0" xfId="0" applyNumberFormat="1" applyFont="1" applyFill="1"/>
    <xf numFmtId="49" fontId="6" fillId="5" borderId="0" xfId="0" applyNumberFormat="1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/>
    <xf numFmtId="0" fontId="6" fillId="5" borderId="0" xfId="0" applyFont="1" applyFill="1" applyAlignment="1">
      <alignment vertical="center" wrapText="1"/>
    </xf>
    <xf numFmtId="49" fontId="6" fillId="8" borderId="0" xfId="0" applyNumberFormat="1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5" fontId="6" fillId="8" borderId="0" xfId="0" applyNumberFormat="1" applyFont="1" applyFill="1" applyAlignment="1">
      <alignment vertical="center"/>
    </xf>
    <xf numFmtId="165" fontId="6" fillId="8" borderId="0" xfId="0" applyNumberFormat="1" applyFont="1" applyFill="1"/>
    <xf numFmtId="0" fontId="6" fillId="8" borderId="0" xfId="0" applyFont="1" applyFill="1"/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right" vertical="center"/>
    </xf>
    <xf numFmtId="0" fontId="9" fillId="8" borderId="0" xfId="0" applyFont="1" applyFill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49" fontId="6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165" fontId="6" fillId="3" borderId="0" xfId="0" applyNumberFormat="1" applyFont="1" applyFill="1" applyAlignment="1">
      <alignment vertical="center"/>
    </xf>
    <xf numFmtId="165" fontId="6" fillId="3" borderId="0" xfId="0" applyNumberFormat="1" applyFont="1" applyFill="1"/>
    <xf numFmtId="0" fontId="6" fillId="3" borderId="0" xfId="0" applyFont="1" applyFill="1"/>
    <xf numFmtId="1" fontId="6" fillId="3" borderId="0" xfId="0" applyNumberFormat="1" applyFont="1" applyFill="1" applyAlignment="1">
      <alignment horizontal="right" vertical="center"/>
    </xf>
    <xf numFmtId="0" fontId="10" fillId="3" borderId="0" xfId="0" applyFont="1" applyFill="1" applyAlignment="1">
      <alignment vertical="center"/>
    </xf>
    <xf numFmtId="49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5" fontId="6" fillId="2" borderId="0" xfId="0" applyNumberFormat="1" applyFont="1" applyFill="1" applyAlignment="1">
      <alignment vertical="center"/>
    </xf>
    <xf numFmtId="165" fontId="6" fillId="2" borderId="0" xfId="0" applyNumberFormat="1" applyFont="1" applyFill="1"/>
    <xf numFmtId="0" fontId="6" fillId="2" borderId="0" xfId="0" applyFont="1" applyFill="1"/>
    <xf numFmtId="49" fontId="6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165" fontId="6" fillId="4" borderId="0" xfId="0" applyNumberFormat="1" applyFont="1" applyFill="1" applyAlignment="1">
      <alignment vertical="center"/>
    </xf>
    <xf numFmtId="165" fontId="6" fillId="4" borderId="0" xfId="0" applyNumberFormat="1" applyFont="1" applyFill="1"/>
    <xf numFmtId="0" fontId="6" fillId="4" borderId="0" xfId="0" applyFont="1" applyFill="1"/>
    <xf numFmtId="0" fontId="9" fillId="4" borderId="0" xfId="0" applyFont="1" applyFill="1" applyAlignment="1">
      <alignment wrapText="1"/>
    </xf>
    <xf numFmtId="0" fontId="7" fillId="4" borderId="0" xfId="2" applyFont="1" applyFill="1" applyBorder="1" applyAlignment="1">
      <alignment vertical="center"/>
    </xf>
    <xf numFmtId="49" fontId="9" fillId="4" borderId="0" xfId="0" applyNumberFormat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165" fontId="9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6" borderId="7" xfId="0" applyNumberFormat="1" applyFont="1" applyFill="1" applyBorder="1" applyAlignment="1">
      <alignment vertical="center"/>
    </xf>
    <xf numFmtId="165" fontId="6" fillId="6" borderId="8" xfId="0" applyNumberFormat="1" applyFont="1" applyFill="1" applyBorder="1"/>
    <xf numFmtId="165" fontId="6" fillId="7" borderId="7" xfId="0" applyNumberFormat="1" applyFont="1" applyFill="1" applyBorder="1" applyAlignment="1">
      <alignment vertical="center"/>
    </xf>
    <xf numFmtId="165" fontId="6" fillId="7" borderId="8" xfId="0" applyNumberFormat="1" applyFont="1" applyFill="1" applyBorder="1"/>
    <xf numFmtId="165" fontId="6" fillId="11" borderId="7" xfId="0" applyNumberFormat="1" applyFont="1" applyFill="1" applyBorder="1" applyAlignment="1">
      <alignment vertical="center"/>
    </xf>
    <xf numFmtId="165" fontId="6" fillId="11" borderId="8" xfId="0" applyNumberFormat="1" applyFont="1" applyFill="1" applyBorder="1"/>
    <xf numFmtId="165" fontId="6" fillId="12" borderId="7" xfId="0" applyNumberFormat="1" applyFont="1" applyFill="1" applyBorder="1" applyAlignment="1">
      <alignment vertical="center"/>
    </xf>
    <xf numFmtId="165" fontId="6" fillId="12" borderId="8" xfId="0" applyNumberFormat="1" applyFont="1" applyFill="1" applyBorder="1"/>
    <xf numFmtId="165" fontId="6" fillId="10" borderId="7" xfId="0" applyNumberFormat="1" applyFont="1" applyFill="1" applyBorder="1" applyAlignment="1">
      <alignment vertical="center"/>
    </xf>
    <xf numFmtId="165" fontId="6" fillId="10" borderId="8" xfId="0" applyNumberFormat="1" applyFont="1" applyFill="1" applyBorder="1"/>
    <xf numFmtId="165" fontId="6" fillId="9" borderId="7" xfId="0" applyNumberFormat="1" applyFont="1" applyFill="1" applyBorder="1" applyAlignment="1">
      <alignment vertical="center"/>
    </xf>
    <xf numFmtId="165" fontId="6" fillId="9" borderId="8" xfId="0" applyNumberFormat="1" applyFont="1" applyFill="1" applyBorder="1"/>
    <xf numFmtId="165" fontId="6" fillId="5" borderId="7" xfId="0" applyNumberFormat="1" applyFont="1" applyFill="1" applyBorder="1" applyAlignment="1">
      <alignment vertical="center"/>
    </xf>
    <xf numFmtId="165" fontId="6" fillId="5" borderId="8" xfId="0" applyNumberFormat="1" applyFont="1" applyFill="1" applyBorder="1" applyAlignment="1">
      <alignment vertical="center"/>
    </xf>
    <xf numFmtId="165" fontId="6" fillId="5" borderId="8" xfId="0" applyNumberFormat="1" applyFont="1" applyFill="1" applyBorder="1"/>
    <xf numFmtId="165" fontId="6" fillId="8" borderId="7" xfId="0" applyNumberFormat="1" applyFont="1" applyFill="1" applyBorder="1" applyAlignment="1">
      <alignment vertical="center"/>
    </xf>
    <xf numFmtId="165" fontId="6" fillId="8" borderId="8" xfId="0" applyNumberFormat="1" applyFont="1" applyFill="1" applyBorder="1"/>
    <xf numFmtId="165" fontId="6" fillId="3" borderId="7" xfId="0" applyNumberFormat="1" applyFont="1" applyFill="1" applyBorder="1" applyAlignment="1">
      <alignment vertical="center"/>
    </xf>
    <xf numFmtId="165" fontId="6" fillId="3" borderId="8" xfId="0" applyNumberFormat="1" applyFont="1" applyFill="1" applyBorder="1"/>
    <xf numFmtId="165" fontId="6" fillId="2" borderId="7" xfId="0" applyNumberFormat="1" applyFont="1" applyFill="1" applyBorder="1" applyAlignment="1">
      <alignment vertical="center"/>
    </xf>
    <xf numFmtId="165" fontId="6" fillId="2" borderId="8" xfId="0" applyNumberFormat="1" applyFont="1" applyFill="1" applyBorder="1" applyAlignment="1">
      <alignment vertical="center"/>
    </xf>
    <xf numFmtId="165" fontId="6" fillId="2" borderId="8" xfId="0" applyNumberFormat="1" applyFont="1" applyFill="1" applyBorder="1"/>
    <xf numFmtId="165" fontId="6" fillId="4" borderId="7" xfId="0" applyNumberFormat="1" applyFont="1" applyFill="1" applyBorder="1" applyAlignment="1">
      <alignment vertical="center"/>
    </xf>
    <xf numFmtId="165" fontId="6" fillId="4" borderId="8" xfId="0" applyNumberFormat="1" applyFont="1" applyFill="1" applyBorder="1"/>
    <xf numFmtId="165" fontId="9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5" fontId="6" fillId="4" borderId="3" xfId="0" applyNumberFormat="1" applyFont="1" applyFill="1" applyBorder="1" applyAlignment="1">
      <alignment vertical="center"/>
    </xf>
    <xf numFmtId="165" fontId="6" fillId="4" borderId="3" xfId="0" applyNumberFormat="1" applyFont="1" applyFill="1" applyBorder="1"/>
    <xf numFmtId="165" fontId="6" fillId="4" borderId="4" xfId="0" applyNumberFormat="1" applyFont="1" applyFill="1" applyBorder="1"/>
    <xf numFmtId="165" fontId="6" fillId="6" borderId="8" xfId="0" applyNumberFormat="1" applyFont="1" applyFill="1" applyBorder="1" applyAlignment="1">
      <alignment vertical="center"/>
    </xf>
    <xf numFmtId="165" fontId="6" fillId="7" borderId="7" xfId="0" applyNumberFormat="1" applyFont="1" applyFill="1" applyBorder="1"/>
    <xf numFmtId="165" fontId="6" fillId="7" borderId="8" xfId="0" applyNumberFormat="1" applyFont="1" applyFill="1" applyBorder="1" applyAlignment="1">
      <alignment vertical="center"/>
    </xf>
    <xf numFmtId="165" fontId="6" fillId="11" borderId="8" xfId="0" applyNumberFormat="1" applyFont="1" applyFill="1" applyBorder="1" applyAlignment="1">
      <alignment vertical="center"/>
    </xf>
    <xf numFmtId="165" fontId="6" fillId="11" borderId="7" xfId="0" applyNumberFormat="1" applyFont="1" applyFill="1" applyBorder="1"/>
    <xf numFmtId="165" fontId="6" fillId="12" borderId="8" xfId="0" applyNumberFormat="1" applyFont="1" applyFill="1" applyBorder="1" applyAlignment="1">
      <alignment vertical="center"/>
    </xf>
    <xf numFmtId="165" fontId="6" fillId="12" borderId="7" xfId="0" applyNumberFormat="1" applyFont="1" applyFill="1" applyBorder="1"/>
    <xf numFmtId="165" fontId="6" fillId="10" borderId="8" xfId="0" applyNumberFormat="1" applyFont="1" applyFill="1" applyBorder="1" applyAlignment="1">
      <alignment vertical="center"/>
    </xf>
    <xf numFmtId="165" fontId="6" fillId="10" borderId="7" xfId="0" applyNumberFormat="1" applyFont="1" applyFill="1" applyBorder="1"/>
    <xf numFmtId="165" fontId="6" fillId="9" borderId="8" xfId="0" applyNumberFormat="1" applyFont="1" applyFill="1" applyBorder="1" applyAlignment="1">
      <alignment vertical="center"/>
    </xf>
    <xf numFmtId="165" fontId="6" fillId="8" borderId="8" xfId="0" applyNumberFormat="1" applyFont="1" applyFill="1" applyBorder="1" applyAlignment="1">
      <alignment vertical="center"/>
    </xf>
    <xf numFmtId="165" fontId="6" fillId="3" borderId="8" xfId="0" applyNumberFormat="1" applyFont="1" applyFill="1" applyBorder="1" applyAlignment="1">
      <alignment vertical="center"/>
    </xf>
    <xf numFmtId="165" fontId="6" fillId="3" borderId="7" xfId="0" applyNumberFormat="1" applyFont="1" applyFill="1" applyBorder="1"/>
    <xf numFmtId="165" fontId="6" fillId="4" borderId="7" xfId="0" applyNumberFormat="1" applyFont="1" applyFill="1" applyBorder="1"/>
    <xf numFmtId="165" fontId="6" fillId="4" borderId="8" xfId="0" applyNumberFormat="1" applyFont="1" applyFill="1" applyBorder="1" applyAlignment="1">
      <alignment vertical="center"/>
    </xf>
    <xf numFmtId="165" fontId="6" fillId="4" borderId="4" xfId="0" applyNumberFormat="1" applyFont="1" applyFill="1" applyBorder="1" applyAlignment="1">
      <alignment vertical="center"/>
    </xf>
    <xf numFmtId="165" fontId="6" fillId="6" borderId="7" xfId="0" applyNumberFormat="1" applyFont="1" applyFill="1" applyBorder="1"/>
    <xf numFmtId="165" fontId="9" fillId="6" borderId="7" xfId="0" applyNumberFormat="1" applyFont="1" applyFill="1" applyBorder="1"/>
    <xf numFmtId="165" fontId="6" fillId="9" borderId="7" xfId="0" applyNumberFormat="1" applyFont="1" applyFill="1" applyBorder="1"/>
    <xf numFmtId="165" fontId="6" fillId="5" borderId="7" xfId="0" applyNumberFormat="1" applyFont="1" applyFill="1" applyBorder="1"/>
    <xf numFmtId="165" fontId="6" fillId="8" borderId="7" xfId="0" applyNumberFormat="1" applyFont="1" applyFill="1" applyBorder="1"/>
    <xf numFmtId="165" fontId="6" fillId="2" borderId="7" xfId="0" applyNumberFormat="1" applyFont="1" applyFill="1" applyBorder="1"/>
    <xf numFmtId="165" fontId="6" fillId="4" borderId="6" xfId="0" applyNumberFormat="1" applyFont="1" applyFill="1" applyBorder="1"/>
    <xf numFmtId="2" fontId="8" fillId="10" borderId="0" xfId="0" applyNumberFormat="1" applyFont="1" applyFill="1" applyAlignment="1">
      <alignment vertical="center"/>
    </xf>
    <xf numFmtId="0" fontId="8" fillId="10" borderId="0" xfId="0" applyFont="1" applyFill="1" applyAlignment="1">
      <alignment vertical="center"/>
    </xf>
    <xf numFmtId="2" fontId="6" fillId="5" borderId="3" xfId="0" applyNumberFormat="1" applyFont="1" applyFill="1" applyBorder="1" applyAlignment="1">
      <alignment vertical="center"/>
    </xf>
    <xf numFmtId="2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169" fontId="6" fillId="0" borderId="0" xfId="0" applyNumberFormat="1" applyFont="1" applyAlignment="1">
      <alignment vertical="center"/>
    </xf>
    <xf numFmtId="169" fontId="6" fillId="0" borderId="3" xfId="0" applyNumberFormat="1" applyFont="1" applyBorder="1" applyAlignment="1">
      <alignment vertical="center"/>
    </xf>
    <xf numFmtId="169" fontId="6" fillId="0" borderId="4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11" fillId="0" borderId="5" xfId="0" applyNumberFormat="1" applyFont="1" applyBorder="1" applyAlignment="1">
      <alignment vertical="center"/>
    </xf>
    <xf numFmtId="0" fontId="5" fillId="0" borderId="1" xfId="0" applyFont="1" applyBorder="1"/>
    <xf numFmtId="165" fontId="5" fillId="0" borderId="1" xfId="0" applyNumberFormat="1" applyFont="1" applyBorder="1"/>
    <xf numFmtId="0" fontId="5" fillId="0" borderId="2" xfId="0" applyFont="1" applyBorder="1"/>
    <xf numFmtId="0" fontId="5" fillId="0" borderId="0" xfId="0" applyFont="1"/>
    <xf numFmtId="0" fontId="5" fillId="0" borderId="6" xfId="0" applyFont="1" applyBorder="1" applyAlignment="1">
      <alignment vertical="center"/>
    </xf>
    <xf numFmtId="169" fontId="6" fillId="0" borderId="6" xfId="0" applyNumberFormat="1" applyFont="1" applyBorder="1" applyAlignment="1">
      <alignment vertical="center"/>
    </xf>
    <xf numFmtId="165" fontId="6" fillId="6" borderId="0" xfId="0" applyNumberFormat="1" applyFont="1" applyFill="1" applyAlignment="1">
      <alignment vertical="center"/>
    </xf>
    <xf numFmtId="0" fontId="4" fillId="6" borderId="0" xfId="2" applyFill="1" applyBorder="1" applyAlignment="1">
      <alignment vertical="center"/>
    </xf>
    <xf numFmtId="0" fontId="4" fillId="6" borderId="0" xfId="2" applyFill="1" applyBorder="1"/>
    <xf numFmtId="0" fontId="4" fillId="7" borderId="0" xfId="2" applyFill="1" applyBorder="1" applyAlignment="1">
      <alignment vertical="center"/>
    </xf>
    <xf numFmtId="0" fontId="4" fillId="7" borderId="0" xfId="2" applyFill="1" applyBorder="1"/>
    <xf numFmtId="0" fontId="4" fillId="11" borderId="0" xfId="2" applyFill="1" applyBorder="1"/>
    <xf numFmtId="0" fontId="4" fillId="11" borderId="0" xfId="2" applyFill="1" applyBorder="1" applyAlignment="1">
      <alignment vertical="center"/>
    </xf>
    <xf numFmtId="0" fontId="4" fillId="12" borderId="0" xfId="2" applyFill="1" applyBorder="1" applyAlignment="1">
      <alignment vertical="center"/>
    </xf>
    <xf numFmtId="0" fontId="4" fillId="10" borderId="0" xfId="2" applyFill="1" applyBorder="1" applyAlignment="1">
      <alignment vertical="center"/>
    </xf>
    <xf numFmtId="0" fontId="4" fillId="10" borderId="0" xfId="2" applyFill="1" applyBorder="1"/>
    <xf numFmtId="0" fontId="4" fillId="9" borderId="0" xfId="2" applyFill="1" applyBorder="1"/>
    <xf numFmtId="0" fontId="4" fillId="9" borderId="0" xfId="2" applyFill="1" applyBorder="1" applyAlignment="1">
      <alignment vertical="center"/>
    </xf>
    <xf numFmtId="0" fontId="4" fillId="8" borderId="0" xfId="2" applyFill="1" applyBorder="1" applyAlignment="1">
      <alignment vertical="center"/>
    </xf>
    <xf numFmtId="0" fontId="4" fillId="4" borderId="0" xfId="2" applyFill="1" applyBorder="1" applyAlignment="1">
      <alignment vertical="center"/>
    </xf>
    <xf numFmtId="2" fontId="6" fillId="13" borderId="0" xfId="0" applyNumberFormat="1" applyFont="1" applyFill="1" applyAlignment="1">
      <alignment vertical="center"/>
    </xf>
    <xf numFmtId="165" fontId="6" fillId="12" borderId="0" xfId="0" applyNumberFormat="1" applyFont="1" applyFill="1" applyAlignment="1">
      <alignment vertical="center"/>
    </xf>
    <xf numFmtId="165" fontId="6" fillId="10" borderId="0" xfId="0" applyNumberFormat="1" applyFont="1" applyFill="1" applyAlignment="1">
      <alignment vertical="center"/>
    </xf>
    <xf numFmtId="0" fontId="12" fillId="10" borderId="0" xfId="0" applyFont="1" applyFill="1"/>
    <xf numFmtId="0" fontId="12" fillId="9" borderId="0" xfId="0" applyFont="1" applyFill="1"/>
    <xf numFmtId="0" fontId="6" fillId="6" borderId="7" xfId="0" applyFont="1" applyFill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3" borderId="0" xfId="0" applyFont="1" applyFill="1" applyAlignment="1">
      <alignment vertical="center"/>
    </xf>
    <xf numFmtId="0" fontId="6" fillId="13" borderId="8" xfId="0" applyFont="1" applyFill="1" applyBorder="1" applyAlignment="1">
      <alignment vertical="center"/>
    </xf>
    <xf numFmtId="2" fontId="6" fillId="13" borderId="8" xfId="0" applyNumberFormat="1" applyFont="1" applyFill="1" applyBorder="1" applyAlignment="1">
      <alignment vertical="center"/>
    </xf>
    <xf numFmtId="0" fontId="6" fillId="12" borderId="7" xfId="0" applyFont="1" applyFill="1" applyBorder="1" applyAlignment="1">
      <alignment vertical="center"/>
    </xf>
    <xf numFmtId="0" fontId="6" fillId="12" borderId="8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8" fillId="10" borderId="7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0" borderId="7" xfId="0" applyFont="1" applyFill="1" applyBorder="1" applyAlignment="1">
      <alignment vertical="center"/>
    </xf>
    <xf numFmtId="0" fontId="6" fillId="9" borderId="7" xfId="0" applyFont="1" applyFill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6" fillId="5" borderId="8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2" fillId="13" borderId="7" xfId="0" applyFont="1" applyFill="1" applyBorder="1"/>
    <xf numFmtId="0" fontId="6" fillId="13" borderId="7" xfId="0" applyFont="1" applyFill="1" applyBorder="1" applyAlignment="1">
      <alignment vertical="center"/>
    </xf>
    <xf numFmtId="0" fontId="12" fillId="10" borderId="7" xfId="0" applyFont="1" applyFill="1" applyBorder="1"/>
    <xf numFmtId="0" fontId="12" fillId="9" borderId="7" xfId="0" applyFont="1" applyFill="1" applyBorder="1"/>
    <xf numFmtId="2" fontId="6" fillId="6" borderId="10" xfId="0" applyNumberFormat="1" applyFont="1" applyFill="1" applyBorder="1" applyAlignment="1">
      <alignment vertical="center"/>
    </xf>
    <xf numFmtId="2" fontId="6" fillId="7" borderId="10" xfId="0" applyNumberFormat="1" applyFont="1" applyFill="1" applyBorder="1" applyAlignment="1">
      <alignment vertical="center"/>
    </xf>
    <xf numFmtId="2" fontId="6" fillId="11" borderId="10" xfId="0" applyNumberFormat="1" applyFont="1" applyFill="1" applyBorder="1" applyAlignment="1">
      <alignment vertical="center"/>
    </xf>
    <xf numFmtId="2" fontId="6" fillId="12" borderId="10" xfId="0" applyNumberFormat="1" applyFont="1" applyFill="1" applyBorder="1" applyAlignment="1">
      <alignment vertical="center"/>
    </xf>
    <xf numFmtId="2" fontId="6" fillId="10" borderId="10" xfId="0" applyNumberFormat="1" applyFont="1" applyFill="1" applyBorder="1" applyAlignment="1">
      <alignment vertical="center"/>
    </xf>
    <xf numFmtId="2" fontId="6" fillId="9" borderId="10" xfId="0" applyNumberFormat="1" applyFont="1" applyFill="1" applyBorder="1" applyAlignment="1">
      <alignment vertical="center"/>
    </xf>
    <xf numFmtId="2" fontId="6" fillId="5" borderId="10" xfId="0" applyNumberFormat="1" applyFont="1" applyFill="1" applyBorder="1" applyAlignment="1">
      <alignment vertical="center"/>
    </xf>
    <xf numFmtId="2" fontId="6" fillId="5" borderId="11" xfId="0" applyNumberFormat="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169" fontId="6" fillId="0" borderId="7" xfId="0" applyNumberFormat="1" applyFont="1" applyBorder="1" applyAlignment="1">
      <alignment vertical="center"/>
    </xf>
    <xf numFmtId="169" fontId="6" fillId="0" borderId="8" xfId="0" applyNumberFormat="1" applyFont="1" applyBorder="1" applyAlignment="1">
      <alignment vertical="center"/>
    </xf>
    <xf numFmtId="165" fontId="6" fillId="0" borderId="7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textový odkaz" xfId="2" builtinId="8"/>
    <cellStyle name="Normal 2" xfId="1"/>
    <cellStyle name="normální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relativeIndent="255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W908" totalsRowShown="0" headerRowDxfId="24" dataDxfId="23">
  <autoFilter ref="A1:W908"/>
  <sortState ref="A2:W908">
    <sortCondition ref="A1:A908"/>
  </sortState>
  <tableColumns count="23">
    <tableColumn id="1" name="Rec #" dataDxfId="22"/>
    <tableColumn id="2" name="Sample ID" dataDxfId="21"/>
    <tableColumn id="3" name="Mineral" dataDxfId="20"/>
    <tableColumn id="4" name="%SiO2" dataDxfId="19"/>
    <tableColumn id="5" name="%TiO2" dataDxfId="18"/>
    <tableColumn id="6" name="%Al2O3" dataDxfId="17"/>
    <tableColumn id="7" name="%Cr2O3" dataDxfId="16"/>
    <tableColumn id="8" name="%Fe2O3" dataDxfId="15"/>
    <tableColumn id="9" name="%FeO" dataDxfId="14"/>
    <tableColumn id="10" name="%MnO" dataDxfId="13"/>
    <tableColumn id="11" name="%MgO" dataDxfId="12"/>
    <tableColumn id="12" name="%CaO" dataDxfId="11"/>
    <tableColumn id="13" name="%Na2O" dataDxfId="10"/>
    <tableColumn id="14" name="%K2O" dataDxfId="9"/>
    <tableColumn id="15" name="%P2O5" dataDxfId="8"/>
    <tableColumn id="16" name="%LOI" dataDxfId="7"/>
    <tableColumn id="17" name="Cu(ppm)" dataDxfId="6"/>
    <tableColumn id="18" name="Ni(ppm)" dataDxfId="5"/>
    <tableColumn id="19" name="Co(ppm)" dataDxfId="4"/>
    <tableColumn id="20" name="Zn(ppm)" dataDxfId="3"/>
    <tableColumn id="21" name="V(ppm)" dataDxfId="2"/>
    <tableColumn id="22" name="Source" dataDxfId="1"/>
    <tableColumn id="23" name="Tex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ce.tennessee.edu/cgi/viewcontent.cgi?article=1440&amp;context=utk_graddiss" TargetMode="External"/><Relationship Id="rId299" Type="http://schemas.openxmlformats.org/officeDocument/2006/relationships/hyperlink" Target="https://onlinelibrary.wiley.com/doi/epdf/10.1111/j.1945-5100.2010.01090.x" TargetMode="External"/><Relationship Id="rId303" Type="http://schemas.openxmlformats.org/officeDocument/2006/relationships/hyperlink" Target="https://onlinelibrary.wiley.com/doi/epdf/10.1111/j.1945-5100.2010.01090.x" TargetMode="External"/><Relationship Id="rId21" Type="http://schemas.openxmlformats.org/officeDocument/2006/relationships/hyperlink" Target="https://www.lpi.usra.edu/meetings/lpsc2002/pdf/1168.pdf" TargetMode="External"/><Relationship Id="rId42" Type="http://schemas.openxmlformats.org/officeDocument/2006/relationships/hyperlink" Target="https://onlinelibrary.wiley.com/doi/pdf/10.1111/j.1945-5100.2010.01061.x" TargetMode="External"/><Relationship Id="rId63" Type="http://schemas.openxmlformats.org/officeDocument/2006/relationships/hyperlink" Target="https://static1.squarespace.com/static/599cb78ff43b55abc0748729/t/599f75c4ccc5c58f6c3cf24b/1503622598881/mayne_2009.pdf" TargetMode="External"/><Relationship Id="rId84" Type="http://schemas.openxmlformats.org/officeDocument/2006/relationships/hyperlink" Target="https://pubs.geoscienceworld.org/gsa/gsabulletin/article-pdf/70/11/1425/3431838/i0016-7606-70-11-1425.pdf" TargetMode="External"/><Relationship Id="rId138" Type="http://schemas.openxmlformats.org/officeDocument/2006/relationships/hyperlink" Target="https://trace.tennessee.edu/cgi/viewcontent.cgi?article=1440&amp;context=utk_graddiss" TargetMode="External"/><Relationship Id="rId159" Type="http://schemas.openxmlformats.org/officeDocument/2006/relationships/hyperlink" Target="http://articles.adsabs.harvard.edu/cgi-bin/nph-iarticle_query?1998AMR....11...49Y&amp;defaultprint=YES&amp;filetype=.pdf" TargetMode="External"/><Relationship Id="rId170" Type="http://schemas.openxmlformats.org/officeDocument/2006/relationships/hyperlink" Target="https://onlinelibrary.wiley.com/doi/pdf/10.1111/j.1945-5100.2010.01061.x" TargetMode="External"/><Relationship Id="rId191" Type="http://schemas.openxmlformats.org/officeDocument/2006/relationships/hyperlink" Target="https://www.jstor.org/stable/pdf/2990353.pdf?refreqid=excelsior%3A18b205a677b4abb7936bcf833bbba947" TargetMode="External"/><Relationship Id="rId205" Type="http://schemas.openxmlformats.org/officeDocument/2006/relationships/hyperlink" Target="http://articles.adsabs.harvard.edu/cgi-bin/nph-iarticle_query?1977Metic..12..241G&amp;defaultprint=YES&amp;filetype=.pdf" TargetMode="External"/><Relationship Id="rId226" Type="http://schemas.openxmlformats.org/officeDocument/2006/relationships/hyperlink" Target="https://www.lpi.usra.edu/meetings/lpsc1994/pdf/1453.pdf" TargetMode="External"/><Relationship Id="rId247" Type="http://schemas.openxmlformats.org/officeDocument/2006/relationships/hyperlink" Target="https://onlinelibrary.wiley.com/doi/pdf/10.1111/maps.12513" TargetMode="External"/><Relationship Id="rId107" Type="http://schemas.openxmlformats.org/officeDocument/2006/relationships/hyperlink" Target="https://trace.tennessee.edu/cgi/viewcontent.cgi?article=1440&amp;context=utk_graddiss" TargetMode="External"/><Relationship Id="rId268" Type="http://schemas.openxmlformats.org/officeDocument/2006/relationships/hyperlink" Target="https://onlinelibrary.wiley.com/doi/pdf/10.1111/j.1945-5100.2010.01061.x" TargetMode="External"/><Relationship Id="rId289" Type="http://schemas.openxmlformats.org/officeDocument/2006/relationships/hyperlink" Target="http://articles.adsabs.harvard.edu/cgi-bin/nph-iarticle_query?1989Metic..24..219M&amp;defaultprint=YES&amp;filetype=.pdf" TargetMode="External"/><Relationship Id="rId11" Type="http://schemas.openxmlformats.org/officeDocument/2006/relationships/hyperlink" Target="https://www.sciencedirect.com/science/article/abs/pii/0079194675900373" TargetMode="External"/><Relationship Id="rId32" Type="http://schemas.openxmlformats.org/officeDocument/2006/relationships/hyperlink" Target="https://onlinelibrary.wiley.com/doi/pdf/10.1111/j.1945-5100.2010.01061.x" TargetMode="External"/><Relationship Id="rId53" Type="http://schemas.openxmlformats.org/officeDocument/2006/relationships/hyperlink" Target="http://articles.adsabs.harvard.edu/cgi-bin/nph-iarticle_query?1998M%26PS...33..853R&amp;defaultprint=YES&amp;filetype=.pdf" TargetMode="External"/><Relationship Id="rId74" Type="http://schemas.openxmlformats.org/officeDocument/2006/relationships/hyperlink" Target="https://academic.oup.com/petrology/article-pdf/52/2/279/16671653/egq080.pdf" TargetMode="External"/><Relationship Id="rId128" Type="http://schemas.openxmlformats.org/officeDocument/2006/relationships/hyperlink" Target="https://trace.tennessee.edu/cgi/viewcontent.cgi?article=1440&amp;context=utk_graddiss" TargetMode="External"/><Relationship Id="rId149" Type="http://schemas.openxmlformats.org/officeDocument/2006/relationships/hyperlink" Target="http://articles.adsabs.harvard.edu/cgi-bin/nph-iarticle_query?1998AMR....11...49Y&amp;defaultprint=YES&amp;filetype=.pdf" TargetMode="External"/><Relationship Id="rId5" Type="http://schemas.openxmlformats.org/officeDocument/2006/relationships/hyperlink" Target="https://link.springer.com/article/10.1007/BF00373580" TargetMode="External"/><Relationship Id="rId95" Type="http://schemas.openxmlformats.org/officeDocument/2006/relationships/hyperlink" Target="https://trace.tennessee.edu/cgi/viewcontent.cgi?article=1440&amp;context=utk_graddiss" TargetMode="External"/><Relationship Id="rId160" Type="http://schemas.openxmlformats.org/officeDocument/2006/relationships/hyperlink" Target="https://onlinelibrary.wiley.com/doi/epdf/10.1111/maps.13203" TargetMode="External"/><Relationship Id="rId181" Type="http://schemas.openxmlformats.org/officeDocument/2006/relationships/hyperlink" Target="https://www.jstage.jst.go.jp/article/minerj/9/8/9_8_460/_pdf" TargetMode="External"/><Relationship Id="rId216" Type="http://schemas.openxmlformats.org/officeDocument/2006/relationships/hyperlink" Target="https://www.sciencedirect.com/science/article/pii/0016703795004238" TargetMode="External"/><Relationship Id="rId237" Type="http://schemas.openxmlformats.org/officeDocument/2006/relationships/hyperlink" Target="https://onlinelibrary.wiley.com/doi/epdf/10.1111/j.1945-5100.2010.01090.x" TargetMode="External"/><Relationship Id="rId258" Type="http://schemas.openxmlformats.org/officeDocument/2006/relationships/hyperlink" Target="https://onlinelibrary.wiley.com/doi/pdf/10.1111/j.1945-5100.2010.01061.x" TargetMode="External"/><Relationship Id="rId279" Type="http://schemas.openxmlformats.org/officeDocument/2006/relationships/hyperlink" Target="http://articles.adsabs.harvard.edu/cgi-bin/nph-iarticle_query?1988LPI....19..134B&amp;defaultprint=YES&amp;page_ind=1&amp;filetype=.pdf" TargetMode="External"/><Relationship Id="rId22" Type="http://schemas.openxmlformats.org/officeDocument/2006/relationships/hyperlink" Target="https://link.springer.com/article/10.1007/BF00373580" TargetMode="External"/><Relationship Id="rId43" Type="http://schemas.openxmlformats.org/officeDocument/2006/relationships/hyperlink" Target="https://onlinelibrary.wiley.com/doi/pdf/10.1111/j.1945-5100.2010.01061.x" TargetMode="External"/><Relationship Id="rId64" Type="http://schemas.openxmlformats.org/officeDocument/2006/relationships/hyperlink" Target="https://static1.squarespace.com/static/599cb78ff43b55abc0748729/t/599f75c4ccc5c58f6c3cf24b/1503622598881/mayne_2009.pdf" TargetMode="External"/><Relationship Id="rId118" Type="http://schemas.openxmlformats.org/officeDocument/2006/relationships/hyperlink" Target="https://trace.tennessee.edu/cgi/viewcontent.cgi?article=1440&amp;context=utk_graddiss" TargetMode="External"/><Relationship Id="rId139" Type="http://schemas.openxmlformats.org/officeDocument/2006/relationships/hyperlink" Target="https://trace.tennessee.edu/cgi/viewcontent.cgi?article=1440&amp;context=utk_graddiss" TargetMode="External"/><Relationship Id="rId290" Type="http://schemas.openxmlformats.org/officeDocument/2006/relationships/hyperlink" Target="http://adsabs.harvard.edu/pdf/1994metic..29..100g" TargetMode="External"/><Relationship Id="rId304" Type="http://schemas.openxmlformats.org/officeDocument/2006/relationships/hyperlink" Target="https://static1.squarespace.com/static/599cb78ff43b55abc0748729/t/599f75c4ccc5c58f6c3cf24b/1503622598881/mayne_2009.pdf" TargetMode="External"/><Relationship Id="rId85" Type="http://schemas.openxmlformats.org/officeDocument/2006/relationships/hyperlink" Target="https://www.lpi.usra.edu/meteor/metbull.php?code=604" TargetMode="External"/><Relationship Id="rId150" Type="http://schemas.openxmlformats.org/officeDocument/2006/relationships/hyperlink" Target="http://articles.adsabs.harvard.edu/cgi-bin/nph-iarticle_query?1998AMR....11...49Y&amp;defaultprint=YES&amp;filetype=.pdf" TargetMode="External"/><Relationship Id="rId171" Type="http://schemas.openxmlformats.org/officeDocument/2006/relationships/hyperlink" Target="http://articles.adsabs.harvard.edu/cgi-bin/nph-iarticle_query?1998AMR....11...49Y&amp;defaultprint=YES&amp;filetype=.pdf" TargetMode="External"/><Relationship Id="rId192" Type="http://schemas.openxmlformats.org/officeDocument/2006/relationships/hyperlink" Target="https://www.jstor.org/stable/pdf/2990353.pdf?refreqid=excelsior%3A18b205a677b4abb7936bcf833bbba947" TargetMode="External"/><Relationship Id="rId206" Type="http://schemas.openxmlformats.org/officeDocument/2006/relationships/hyperlink" Target="http://articles.adsabs.harvard.edu/cgi-bin/nph-iarticle_query?1981Metic..16...93D&amp;defaultprint=YES&amp;filetype=.pdf" TargetMode="External"/><Relationship Id="rId227" Type="http://schemas.openxmlformats.org/officeDocument/2006/relationships/hyperlink" Target="https://nipr.repo.nii.ac.jp/?action=repository_action_common_download&amp;item_id=6033&amp;item_no=1&amp;attribute_id=18&amp;file_no=1" TargetMode="External"/><Relationship Id="rId248" Type="http://schemas.openxmlformats.org/officeDocument/2006/relationships/hyperlink" Target="https://onlinelibrary.wiley.com/doi/pdf/10.1111/j.1945-5100.2010.01061.x" TargetMode="External"/><Relationship Id="rId269" Type="http://schemas.openxmlformats.org/officeDocument/2006/relationships/hyperlink" Target="https://onlinelibrary.wiley.com/doi/pdf/10.1111/maps.12513" TargetMode="External"/><Relationship Id="rId12" Type="http://schemas.openxmlformats.org/officeDocument/2006/relationships/hyperlink" Target="https://www.sciencedirect.com/science/article/abs/pii/0079194675900373" TargetMode="External"/><Relationship Id="rId33" Type="http://schemas.openxmlformats.org/officeDocument/2006/relationships/hyperlink" Target="https://onlinelibrary.wiley.com/doi/pdf/10.1111/j.1945-5100.2010.01061.x" TargetMode="External"/><Relationship Id="rId108" Type="http://schemas.openxmlformats.org/officeDocument/2006/relationships/hyperlink" Target="https://trace.tennessee.edu/cgi/viewcontent.cgi?article=1440&amp;context=utk_graddiss" TargetMode="External"/><Relationship Id="rId129" Type="http://schemas.openxmlformats.org/officeDocument/2006/relationships/hyperlink" Target="https://trace.tennessee.edu/cgi/viewcontent.cgi?article=1440&amp;context=utk_graddiss" TargetMode="External"/><Relationship Id="rId280" Type="http://schemas.openxmlformats.org/officeDocument/2006/relationships/hyperlink" Target="http://articles.adsabs.harvard.edu/pdf/2002M%26PS...37...75G" TargetMode="External"/><Relationship Id="rId54" Type="http://schemas.openxmlformats.org/officeDocument/2006/relationships/hyperlink" Target="https://journals.uair.arizona.edu/index.php/maps/article/download/15089/15060" TargetMode="External"/><Relationship Id="rId75" Type="http://schemas.openxmlformats.org/officeDocument/2006/relationships/hyperlink" Target="https://academic.oup.com/petrology/article-pdf/52/2/279/16671653/egq080.pdf" TargetMode="External"/><Relationship Id="rId96" Type="http://schemas.openxmlformats.org/officeDocument/2006/relationships/hyperlink" Target="https://trace.tennessee.edu/cgi/viewcontent.cgi?article=1440&amp;context=utk_graddiss" TargetMode="External"/><Relationship Id="rId140" Type="http://schemas.openxmlformats.org/officeDocument/2006/relationships/hyperlink" Target="https://trace.tennessee.edu/cgi/viewcontent.cgi?article=1440&amp;context=utk_graddiss" TargetMode="External"/><Relationship Id="rId161" Type="http://schemas.openxmlformats.org/officeDocument/2006/relationships/hyperlink" Target="https://onlinelibrary.wiley.com/doi/pdf/10.1111/j.1945-5100.2010.01061.x" TargetMode="External"/><Relationship Id="rId182" Type="http://schemas.openxmlformats.org/officeDocument/2006/relationships/hyperlink" Target="http://articles.adsabs.harvard.edu/cgi-bin/nph-iarticle_query?1994AMR.....7....9I&amp;defaultprint=YES&amp;filetype=.pdf" TargetMode="External"/><Relationship Id="rId217" Type="http://schemas.openxmlformats.org/officeDocument/2006/relationships/hyperlink" Target="https://www.sciencedirect.com/science/article/pii/0016703795004238" TargetMode="External"/><Relationship Id="rId6" Type="http://schemas.openxmlformats.org/officeDocument/2006/relationships/hyperlink" Target="https://onlinelibrary.wiley.com/doi/pdf/10.1111/j.1945-5100.1998.tb01624.x" TargetMode="External"/><Relationship Id="rId238" Type="http://schemas.openxmlformats.org/officeDocument/2006/relationships/hyperlink" Target="https://static1.squarespace.com/static/599cb78ff43b55abc0748729/t/599f75c4ccc5c58f6c3cf24b/1503622598881/mayne_2009.pdf" TargetMode="External"/><Relationship Id="rId259" Type="http://schemas.openxmlformats.org/officeDocument/2006/relationships/hyperlink" Target="https://onlinelibrary.wiley.com/doi/pdf/10.1111/maps.12513" TargetMode="External"/><Relationship Id="rId23" Type="http://schemas.openxmlformats.org/officeDocument/2006/relationships/hyperlink" Target="https://core.ac.uk/download/pdf/51485397.pdf" TargetMode="External"/><Relationship Id="rId119" Type="http://schemas.openxmlformats.org/officeDocument/2006/relationships/hyperlink" Target="https://trace.tennessee.edu/cgi/viewcontent.cgi?article=1440&amp;context=utk_graddiss" TargetMode="External"/><Relationship Id="rId270" Type="http://schemas.openxmlformats.org/officeDocument/2006/relationships/hyperlink" Target="https://onlinelibrary.wiley.com/doi/pdf/10.1111/j.1945-5100.2010.01061.x" TargetMode="External"/><Relationship Id="rId291" Type="http://schemas.openxmlformats.org/officeDocument/2006/relationships/hyperlink" Target="https://onlinelibrary.wiley.com/doi/pdf/10.1111/j.1945-5100.2010.01021.x" TargetMode="External"/><Relationship Id="rId305" Type="http://schemas.openxmlformats.org/officeDocument/2006/relationships/hyperlink" Target="https://onlinelibrary.wiley.com/doi/epdf/10.1111/j.1945-5100.2010.01090.x" TargetMode="External"/><Relationship Id="rId44" Type="http://schemas.openxmlformats.org/officeDocument/2006/relationships/hyperlink" Target="https://onlinelibrary.wiley.com/doi/pdf/10.1111/j.1945-5100.2010.01061.x" TargetMode="External"/><Relationship Id="rId65" Type="http://schemas.openxmlformats.org/officeDocument/2006/relationships/hyperlink" Target="https://earth-planets-space.springeropen.com/track/pdf/10.1186/s40623-019-1015-9.pdf" TargetMode="External"/><Relationship Id="rId86" Type="http://schemas.openxmlformats.org/officeDocument/2006/relationships/hyperlink" Target="https://link.springer.com/content/pdf/10.1007/BF00203843.pdf" TargetMode="External"/><Relationship Id="rId130" Type="http://schemas.openxmlformats.org/officeDocument/2006/relationships/hyperlink" Target="https://trace.tennessee.edu/cgi/viewcontent.cgi?article=1440&amp;context=utk_graddiss" TargetMode="External"/><Relationship Id="rId151" Type="http://schemas.openxmlformats.org/officeDocument/2006/relationships/hyperlink" Target="http://articles.adsabs.harvard.edu/cgi-bin/nph-iarticle_query?1998AMR....11...49Y&amp;defaultprint=YES&amp;filetype=.pdf" TargetMode="External"/><Relationship Id="rId172" Type="http://schemas.openxmlformats.org/officeDocument/2006/relationships/hyperlink" Target="http://articles.adsabs.harvard.edu/cgi-bin/nph-iarticle_query?1998AMR....11...49Y&amp;defaultprint=YES&amp;filetype=.pdf" TargetMode="External"/><Relationship Id="rId193" Type="http://schemas.openxmlformats.org/officeDocument/2006/relationships/hyperlink" Target="https://core.ac.uk/download/pdf/12532709.pdf" TargetMode="External"/><Relationship Id="rId207" Type="http://schemas.openxmlformats.org/officeDocument/2006/relationships/hyperlink" Target="http://articles.adsabs.harvard.edu/cgi-bin/nph-iarticle_query?1981Metic..16...93D&amp;defaultprint=YES&amp;filetype=.pdf" TargetMode="External"/><Relationship Id="rId228" Type="http://schemas.openxmlformats.org/officeDocument/2006/relationships/hyperlink" Target="https://nipr.repo.nii.ac.jp/?action=repository_action_common_download&amp;item_id=1044&amp;item_no=1&amp;attribute_id=18&amp;file_no=1" TargetMode="External"/><Relationship Id="rId249" Type="http://schemas.openxmlformats.org/officeDocument/2006/relationships/hyperlink" Target="https://onlinelibrary.wiley.com/doi/pdf/10.1111/maps.12513" TargetMode="External"/><Relationship Id="rId13" Type="http://schemas.openxmlformats.org/officeDocument/2006/relationships/hyperlink" Target="https://www.sciencedirect.com/science/article/abs/pii/0079194675900373" TargetMode="External"/><Relationship Id="rId109" Type="http://schemas.openxmlformats.org/officeDocument/2006/relationships/hyperlink" Target="https://trace.tennessee.edu/cgi/viewcontent.cgi?article=1440&amp;context=utk_graddiss" TargetMode="External"/><Relationship Id="rId260" Type="http://schemas.openxmlformats.org/officeDocument/2006/relationships/hyperlink" Target="https://onlinelibrary.wiley.com/doi/pdf/10.1111/maps.12513" TargetMode="External"/><Relationship Id="rId281" Type="http://schemas.openxmlformats.org/officeDocument/2006/relationships/hyperlink" Target="http://articles.adsabs.harvard.edu/pdf/2002M%26PS...37...75G" TargetMode="External"/><Relationship Id="rId34" Type="http://schemas.openxmlformats.org/officeDocument/2006/relationships/hyperlink" Target="https://onlinelibrary.wiley.com/doi/pdf/10.1111/j.1945-5100.2010.01061.x" TargetMode="External"/><Relationship Id="rId55" Type="http://schemas.openxmlformats.org/officeDocument/2006/relationships/hyperlink" Target="https://www.lpi.usra.edu/lunar/samples/atlas/compendium/60015.pdf" TargetMode="External"/><Relationship Id="rId76" Type="http://schemas.openxmlformats.org/officeDocument/2006/relationships/hyperlink" Target="https://academic.oup.com/petrology/article-pdf/52/2/279/16671653/egq080.pdf" TargetMode="External"/><Relationship Id="rId97" Type="http://schemas.openxmlformats.org/officeDocument/2006/relationships/hyperlink" Target="https://trace.tennessee.edu/cgi/viewcontent.cgi?article=1440&amp;context=utk_graddiss" TargetMode="External"/><Relationship Id="rId120" Type="http://schemas.openxmlformats.org/officeDocument/2006/relationships/hyperlink" Target="https://trace.tennessee.edu/cgi/viewcontent.cgi?article=1440&amp;context=utk_graddiss" TargetMode="External"/><Relationship Id="rId141" Type="http://schemas.openxmlformats.org/officeDocument/2006/relationships/hyperlink" Target="https://trace.tennessee.edu/cgi/viewcontent.cgi?article=1440&amp;context=utk_graddiss" TargetMode="External"/><Relationship Id="rId7" Type="http://schemas.openxmlformats.org/officeDocument/2006/relationships/hyperlink" Target="https://onlinelibrary.wiley.com/doi/pdf/10.1111/j.1945-5100.1998.tb01624.x" TargetMode="External"/><Relationship Id="rId162" Type="http://schemas.openxmlformats.org/officeDocument/2006/relationships/hyperlink" Target="https://onlinelibrary.wiley.com/doi/pdf/10.1111/j.1945-5100.2010.01061.x" TargetMode="External"/><Relationship Id="rId183" Type="http://schemas.openxmlformats.org/officeDocument/2006/relationships/hyperlink" Target="https://www.lpi.usra.edu/meteor/metbull.php?sea=77005&amp;sfor=names&amp;ants=&amp;nwas=&amp;falls=&amp;valids=&amp;stype=contains&amp;lrec=50&amp;map=ge&amp;browse=&amp;country=All&amp;srt=name&amp;categ=All&amp;mblist=All&amp;rect=&amp;phot=&amp;strewn=&amp;snew=0&amp;pnt=Normal%20table&amp;code=1321" TargetMode="External"/><Relationship Id="rId218" Type="http://schemas.openxmlformats.org/officeDocument/2006/relationships/hyperlink" Target="https://www.sciencedirect.com/science/article/pii/0016703795004238" TargetMode="External"/><Relationship Id="rId239" Type="http://schemas.openxmlformats.org/officeDocument/2006/relationships/hyperlink" Target="https://onlinelibrary.wiley.com/doi/epdf/10.1111/j.1945-5100.2010.01090.x" TargetMode="External"/><Relationship Id="rId250" Type="http://schemas.openxmlformats.org/officeDocument/2006/relationships/hyperlink" Target="https://onlinelibrary.wiley.com/doi/pdf/10.1111/maps.12513" TargetMode="External"/><Relationship Id="rId271" Type="http://schemas.openxmlformats.org/officeDocument/2006/relationships/hyperlink" Target="https://onlinelibrary.wiley.com/doi/pdf/10.1111/maps.12513" TargetMode="External"/><Relationship Id="rId292" Type="http://schemas.openxmlformats.org/officeDocument/2006/relationships/hyperlink" Target="https://onlinelibrary.wiley.com/doi/pdf/10.1111/j.1945-5100.2010.01021.x" TargetMode="External"/><Relationship Id="rId306" Type="http://schemas.openxmlformats.org/officeDocument/2006/relationships/hyperlink" Target="https://www.researchgate.net/publication/348799548_Unmixing_Mineral_Abundance_and_Mg_With_Radiative_Transfer_Theory_Modeling_and_Applications" TargetMode="External"/><Relationship Id="rId24" Type="http://schemas.openxmlformats.org/officeDocument/2006/relationships/hyperlink" Target="https://core.ac.uk/download/pdf/51485397.pdf" TargetMode="External"/><Relationship Id="rId40" Type="http://schemas.openxmlformats.org/officeDocument/2006/relationships/hyperlink" Target="https://onlinelibrary.wiley.com/doi/pdf/10.1111/j.1945-5100.2010.01061.x" TargetMode="External"/><Relationship Id="rId45" Type="http://schemas.openxmlformats.org/officeDocument/2006/relationships/hyperlink" Target="https://onlinelibrary.wiley.com/doi/pdf/10.1111/j.1945-5100.2010.01061.x" TargetMode="External"/><Relationship Id="rId66" Type="http://schemas.openxmlformats.org/officeDocument/2006/relationships/hyperlink" Target="https://agupubs.onlinelibrary.wiley.com/doi/full/10.1029/2019JE006011" TargetMode="External"/><Relationship Id="rId87" Type="http://schemas.openxmlformats.org/officeDocument/2006/relationships/hyperlink" Target="https://link.springer.com/content/pdf/10.1007/BF00203843.pdf" TargetMode="External"/><Relationship Id="rId110" Type="http://schemas.openxmlformats.org/officeDocument/2006/relationships/hyperlink" Target="https://trace.tennessee.edu/cgi/viewcontent.cgi?article=1440&amp;context=utk_graddiss" TargetMode="External"/><Relationship Id="rId115" Type="http://schemas.openxmlformats.org/officeDocument/2006/relationships/hyperlink" Target="https://trace.tennessee.edu/cgi/viewcontent.cgi?article=1440&amp;context=utk_graddiss" TargetMode="External"/><Relationship Id="rId131" Type="http://schemas.openxmlformats.org/officeDocument/2006/relationships/hyperlink" Target="https://trace.tennessee.edu/cgi/viewcontent.cgi?article=1440&amp;context=utk_graddiss" TargetMode="External"/><Relationship Id="rId136" Type="http://schemas.openxmlformats.org/officeDocument/2006/relationships/hyperlink" Target="https://trace.tennessee.edu/cgi/viewcontent.cgi?article=1440&amp;context=utk_graddiss" TargetMode="External"/><Relationship Id="rId157" Type="http://schemas.openxmlformats.org/officeDocument/2006/relationships/hyperlink" Target="http://articles.adsabs.harvard.edu/cgi-bin/nph-iarticle_query?1998AMR....11...49Y&amp;defaultprint=YES&amp;filetype=.pdf" TargetMode="External"/><Relationship Id="rId178" Type="http://schemas.openxmlformats.org/officeDocument/2006/relationships/hyperlink" Target="https://www.sciencedirect.com/science/article/pii/S0016703715000332" TargetMode="External"/><Relationship Id="rId301" Type="http://schemas.openxmlformats.org/officeDocument/2006/relationships/hyperlink" Target="https://static1.squarespace.com/static/599cb78ff43b55abc0748729/t/599f75c4ccc5c58f6c3cf24b/1503622598881/mayne_2009.pdf" TargetMode="External"/><Relationship Id="rId61" Type="http://schemas.openxmlformats.org/officeDocument/2006/relationships/hyperlink" Target="https://trace.tennessee.edu/cgi/viewcontent.cgi?article=1440&amp;context=utk_graddiss" TargetMode="External"/><Relationship Id="rId82" Type="http://schemas.openxmlformats.org/officeDocument/2006/relationships/hyperlink" Target="https://www.sciencedirect.com/science/article/pii/S0019103596955839%20%20%20AND%20%20%20Taki's%20mail" TargetMode="External"/><Relationship Id="rId152" Type="http://schemas.openxmlformats.org/officeDocument/2006/relationships/hyperlink" Target="https://repositorio.usp.br/directbitstream/74abfc4e-d276-49f9-9b1a-b06ab0edb676/1529694.pdf" TargetMode="External"/><Relationship Id="rId173" Type="http://schemas.openxmlformats.org/officeDocument/2006/relationships/hyperlink" Target="http://articles.adsabs.harvard.edu/cgi-bin/nph-iarticle_query?1998AMR....11...49Y&amp;defaultprint=YES&amp;filetype=.pdf" TargetMode="External"/><Relationship Id="rId194" Type="http://schemas.openxmlformats.org/officeDocument/2006/relationships/hyperlink" Target="https://core.ac.uk/download/pdf/12532709.pdf" TargetMode="External"/><Relationship Id="rId199" Type="http://schemas.openxmlformats.org/officeDocument/2006/relationships/hyperlink" Target="https://onlinelibrary.wiley.com/doi/pdf/10.1111/j.1945-5100.2010.01021.x" TargetMode="External"/><Relationship Id="rId203" Type="http://schemas.openxmlformats.org/officeDocument/2006/relationships/hyperlink" Target="https://link.springer.com/content/pdf/10.1007%2FBF01164487.pdf" TargetMode="External"/><Relationship Id="rId208" Type="http://schemas.openxmlformats.org/officeDocument/2006/relationships/hyperlink" Target="https://www.researchgate.net/publication/229812084_Formation_conditions_of_igneous_regions_in_ordinary_chondrites_Chico_Rose_City_and_other_heavily_shocked_H_and_L_chondrites" TargetMode="External"/><Relationship Id="rId229" Type="http://schemas.openxmlformats.org/officeDocument/2006/relationships/hyperlink" Target="https://nipr.repo.nii.ac.jp/?action=repository_action_common_download&amp;item_id=1044&amp;item_no=1&amp;attribute_id=18&amp;file_no=1" TargetMode="External"/><Relationship Id="rId19" Type="http://schemas.openxmlformats.org/officeDocument/2006/relationships/hyperlink" Target="https://www.lpi.usra.edu/meetings/lpsc2002/pdf/1168.pdf" TargetMode="External"/><Relationship Id="rId224" Type="http://schemas.openxmlformats.org/officeDocument/2006/relationships/hyperlink" Target="https://www.lpi.usra.edu/meetings/lpsc1994/pdf/1453.pdf" TargetMode="External"/><Relationship Id="rId240" Type="http://schemas.openxmlformats.org/officeDocument/2006/relationships/hyperlink" Target="https://onlinelibrary.wiley.com/doi/epdf/10.1111/j.1945-5100.2010.01090.x" TargetMode="External"/><Relationship Id="rId245" Type="http://schemas.openxmlformats.org/officeDocument/2006/relationships/hyperlink" Target="https://onlinelibrary.wiley.com/doi/pdf/10.1111/maps.12513" TargetMode="External"/><Relationship Id="rId261" Type="http://schemas.openxmlformats.org/officeDocument/2006/relationships/hyperlink" Target="https://onlinelibrary.wiley.com/doi/pdf/10.1111/maps.12513" TargetMode="External"/><Relationship Id="rId266" Type="http://schemas.openxmlformats.org/officeDocument/2006/relationships/hyperlink" Target="https://onlinelibrary.wiley.com/doi/pdf/10.1111/maps.12513" TargetMode="External"/><Relationship Id="rId287" Type="http://schemas.openxmlformats.org/officeDocument/2006/relationships/hyperlink" Target="https://www.researchgate.net/publication/348799548_Unmixing_Mineral_Abundance_and_Mg_With_Radiative_Transfer_Theory_Modeling_and_Applications" TargetMode="External"/><Relationship Id="rId14" Type="http://schemas.openxmlformats.org/officeDocument/2006/relationships/hyperlink" Target="https://citeseerx.ist.psu.edu/viewdoc/download?doi=10.1.1.581.1908&amp;rep=rep1&amp;type=pdf" TargetMode="External"/><Relationship Id="rId30" Type="http://schemas.openxmlformats.org/officeDocument/2006/relationships/hyperlink" Target="https://citeseerx.ist.psu.edu/viewdoc/download?doi=10.1.1.601.6485&amp;rep=rep1&amp;type=pdf" TargetMode="External"/><Relationship Id="rId35" Type="http://schemas.openxmlformats.org/officeDocument/2006/relationships/hyperlink" Target="https://onlinelibrary.wiley.com/doi/pdf/10.1111/j.1945-5100.2010.01061.x" TargetMode="External"/><Relationship Id="rId56" Type="http://schemas.openxmlformats.org/officeDocument/2006/relationships/hyperlink" Target="https://www.lpi.usra.edu/lunar/samples/atlas/compendium/60055.pdf" TargetMode="External"/><Relationship Id="rId77" Type="http://schemas.openxmlformats.org/officeDocument/2006/relationships/hyperlink" Target="https://journals.co.za/doi/pdf/10.10520/AJA10120750_1555" TargetMode="External"/><Relationship Id="rId100" Type="http://schemas.openxmlformats.org/officeDocument/2006/relationships/hyperlink" Target="http://articles.adsabs.harvard.edu/cgi-bin/nph-iarticle_query?1998M%26PS...33..853R&amp;defaultprint=YES&amp;filetype=.pdf" TargetMode="External"/><Relationship Id="rId105" Type="http://schemas.openxmlformats.org/officeDocument/2006/relationships/hyperlink" Target="https://trace.tennessee.edu/cgi/viewcontent.cgi?article=1440&amp;context=utk_graddiss" TargetMode="External"/><Relationship Id="rId126" Type="http://schemas.openxmlformats.org/officeDocument/2006/relationships/hyperlink" Target="https://trace.tennessee.edu/cgi/viewcontent.cgi?article=1440&amp;context=utk_graddiss" TargetMode="External"/><Relationship Id="rId147" Type="http://schemas.openxmlformats.org/officeDocument/2006/relationships/hyperlink" Target="http://articles.adsabs.harvard.edu/cgi-bin/nph-iarticle_query?1998AMR....11...49Y&amp;defaultprint=YES&amp;filetype=.pdf" TargetMode="External"/><Relationship Id="rId168" Type="http://schemas.openxmlformats.org/officeDocument/2006/relationships/hyperlink" Target="https://onlinelibrary.wiley.com/doi/pdf/10.1111/j.1945-5100.2010.01061.x" TargetMode="External"/><Relationship Id="rId282" Type="http://schemas.openxmlformats.org/officeDocument/2006/relationships/hyperlink" Target="http://articles.adsabs.harvard.edu/pdf/2002M%26PS...37...75G" TargetMode="External"/><Relationship Id="rId8" Type="http://schemas.openxmlformats.org/officeDocument/2006/relationships/hyperlink" Target="https://www.sciencedirect.com/science/article/abs/pii/0079194675900373" TargetMode="External"/><Relationship Id="rId51" Type="http://schemas.openxmlformats.org/officeDocument/2006/relationships/hyperlink" Target="https://www.sciencedirect.com/science/article/pii/S0016703717304015?via%3Dihub" TargetMode="External"/><Relationship Id="rId72" Type="http://schemas.openxmlformats.org/officeDocument/2006/relationships/hyperlink" Target="https://agupubs.onlinelibrary.wiley.com/doi/full/10.1029/2019JE006011" TargetMode="External"/><Relationship Id="rId93" Type="http://schemas.openxmlformats.org/officeDocument/2006/relationships/hyperlink" Target="https://trace.tennessee.edu/cgi/viewcontent.cgi?article=1440&amp;context=utk_graddiss" TargetMode="External"/><Relationship Id="rId98" Type="http://schemas.openxmlformats.org/officeDocument/2006/relationships/hyperlink" Target="https://trace.tennessee.edu/cgi/viewcontent.cgi?article=1440&amp;context=utk_graddiss" TargetMode="External"/><Relationship Id="rId121" Type="http://schemas.openxmlformats.org/officeDocument/2006/relationships/hyperlink" Target="https://trace.tennessee.edu/cgi/viewcontent.cgi?article=1440&amp;context=utk_graddiss" TargetMode="External"/><Relationship Id="rId142" Type="http://schemas.openxmlformats.org/officeDocument/2006/relationships/hyperlink" Target="https://trace.tennessee.edu/cgi/viewcontent.cgi?article=1440&amp;context=utk_graddiss" TargetMode="External"/><Relationship Id="rId163" Type="http://schemas.openxmlformats.org/officeDocument/2006/relationships/hyperlink" Target="https://onlinelibrary.wiley.com/doi/pdf/10.1111/j.1945-5100.2010.01061.x" TargetMode="External"/><Relationship Id="rId184" Type="http://schemas.openxmlformats.org/officeDocument/2006/relationships/hyperlink" Target="https://www.jstage.jst.go.jp/article/minerj/9/8/9_8_460/_pdf" TargetMode="External"/><Relationship Id="rId189" Type="http://schemas.openxmlformats.org/officeDocument/2006/relationships/hyperlink" Target="http://articles.adsabs.harvard.edu/cgi-bin/nph-iarticle_query?1989Metic..24..219M&amp;defaultprint=YES&amp;filetype=.pdf" TargetMode="External"/><Relationship Id="rId219" Type="http://schemas.openxmlformats.org/officeDocument/2006/relationships/hyperlink" Target="http://adsabs.harvard.edu/pdf/1990Metic..25...77M" TargetMode="External"/><Relationship Id="rId3" Type="http://schemas.openxmlformats.org/officeDocument/2006/relationships/hyperlink" Target="https://link.springer.com/article/10.1007/BF00373580" TargetMode="External"/><Relationship Id="rId214" Type="http://schemas.openxmlformats.org/officeDocument/2006/relationships/hyperlink" Target="https://citeseerx.ist.psu.edu/viewdoc/download?doi=10.1.1.601.6485&amp;rep=rep1&amp;type=pdf" TargetMode="External"/><Relationship Id="rId230" Type="http://schemas.openxmlformats.org/officeDocument/2006/relationships/hyperlink" Target="https://nipr.repo.nii.ac.jp/?action=repository_action_common_download&amp;item_id=1044&amp;item_no=1&amp;attribute_id=18&amp;file_no=1" TargetMode="External"/><Relationship Id="rId235" Type="http://schemas.openxmlformats.org/officeDocument/2006/relationships/hyperlink" Target="https://www.uwinnipeg.ca/c-tape/docs/sample-bible.pdf" TargetMode="External"/><Relationship Id="rId251" Type="http://schemas.openxmlformats.org/officeDocument/2006/relationships/hyperlink" Target="https://onlinelibrary.wiley.com/doi/pdf/10.1111/maps.12513" TargetMode="External"/><Relationship Id="rId256" Type="http://schemas.openxmlformats.org/officeDocument/2006/relationships/hyperlink" Target="https://onlinelibrary.wiley.com/doi/pdf/10.1111/j.1945-5100.2010.01061.x" TargetMode="External"/><Relationship Id="rId277" Type="http://schemas.openxmlformats.org/officeDocument/2006/relationships/hyperlink" Target="https://repositorio.usp.br/directbitstream/3f4f374b-77b7-4122-83ab-566f42b39152/1529140.pdf" TargetMode="External"/><Relationship Id="rId298" Type="http://schemas.openxmlformats.org/officeDocument/2006/relationships/hyperlink" Target="https://onlinelibrary.wiley.com/doi/epdf/10.1111/j.1945-5100.2010.01090.x" TargetMode="External"/><Relationship Id="rId25" Type="http://schemas.openxmlformats.org/officeDocument/2006/relationships/hyperlink" Target="https://core.ac.uk/download/pdf/51485397.pdf" TargetMode="External"/><Relationship Id="rId46" Type="http://schemas.openxmlformats.org/officeDocument/2006/relationships/hyperlink" Target="https://onlinelibrary.wiley.com/doi/pdf/10.1111/j.1945-5100.2010.01061.x" TargetMode="External"/><Relationship Id="rId67" Type="http://schemas.openxmlformats.org/officeDocument/2006/relationships/hyperlink" Target="https://agupubs.onlinelibrary.wiley.com/doi/full/10.1029/2019JE006011" TargetMode="External"/><Relationship Id="rId116" Type="http://schemas.openxmlformats.org/officeDocument/2006/relationships/hyperlink" Target="https://trace.tennessee.edu/cgi/viewcontent.cgi?article=1440&amp;context=utk_graddiss" TargetMode="External"/><Relationship Id="rId137" Type="http://schemas.openxmlformats.org/officeDocument/2006/relationships/hyperlink" Target="https://trace.tennessee.edu/cgi/viewcontent.cgi?article=1440&amp;context=utk_graddiss" TargetMode="External"/><Relationship Id="rId158" Type="http://schemas.openxmlformats.org/officeDocument/2006/relationships/hyperlink" Target="https://onlinelibrary.wiley.com/doi/epdf/10.1111/maps.13203" TargetMode="External"/><Relationship Id="rId272" Type="http://schemas.openxmlformats.org/officeDocument/2006/relationships/hyperlink" Target="https://onlinelibrary.wiley.com/doi/pdf/10.1111/maps.12513" TargetMode="External"/><Relationship Id="rId293" Type="http://schemas.openxmlformats.org/officeDocument/2006/relationships/hyperlink" Target="http://articles.adsabs.harvard.edu/cgi-bin/nph-iarticle_query?1972Metic...7..109L&amp;defaultprint=YES&amp;filetype=.pdf" TargetMode="External"/><Relationship Id="rId302" Type="http://schemas.openxmlformats.org/officeDocument/2006/relationships/hyperlink" Target="https://www.sciencedirect.com/science/article/pii/S0016703767800401" TargetMode="External"/><Relationship Id="rId307" Type="http://schemas.openxmlformats.org/officeDocument/2006/relationships/hyperlink" Target="https://www.researchgate.net/publication/348799548_Unmixing_Mineral_Abundance_and_Mg_With_Radiative_Transfer_Theory_Modeling_and_Applications" TargetMode="External"/><Relationship Id="rId20" Type="http://schemas.openxmlformats.org/officeDocument/2006/relationships/hyperlink" Target="https://www.lpi.usra.edu/meetings/lpsc2002/pdf/1168.pdf" TargetMode="External"/><Relationship Id="rId41" Type="http://schemas.openxmlformats.org/officeDocument/2006/relationships/hyperlink" Target="https://onlinelibrary.wiley.com/doi/pdf/10.1111/j.1945-5100.2010.01061.x" TargetMode="External"/><Relationship Id="rId62" Type="http://schemas.openxmlformats.org/officeDocument/2006/relationships/hyperlink" Target="https://static1.squarespace.com/static/599cb78ff43b55abc0748729/t/599f75c4ccc5c58f6c3cf24b/1503622598881/mayne_2009.pdf" TargetMode="External"/><Relationship Id="rId83" Type="http://schemas.openxmlformats.org/officeDocument/2006/relationships/hyperlink" Target="https://www.sciencedirect.com/science/article/pii/S0019103596955839%20%20%20AND%20%20%20Taki's%20mail" TargetMode="External"/><Relationship Id="rId88" Type="http://schemas.openxmlformats.org/officeDocument/2006/relationships/hyperlink" Target="https://www.lpi.usra.edu/lunar/samples/atlas/compendium/65315.pdf" TargetMode="External"/><Relationship Id="rId111" Type="http://schemas.openxmlformats.org/officeDocument/2006/relationships/hyperlink" Target="https://trace.tennessee.edu/cgi/viewcontent.cgi?article=1440&amp;context=utk_graddiss" TargetMode="External"/><Relationship Id="rId132" Type="http://schemas.openxmlformats.org/officeDocument/2006/relationships/hyperlink" Target="https://trace.tennessee.edu/cgi/viewcontent.cgi?article=1440&amp;context=utk_graddiss" TargetMode="External"/><Relationship Id="rId153" Type="http://schemas.openxmlformats.org/officeDocument/2006/relationships/hyperlink" Target="https://onlinelibrary.wiley.com/doi/epdf/10.1111/maps.13203" TargetMode="External"/><Relationship Id="rId174" Type="http://schemas.openxmlformats.org/officeDocument/2006/relationships/hyperlink" Target="https://earth-planets-space.springeropen.com/track/pdf/10.1186/s40623-019-1015-9.pdf" TargetMode="External"/><Relationship Id="rId179" Type="http://schemas.openxmlformats.org/officeDocument/2006/relationships/hyperlink" Target="http://articles.adsabs.harvard.edu/cgi-bin/nph-iarticle_query?1994AMR.....7....9I&amp;defaultprint=YES&amp;filetype=.pdf" TargetMode="External"/><Relationship Id="rId195" Type="http://schemas.openxmlformats.org/officeDocument/2006/relationships/hyperlink" Target="https://www.researchgate.net/publication/343905376_SCIENTIFIC_NOTE_AN_UPDATE_ON_THE_MINERALOGY_AND_CHEMISTRY_OF_THE_ALTA'AMEEM_METEORITE" TargetMode="External"/><Relationship Id="rId209" Type="http://schemas.openxmlformats.org/officeDocument/2006/relationships/hyperlink" Target="https://www.researchgate.net/profile/William-Leeman/publication/249524387_Petrology_of_McKinney_Basalt_Snake_River_Plain_Idaho/links/00b495202c3fda1e0b000000/Petrology-of-McKinney-Basalt-Snake-River-Plain-Idaho.pdf" TargetMode="External"/><Relationship Id="rId190" Type="http://schemas.openxmlformats.org/officeDocument/2006/relationships/hyperlink" Target="https://www.jstor.org/stable/pdf/2990353.pdf?refreqid=excelsior%3A18b205a677b4abb7936bcf833bbba947" TargetMode="External"/><Relationship Id="rId204" Type="http://schemas.openxmlformats.org/officeDocument/2006/relationships/hyperlink" Target="http://articles.adsabs.harvard.edu/cgi-bin/nph-iarticle_query?1981Metic..16...69M&amp;defaultprint=YES&amp;filetype=.pdf" TargetMode="External"/><Relationship Id="rId220" Type="http://schemas.openxmlformats.org/officeDocument/2006/relationships/hyperlink" Target="https://www.lpi.usra.edu/meetings/lpsc1994/pdf/1453.pdf" TargetMode="External"/><Relationship Id="rId225" Type="http://schemas.openxmlformats.org/officeDocument/2006/relationships/hyperlink" Target="https://www.lpi.usra.edu/meetings/lpsc1994/pdf/1453.pdf" TargetMode="External"/><Relationship Id="rId241" Type="http://schemas.openxmlformats.org/officeDocument/2006/relationships/hyperlink" Target="https://onlinelibrary.wiley.com/doi/epdf/10.1111/j.1945-5100.2010.01090.x" TargetMode="External"/><Relationship Id="rId246" Type="http://schemas.openxmlformats.org/officeDocument/2006/relationships/hyperlink" Target="https://onlinelibrary.wiley.com/doi/pdf/10.1111/j.1945-5100.2010.01061.x" TargetMode="External"/><Relationship Id="rId267" Type="http://schemas.openxmlformats.org/officeDocument/2006/relationships/hyperlink" Target="https://onlinelibrary.wiley.com/doi/pdf/10.1111/maps.12513" TargetMode="External"/><Relationship Id="rId288" Type="http://schemas.openxmlformats.org/officeDocument/2006/relationships/hyperlink" Target="http://articles.adsabs.harvard.edu/cgi-bin/nph-iarticle_query?1988LPI....19..134B&amp;defaultprint=YES&amp;page_ind=1&amp;filetype=.pdf" TargetMode="External"/><Relationship Id="rId15" Type="http://schemas.openxmlformats.org/officeDocument/2006/relationships/hyperlink" Target="https://www.sciencedirect.com/science/article/pii/S2214242815000297" TargetMode="External"/><Relationship Id="rId36" Type="http://schemas.openxmlformats.org/officeDocument/2006/relationships/hyperlink" Target="https://onlinelibrary.wiley.com/doi/pdf/10.1111/j.1945-5100.2010.01061.x" TargetMode="External"/><Relationship Id="rId57" Type="http://schemas.openxmlformats.org/officeDocument/2006/relationships/hyperlink" Target="https://www.lpi.usra.edu/lunar/samples/atlas/compendium/65315.pdf" TargetMode="External"/><Relationship Id="rId106" Type="http://schemas.openxmlformats.org/officeDocument/2006/relationships/hyperlink" Target="https://trace.tennessee.edu/cgi/viewcontent.cgi?article=1440&amp;context=utk_graddiss" TargetMode="External"/><Relationship Id="rId127" Type="http://schemas.openxmlformats.org/officeDocument/2006/relationships/hyperlink" Target="https://trace.tennessee.edu/cgi/viewcontent.cgi?article=1440&amp;context=utk_graddiss" TargetMode="External"/><Relationship Id="rId262" Type="http://schemas.openxmlformats.org/officeDocument/2006/relationships/hyperlink" Target="https://onlinelibrary.wiley.com/doi/pdf/10.1111/maps.12513" TargetMode="External"/><Relationship Id="rId283" Type="http://schemas.openxmlformats.org/officeDocument/2006/relationships/hyperlink" Target="http://articles.adsabs.harvard.edu/pdf/2002M%26PS...37...75G" TargetMode="External"/><Relationship Id="rId10" Type="http://schemas.openxmlformats.org/officeDocument/2006/relationships/hyperlink" Target="https://www.sciencedirect.com/science/article/abs/pii/0079194675900373" TargetMode="External"/><Relationship Id="rId31" Type="http://schemas.openxmlformats.org/officeDocument/2006/relationships/hyperlink" Target="https://onlinelibrary.wiley.com/doi/pdf/10.1111/j.1945-5100.2010.01061.x" TargetMode="External"/><Relationship Id="rId52" Type="http://schemas.openxmlformats.org/officeDocument/2006/relationships/hyperlink" Target="https://static1.squarespace.com/static/599cb78ff43b55abc0748729/t/599f75c4ccc5c58f6c3cf24b/1503622598881/mayne_2009.pdf" TargetMode="External"/><Relationship Id="rId73" Type="http://schemas.openxmlformats.org/officeDocument/2006/relationships/hyperlink" Target="https://academic.oup.com/petrology/article-pdf/52/2/279/16671653/egq080.pdf" TargetMode="External"/><Relationship Id="rId78" Type="http://schemas.openxmlformats.org/officeDocument/2006/relationships/hyperlink" Target="https://journals.co.za/doi/pdf/10.10520/AJA10120750_1555" TargetMode="External"/><Relationship Id="rId94" Type="http://schemas.openxmlformats.org/officeDocument/2006/relationships/hyperlink" Target="http://adsabs.harvard.edu/pdf/1980Metic..15...69D" TargetMode="External"/><Relationship Id="rId99" Type="http://schemas.openxmlformats.org/officeDocument/2006/relationships/hyperlink" Target="https://trace.tennessee.edu/cgi/viewcontent.cgi?article=1440&amp;context=utk_graddiss" TargetMode="External"/><Relationship Id="rId101" Type="http://schemas.openxmlformats.org/officeDocument/2006/relationships/hyperlink" Target="http://articles.adsabs.harvard.edu/cgi-bin/nph-iarticle_query?1998M%26PS...33..853R&amp;defaultprint=YES&amp;filetype=.pdf" TargetMode="External"/><Relationship Id="rId122" Type="http://schemas.openxmlformats.org/officeDocument/2006/relationships/hyperlink" Target="https://trace.tennessee.edu/cgi/viewcontent.cgi?article=1440&amp;context=utk_graddiss" TargetMode="External"/><Relationship Id="rId143" Type="http://schemas.openxmlformats.org/officeDocument/2006/relationships/hyperlink" Target="https://www.jstage.jst.go.jp/article/minerj/9/8/9_8_460/_pdf" TargetMode="External"/><Relationship Id="rId148" Type="http://schemas.openxmlformats.org/officeDocument/2006/relationships/hyperlink" Target="http://articles.adsabs.harvard.edu/cgi-bin/nph-iarticle_query?1998AMR....11...49Y&amp;defaultprint=YES&amp;filetype=.pdf" TargetMode="External"/><Relationship Id="rId164" Type="http://schemas.openxmlformats.org/officeDocument/2006/relationships/hyperlink" Target="http://adsabs.harvard.edu/pdf/1989LPSC...19..475W" TargetMode="External"/><Relationship Id="rId169" Type="http://schemas.openxmlformats.org/officeDocument/2006/relationships/hyperlink" Target="https://onlinelibrary.wiley.com/doi/pdf/10.1111/j.1945-5100.2010.01061.x" TargetMode="External"/><Relationship Id="rId185" Type="http://schemas.openxmlformats.org/officeDocument/2006/relationships/hyperlink" Target="http://articles.adsabs.harvard.edu/cgi-bin/nph-iarticle_query?1994AMR.....7....9I&amp;defaultprint=YES&amp;filetype=.pdf" TargetMode="External"/><Relationship Id="rId4" Type="http://schemas.openxmlformats.org/officeDocument/2006/relationships/hyperlink" Target="https://link.springer.com/article/10.1007/BF00373580" TargetMode="External"/><Relationship Id="rId9" Type="http://schemas.openxmlformats.org/officeDocument/2006/relationships/hyperlink" Target="https://www.sciencedirect.com/science/article/abs/pii/0079194675900373" TargetMode="External"/><Relationship Id="rId180" Type="http://schemas.openxmlformats.org/officeDocument/2006/relationships/hyperlink" Target="https://www.lpi.usra.edu/meteor/metbull.php?sea=77005&amp;sfor=names&amp;ants=&amp;nwas=&amp;falls=&amp;valids=&amp;stype=contains&amp;lrec=50&amp;map=ge&amp;browse=&amp;country=All&amp;srt=name&amp;categ=All&amp;mblist=All&amp;rect=&amp;phot=&amp;strewn=&amp;snew=0&amp;pnt=Normal%20table&amp;code=1321" TargetMode="External"/><Relationship Id="rId210" Type="http://schemas.openxmlformats.org/officeDocument/2006/relationships/hyperlink" Target="http://articles.adsabs.harvard.edu/cgi-bin/nph-iarticle_query?1985Metic..20...79B&amp;defaultprint=YES&amp;filetype=.pdf" TargetMode="External"/><Relationship Id="rId215" Type="http://schemas.openxmlformats.org/officeDocument/2006/relationships/hyperlink" Target="https://digitallibrary.amnh.org/bitstream/handle/2246/3441/v2/dspace/ingest/pdfSource/nov/N2069.pdf?sequence=1" TargetMode="External"/><Relationship Id="rId236" Type="http://schemas.openxmlformats.org/officeDocument/2006/relationships/hyperlink" Target="https://onlinelibrary.wiley.com/doi/epdf/10.1111/j.1945-5100.2010.01090.x" TargetMode="External"/><Relationship Id="rId257" Type="http://schemas.openxmlformats.org/officeDocument/2006/relationships/hyperlink" Target="https://onlinelibrary.wiley.com/doi/pdf/10.1111/maps.12513" TargetMode="External"/><Relationship Id="rId278" Type="http://schemas.openxmlformats.org/officeDocument/2006/relationships/hyperlink" Target="https://digitallibrary.amnh.org/bitstream/handle/2246/3441/v2/dspace/ingest/pdfSource/nov/N2069.pdf?sequence=1" TargetMode="External"/><Relationship Id="rId26" Type="http://schemas.openxmlformats.org/officeDocument/2006/relationships/hyperlink" Target="https://onlinelibrary.wiley.com/doi/pdf/10.1111/j.1945-5100.2010.01061.x" TargetMode="External"/><Relationship Id="rId231" Type="http://schemas.openxmlformats.org/officeDocument/2006/relationships/hyperlink" Target="https://nipr.repo.nii.ac.jp/?action=repository_action_common_download&amp;item_id=1044&amp;item_no=1&amp;attribute_id=18&amp;file_no=1" TargetMode="External"/><Relationship Id="rId252" Type="http://schemas.openxmlformats.org/officeDocument/2006/relationships/hyperlink" Target="https://onlinelibrary.wiley.com/doi/pdf/10.1111/maps.12513" TargetMode="External"/><Relationship Id="rId273" Type="http://schemas.openxmlformats.org/officeDocument/2006/relationships/hyperlink" Target="https://onlinelibrary.wiley.com/doi/pdf/10.1111/j.1945-5100.2010.01061.x" TargetMode="External"/><Relationship Id="rId294" Type="http://schemas.openxmlformats.org/officeDocument/2006/relationships/hyperlink" Target="https://www.sciencedirect.com/science/article/pii/S0016703717304015?via%3Dihub" TargetMode="External"/><Relationship Id="rId47" Type="http://schemas.openxmlformats.org/officeDocument/2006/relationships/hyperlink" Target="https://onlinelibrary.wiley.com/doi/pdf/10.1111/j.1945-5100.2010.01061.x" TargetMode="External"/><Relationship Id="rId68" Type="http://schemas.openxmlformats.org/officeDocument/2006/relationships/hyperlink" Target="https://agupubs.onlinelibrary.wiley.com/doi/full/10.1029/2019JE006011" TargetMode="External"/><Relationship Id="rId89" Type="http://schemas.openxmlformats.org/officeDocument/2006/relationships/hyperlink" Target="https://trace.tennessee.edu/cgi/viewcontent.cgi?article=1440&amp;context=utk_graddiss" TargetMode="External"/><Relationship Id="rId112" Type="http://schemas.openxmlformats.org/officeDocument/2006/relationships/hyperlink" Target="https://trace.tennessee.edu/cgi/viewcontent.cgi?article=1440&amp;context=utk_graddiss" TargetMode="External"/><Relationship Id="rId133" Type="http://schemas.openxmlformats.org/officeDocument/2006/relationships/hyperlink" Target="https://trace.tennessee.edu/cgi/viewcontent.cgi?article=1440&amp;context=utk_graddiss" TargetMode="External"/><Relationship Id="rId154" Type="http://schemas.openxmlformats.org/officeDocument/2006/relationships/hyperlink" Target="https://onlinelibrary.wiley.com/doi/epdf/10.1111/maps.13203" TargetMode="External"/><Relationship Id="rId175" Type="http://schemas.openxmlformats.org/officeDocument/2006/relationships/hyperlink" Target="https://earth-planets-space.springeropen.com/track/pdf/10.1186/s40623-019-1015-9.pdf" TargetMode="External"/><Relationship Id="rId196" Type="http://schemas.openxmlformats.org/officeDocument/2006/relationships/hyperlink" Target="https://onlinelibrary.wiley.com/doi/pdf/10.1111/j.1945-5100.2010.01021.x" TargetMode="External"/><Relationship Id="rId200" Type="http://schemas.openxmlformats.org/officeDocument/2006/relationships/hyperlink" Target="https://citeseerx.ist.psu.edu/viewdoc/download?doi=10.1.1.474.4985&amp;rep=rep1&amp;type=pdf" TargetMode="External"/><Relationship Id="rId16" Type="http://schemas.openxmlformats.org/officeDocument/2006/relationships/hyperlink" Target="http://adsabs.harvard.edu/pdf/1975Metic..10..303B" TargetMode="External"/><Relationship Id="rId221" Type="http://schemas.openxmlformats.org/officeDocument/2006/relationships/hyperlink" Target="https://www.lpi.usra.edu/meetings/lpsc1994/pdf/1453.pdf" TargetMode="External"/><Relationship Id="rId242" Type="http://schemas.openxmlformats.org/officeDocument/2006/relationships/hyperlink" Target="https://onlinelibrary.wiley.com/doi/epdf/10.1111/j.1945-5100.2010.01090.x" TargetMode="External"/><Relationship Id="rId263" Type="http://schemas.openxmlformats.org/officeDocument/2006/relationships/hyperlink" Target="https://onlinelibrary.wiley.com/doi/pdf/10.1111/j.1945-5100.2010.01061.x" TargetMode="External"/><Relationship Id="rId284" Type="http://schemas.openxmlformats.org/officeDocument/2006/relationships/hyperlink" Target="http://articles.adsabs.harvard.edu/pdf/2002M%26PS...37...75G" TargetMode="External"/><Relationship Id="rId37" Type="http://schemas.openxmlformats.org/officeDocument/2006/relationships/hyperlink" Target="https://onlinelibrary.wiley.com/doi/pdf/10.1111/j.1945-5100.2010.01061.x" TargetMode="External"/><Relationship Id="rId58" Type="http://schemas.openxmlformats.org/officeDocument/2006/relationships/hyperlink" Target="https://www.lpi.usra.edu/lunar/samples/atlas/compendium/65315.pdf" TargetMode="External"/><Relationship Id="rId79" Type="http://schemas.openxmlformats.org/officeDocument/2006/relationships/hyperlink" Target="https://www.nature.com/articles/303325a0.pdf" TargetMode="External"/><Relationship Id="rId102" Type="http://schemas.openxmlformats.org/officeDocument/2006/relationships/hyperlink" Target="https://trace.tennessee.edu/cgi/viewcontent.cgi?article=1440&amp;context=utk_graddiss" TargetMode="External"/><Relationship Id="rId123" Type="http://schemas.openxmlformats.org/officeDocument/2006/relationships/hyperlink" Target="https://trace.tennessee.edu/cgi/viewcontent.cgi?article=1440&amp;context=utk_graddiss" TargetMode="External"/><Relationship Id="rId144" Type="http://schemas.openxmlformats.org/officeDocument/2006/relationships/hyperlink" Target="http://articles.adsabs.harvard.edu/cgi-bin/nph-iarticle_query?1998AMR....11...49Y&amp;defaultprint=YES&amp;filetype=.pdf" TargetMode="External"/><Relationship Id="rId90" Type="http://schemas.openxmlformats.org/officeDocument/2006/relationships/hyperlink" Target="https://trace.tennessee.edu/cgi/viewcontent.cgi?article=1440&amp;context=utk_graddiss" TargetMode="External"/><Relationship Id="rId165" Type="http://schemas.openxmlformats.org/officeDocument/2006/relationships/hyperlink" Target="http://adsabs.harvard.edu/pdf/1989LPSC...19..475W" TargetMode="External"/><Relationship Id="rId186" Type="http://schemas.openxmlformats.org/officeDocument/2006/relationships/hyperlink" Target="http://articles.adsabs.harvard.edu/cgi-bin/nph-iarticle_query?1989Metic..24..219M&amp;defaultprint=YES&amp;filetype=.pdf" TargetMode="External"/><Relationship Id="rId211" Type="http://schemas.openxmlformats.org/officeDocument/2006/relationships/hyperlink" Target="https://digitallibrary.amnh.org/bitstream/handle/2246/3441/v2/dspace/ingest/pdfSource/nov/N2069.pdf?sequence=1" TargetMode="External"/><Relationship Id="rId232" Type="http://schemas.openxmlformats.org/officeDocument/2006/relationships/hyperlink" Target="https://www.uwinnipeg.ca/c-tape/docs/sample-bible.pdf" TargetMode="External"/><Relationship Id="rId253" Type="http://schemas.openxmlformats.org/officeDocument/2006/relationships/hyperlink" Target="https://onlinelibrary.wiley.com/doi/pdf/10.1111/maps.12513" TargetMode="External"/><Relationship Id="rId274" Type="http://schemas.openxmlformats.org/officeDocument/2006/relationships/hyperlink" Target="https://onlinelibrary.wiley.com/doi/pdf/10.1111/maps.12513" TargetMode="External"/><Relationship Id="rId295" Type="http://schemas.openxmlformats.org/officeDocument/2006/relationships/hyperlink" Target="https://core.ac.uk/download/pdf/51485397.pdf" TargetMode="External"/><Relationship Id="rId27" Type="http://schemas.openxmlformats.org/officeDocument/2006/relationships/hyperlink" Target="http://adsabs.harvard.edu/pdf/1980Metic..15...69D" TargetMode="External"/><Relationship Id="rId48" Type="http://schemas.openxmlformats.org/officeDocument/2006/relationships/hyperlink" Target="https://onlinelibrary.wiley.com/doi/pdf/10.1111/j.1945-5100.2010.01061.x" TargetMode="External"/><Relationship Id="rId69" Type="http://schemas.openxmlformats.org/officeDocument/2006/relationships/hyperlink" Target="https://agupubs.onlinelibrary.wiley.com/doi/full/10.1029/2019JE006011" TargetMode="External"/><Relationship Id="rId113" Type="http://schemas.openxmlformats.org/officeDocument/2006/relationships/hyperlink" Target="https://trace.tennessee.edu/cgi/viewcontent.cgi?article=1440&amp;context=utk_graddiss" TargetMode="External"/><Relationship Id="rId134" Type="http://schemas.openxmlformats.org/officeDocument/2006/relationships/hyperlink" Target="https://trace.tennessee.edu/cgi/viewcontent.cgi?article=1440&amp;context=utk_graddiss" TargetMode="External"/><Relationship Id="rId80" Type="http://schemas.openxmlformats.org/officeDocument/2006/relationships/hyperlink" Target="https://www.sciencedirect.com/science/article/pii/S0019103596955839%20%20%20AND%20%20%20Taki's%20mail" TargetMode="External"/><Relationship Id="rId155" Type="http://schemas.openxmlformats.org/officeDocument/2006/relationships/hyperlink" Target="https://onlinelibrary.wiley.com/doi/epdf/10.1111/maps.13203" TargetMode="External"/><Relationship Id="rId176" Type="http://schemas.openxmlformats.org/officeDocument/2006/relationships/hyperlink" Target="https://earth-planets-space.springeropen.com/track/pdf/10.1186/s40623-019-1015-9.pdf" TargetMode="External"/><Relationship Id="rId197" Type="http://schemas.openxmlformats.org/officeDocument/2006/relationships/hyperlink" Target="https://onlinelibrary.wiley.com/doi/pdf/10.1111/j.1945-5100.2010.01021.x" TargetMode="External"/><Relationship Id="rId201" Type="http://schemas.openxmlformats.org/officeDocument/2006/relationships/hyperlink" Target="https://citeseerx.ist.psu.edu/viewdoc/download?doi=10.1.1.474.4985&amp;rep=rep1&amp;type=pdf" TargetMode="External"/><Relationship Id="rId222" Type="http://schemas.openxmlformats.org/officeDocument/2006/relationships/hyperlink" Target="https://www.lpi.usra.edu/meetings/lpsc1994/pdf/1453.pdf" TargetMode="External"/><Relationship Id="rId243" Type="http://schemas.openxmlformats.org/officeDocument/2006/relationships/hyperlink" Target="https://onlinelibrary.wiley.com/doi/epdf/10.1111/j.1945-5100.2010.01090.x" TargetMode="External"/><Relationship Id="rId264" Type="http://schemas.openxmlformats.org/officeDocument/2006/relationships/hyperlink" Target="https://onlinelibrary.wiley.com/doi/pdf/10.1111/maps.12513" TargetMode="External"/><Relationship Id="rId285" Type="http://schemas.openxmlformats.org/officeDocument/2006/relationships/hyperlink" Target="http://articles.adsabs.harvard.edu/pdf/2002M%26PS...37...75G" TargetMode="External"/><Relationship Id="rId17" Type="http://schemas.openxmlformats.org/officeDocument/2006/relationships/hyperlink" Target="https://academic.oup.com/petrology/article-abstract/61/9/egaa087/5897419?redirectedFrom=fulltext" TargetMode="External"/><Relationship Id="rId38" Type="http://schemas.openxmlformats.org/officeDocument/2006/relationships/hyperlink" Target="https://onlinelibrary.wiley.com/doi/pdf/10.1111/j.1945-5100.2010.01061.x" TargetMode="External"/><Relationship Id="rId59" Type="http://schemas.openxmlformats.org/officeDocument/2006/relationships/hyperlink" Target="https://www.lpi.usra.edu/lunar/samples/atlas/compendium/65315.pdf" TargetMode="External"/><Relationship Id="rId103" Type="http://schemas.openxmlformats.org/officeDocument/2006/relationships/hyperlink" Target="https://trace.tennessee.edu/cgi/viewcontent.cgi?article=1440&amp;context=utk_graddiss" TargetMode="External"/><Relationship Id="rId124" Type="http://schemas.openxmlformats.org/officeDocument/2006/relationships/hyperlink" Target="https://trace.tennessee.edu/cgi/viewcontent.cgi?article=1440&amp;context=utk_graddiss" TargetMode="External"/><Relationship Id="rId70" Type="http://schemas.openxmlformats.org/officeDocument/2006/relationships/hyperlink" Target="https://agupubs.onlinelibrary.wiley.com/doi/full/10.1029/2019JE006011" TargetMode="External"/><Relationship Id="rId91" Type="http://schemas.openxmlformats.org/officeDocument/2006/relationships/hyperlink" Target="https://trace.tennessee.edu/cgi/viewcontent.cgi?article=1440&amp;context=utk_graddiss" TargetMode="External"/><Relationship Id="rId145" Type="http://schemas.openxmlformats.org/officeDocument/2006/relationships/hyperlink" Target="https://www.sciencedirect.com/science/article/pii/001670379500226P" TargetMode="External"/><Relationship Id="rId166" Type="http://schemas.openxmlformats.org/officeDocument/2006/relationships/hyperlink" Target="https://core.ac.uk/download/pdf/51485397.pdf" TargetMode="External"/><Relationship Id="rId187" Type="http://schemas.openxmlformats.org/officeDocument/2006/relationships/hyperlink" Target="http://articles.adsabs.harvard.edu/cgi-bin/nph-iarticle_query?1989Metic..24..219M&amp;defaultprint=YES&amp;filetype=.pdf" TargetMode="External"/><Relationship Id="rId1" Type="http://schemas.openxmlformats.org/officeDocument/2006/relationships/hyperlink" Target="https://www.researchgate.net/publication/324459195_Reflectance_spectra_of_synthetic_Fe-free_ortho-_and_clinoenstatites_in_the_UVVISIR_and_implications_for_remote_sensing_detection_of_Fe-free_pyroxenes_on_planetary_surfaces" TargetMode="External"/><Relationship Id="rId212" Type="http://schemas.openxmlformats.org/officeDocument/2006/relationships/hyperlink" Target="https://citeseerx.ist.psu.edu/viewdoc/download?doi=10.1.1.601.6485&amp;rep=rep1&amp;type=pdf" TargetMode="External"/><Relationship Id="rId233" Type="http://schemas.openxmlformats.org/officeDocument/2006/relationships/hyperlink" Target="https://www.uwinnipeg.ca/c-tape/docs/sample-bible.pdf" TargetMode="External"/><Relationship Id="rId254" Type="http://schemas.openxmlformats.org/officeDocument/2006/relationships/hyperlink" Target="https://onlinelibrary.wiley.com/doi/pdf/10.1111/j.1945-5100.2010.01061.x" TargetMode="External"/><Relationship Id="rId28" Type="http://schemas.openxmlformats.org/officeDocument/2006/relationships/hyperlink" Target="https://trace.tennessee.edu/cgi/viewcontent.cgi?article=1440&amp;context=utk_graddiss" TargetMode="External"/><Relationship Id="rId49" Type="http://schemas.openxmlformats.org/officeDocument/2006/relationships/hyperlink" Target="https://www.lpi.usra.edu/meteor/metbull.php?sea=77005&amp;sfor=names&amp;ants=&amp;nwas=&amp;falls=&amp;valids=&amp;stype=contains&amp;lrec=50&amp;map=ge&amp;browse=&amp;country=All&amp;srt=name&amp;categ=All&amp;mblist=All&amp;rect=&amp;phot=&amp;strewn=&amp;snew=0&amp;pnt=Normal%20table&amp;code=1321" TargetMode="External"/><Relationship Id="rId114" Type="http://schemas.openxmlformats.org/officeDocument/2006/relationships/hyperlink" Target="https://trace.tennessee.edu/cgi/viewcontent.cgi?article=1440&amp;context=utk_graddiss" TargetMode="External"/><Relationship Id="rId275" Type="http://schemas.openxmlformats.org/officeDocument/2006/relationships/hyperlink" Target="https://onlinelibrary.wiley.com/doi/pdf/10.1111/j.1945-5100.2010.01061.x" TargetMode="External"/><Relationship Id="rId296" Type="http://schemas.openxmlformats.org/officeDocument/2006/relationships/hyperlink" Target="https://www.sciencedirect.com/science/article/pii/S0016703717304015?via%3Dihub" TargetMode="External"/><Relationship Id="rId300" Type="http://schemas.openxmlformats.org/officeDocument/2006/relationships/hyperlink" Target="https://static1.squarespace.com/static/599cb78ff43b55abc0748729/t/599f75c4ccc5c58f6c3cf24b/1503622598881/mayne_2009.pdf" TargetMode="External"/><Relationship Id="rId60" Type="http://schemas.openxmlformats.org/officeDocument/2006/relationships/hyperlink" Target="https://www.lpi.usra.edu/lunar/samples/atlas/compendium/78235.pdf" TargetMode="External"/><Relationship Id="rId81" Type="http://schemas.openxmlformats.org/officeDocument/2006/relationships/hyperlink" Target="https://www.sciencedirect.com/science/article/pii/S0019103596955839%20%20%20AND%20%20%20Taki's%20mail" TargetMode="External"/><Relationship Id="rId135" Type="http://schemas.openxmlformats.org/officeDocument/2006/relationships/hyperlink" Target="https://trace.tennessee.edu/cgi/viewcontent.cgi?article=1440&amp;context=utk_graddiss" TargetMode="External"/><Relationship Id="rId156" Type="http://schemas.openxmlformats.org/officeDocument/2006/relationships/hyperlink" Target="https://onlinelibrary.wiley.com/doi/epdf/10.1111/maps.13203" TargetMode="External"/><Relationship Id="rId177" Type="http://schemas.openxmlformats.org/officeDocument/2006/relationships/hyperlink" Target="https://earth-planets-space.springeropen.com/track/pdf/10.1186/s40623-019-1015-9.pdf" TargetMode="External"/><Relationship Id="rId198" Type="http://schemas.openxmlformats.org/officeDocument/2006/relationships/hyperlink" Target="https://onlinelibrary.wiley.com/doi/pdf/10.1111/j.1945-5100.2010.01021.x" TargetMode="External"/><Relationship Id="rId202" Type="http://schemas.openxmlformats.org/officeDocument/2006/relationships/hyperlink" Target="https://citeseerx.ist.psu.edu/viewdoc/download?doi=10.1.1.474.4985&amp;rep=rep1&amp;type=pdf" TargetMode="External"/><Relationship Id="rId223" Type="http://schemas.openxmlformats.org/officeDocument/2006/relationships/hyperlink" Target="https://www.lpi.usra.edu/meetings/lpsc1994/pdf/1453.pdf" TargetMode="External"/><Relationship Id="rId244" Type="http://schemas.openxmlformats.org/officeDocument/2006/relationships/hyperlink" Target="https://static1.squarespace.com/static/599cb78ff43b55abc0748729/t/599f75c4ccc5c58f6c3cf24b/1503622598881/mayne_2009.pdf" TargetMode="External"/><Relationship Id="rId18" Type="http://schemas.openxmlformats.org/officeDocument/2006/relationships/hyperlink" Target="https://www.lpi.usra.edu/meteor/?code=32788" TargetMode="External"/><Relationship Id="rId39" Type="http://schemas.openxmlformats.org/officeDocument/2006/relationships/hyperlink" Target="https://onlinelibrary.wiley.com/doi/pdf/10.1111/j.1945-5100.2010.01061.x" TargetMode="External"/><Relationship Id="rId265" Type="http://schemas.openxmlformats.org/officeDocument/2006/relationships/hyperlink" Target="https://onlinelibrary.wiley.com/doi/pdf/10.1111/j.1945-5100.2010.01061.x" TargetMode="External"/><Relationship Id="rId286" Type="http://schemas.openxmlformats.org/officeDocument/2006/relationships/hyperlink" Target="https://www.researchgate.net/publication/348799548_Unmixing_Mineral_Abundance_and_Mg_With_Radiative_Transfer_Theory_Modeling_and_Applications" TargetMode="External"/><Relationship Id="rId50" Type="http://schemas.openxmlformats.org/officeDocument/2006/relationships/hyperlink" Target="https://www.sciencedirect.com/science/article/pii/001670379500226P" TargetMode="External"/><Relationship Id="rId104" Type="http://schemas.openxmlformats.org/officeDocument/2006/relationships/hyperlink" Target="https://trace.tennessee.edu/cgi/viewcontent.cgi?article=1440&amp;context=utk_graddiss" TargetMode="External"/><Relationship Id="rId125" Type="http://schemas.openxmlformats.org/officeDocument/2006/relationships/hyperlink" Target="https://trace.tennessee.edu/cgi/viewcontent.cgi?article=1440&amp;context=utk_graddiss" TargetMode="External"/><Relationship Id="rId146" Type="http://schemas.openxmlformats.org/officeDocument/2006/relationships/hyperlink" Target="https://www.sciencedirect.com/science/article/pii/001670379500226P" TargetMode="External"/><Relationship Id="rId167" Type="http://schemas.openxmlformats.org/officeDocument/2006/relationships/hyperlink" Target="https://www.sciencedirect.com/science/article/pii/S0016703717304015?via%3Dihub" TargetMode="External"/><Relationship Id="rId188" Type="http://schemas.openxmlformats.org/officeDocument/2006/relationships/hyperlink" Target="http://articles.adsabs.harvard.edu/cgi-bin/nph-iarticle_query?1989Metic..24..219M&amp;defaultprint=YES&amp;filetype=.pdf" TargetMode="External"/><Relationship Id="rId71" Type="http://schemas.openxmlformats.org/officeDocument/2006/relationships/hyperlink" Target="https://agupubs.onlinelibrary.wiley.com/doi/full/10.1029/2019JE006011" TargetMode="External"/><Relationship Id="rId92" Type="http://schemas.openxmlformats.org/officeDocument/2006/relationships/hyperlink" Target="https://trace.tennessee.edu/cgi/viewcontent.cgi?article=1440&amp;context=utk_graddiss" TargetMode="External"/><Relationship Id="rId213" Type="http://schemas.openxmlformats.org/officeDocument/2006/relationships/hyperlink" Target="https://digitallibrary.amnh.org/bitstream/handle/2246/3441/v2/dspace/ingest/pdfSource/nov/N2069.pdf?sequence=1" TargetMode="External"/><Relationship Id="rId234" Type="http://schemas.openxmlformats.org/officeDocument/2006/relationships/hyperlink" Target="https://www.uwinnipeg.ca/c-tape/docs/sample-bible.pdf" TargetMode="External"/><Relationship Id="rId2" Type="http://schemas.openxmlformats.org/officeDocument/2006/relationships/hyperlink" Target="https://link.springer.com/article/10.1007/BF00373580" TargetMode="External"/><Relationship Id="rId29" Type="http://schemas.openxmlformats.org/officeDocument/2006/relationships/hyperlink" Target="https://trace.tennessee.edu/cgi/viewcontent.cgi?article=1440&amp;context=utk_graddiss" TargetMode="External"/><Relationship Id="rId255" Type="http://schemas.openxmlformats.org/officeDocument/2006/relationships/hyperlink" Target="https://onlinelibrary.wiley.com/doi/pdf/10.1111/maps.12513" TargetMode="External"/><Relationship Id="rId276" Type="http://schemas.openxmlformats.org/officeDocument/2006/relationships/hyperlink" Target="https://onlinelibrary.wiley.com/doi/pdf/10.1111/maps.12513" TargetMode="External"/><Relationship Id="rId297" Type="http://schemas.openxmlformats.org/officeDocument/2006/relationships/hyperlink" Target="https://static1.squarespace.com/static/599cb78ff43b55abc0748729/t/599f75c4ccc5c58f6c3cf24b/1503622598881/mayne_2009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E593"/>
  <sheetViews>
    <sheetView tabSelected="1" topLeftCell="R1" workbookViewId="0">
      <selection activeCell="X19" sqref="X19"/>
    </sheetView>
  </sheetViews>
  <sheetFormatPr defaultRowHeight="11.4"/>
  <cols>
    <col min="2" max="2" width="18.25" customWidth="1"/>
    <col min="5" max="5" width="14.25" customWidth="1"/>
    <col min="6" max="6" width="16.875" customWidth="1"/>
    <col min="12" max="12" width="10.25" customWidth="1"/>
    <col min="17" max="17" width="44.875" customWidth="1"/>
    <col min="18" max="18" width="13.125" customWidth="1"/>
    <col min="19" max="19" width="13.5" customWidth="1"/>
    <col min="20" max="20" width="12.5" customWidth="1"/>
    <col min="21" max="21" width="12.625" customWidth="1"/>
    <col min="31" max="31" width="12.125" customWidth="1"/>
    <col min="33" max="33" width="11.875" customWidth="1"/>
    <col min="43" max="43" width="15.125" customWidth="1"/>
    <col min="44" max="44" width="10.375" customWidth="1"/>
    <col min="53" max="53" width="15.375" customWidth="1"/>
  </cols>
  <sheetData>
    <row r="1" spans="1:57" s="6" customFormat="1" ht="12">
      <c r="A1" s="174"/>
      <c r="B1" s="175"/>
      <c r="C1" s="176"/>
      <c r="D1" s="176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7" t="s">
        <v>0</v>
      </c>
      <c r="R1" s="178" t="s">
        <v>1</v>
      </c>
      <c r="S1" s="178" t="s">
        <v>2</v>
      </c>
      <c r="T1" s="178" t="s">
        <v>3</v>
      </c>
      <c r="U1" s="179" t="s">
        <v>4</v>
      </c>
      <c r="V1" s="180" t="s">
        <v>5</v>
      </c>
      <c r="W1" s="181" t="s">
        <v>6</v>
      </c>
      <c r="X1" s="182" t="s">
        <v>7</v>
      </c>
      <c r="Y1" s="182" t="s">
        <v>8</v>
      </c>
      <c r="Z1" s="182" t="s">
        <v>9</v>
      </c>
      <c r="AA1" s="183" t="s">
        <v>10</v>
      </c>
      <c r="AB1" s="183" t="s">
        <v>11</v>
      </c>
      <c r="AC1" s="183" t="s">
        <v>12</v>
      </c>
      <c r="AD1" s="182" t="s">
        <v>13</v>
      </c>
      <c r="AE1" s="184" t="s">
        <v>14</v>
      </c>
      <c r="AF1" s="185"/>
    </row>
    <row r="2" spans="1:57" s="6" customFormat="1" ht="12">
      <c r="A2" s="174"/>
      <c r="B2" s="175"/>
      <c r="C2" s="176"/>
      <c r="D2" s="176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86"/>
      <c r="R2" s="171">
        <f>71.844</f>
        <v>71.843999999999994</v>
      </c>
      <c r="S2" s="171">
        <f>40.304</f>
        <v>40.304000000000002</v>
      </c>
      <c r="T2" s="171">
        <f>56.0774</f>
        <v>56.077399999999997</v>
      </c>
      <c r="U2" s="171">
        <f>61.9789/2</f>
        <v>30.989450000000001</v>
      </c>
      <c r="V2" s="171">
        <f>94.2/2</f>
        <v>47.1</v>
      </c>
      <c r="W2" s="187"/>
      <c r="X2" s="172">
        <f>4.39/100</f>
        <v>4.3899999999999995E-2</v>
      </c>
      <c r="Y2" s="172">
        <f>3.27/100</f>
        <v>3.27E-2</v>
      </c>
      <c r="Z2" s="172">
        <f>3.95/100</f>
        <v>3.95E-2</v>
      </c>
      <c r="AA2" s="172">
        <f>3.2/100</f>
        <v>3.2000000000000001E-2</v>
      </c>
      <c r="AB2" s="172">
        <f>2.9/100</f>
        <v>2.8999999999999998E-2</v>
      </c>
      <c r="AC2" s="172">
        <f>2.73/100</f>
        <v>2.7300000000000001E-2</v>
      </c>
      <c r="AD2" s="172">
        <f>2.62/100</f>
        <v>2.6200000000000001E-2</v>
      </c>
      <c r="AE2" s="173">
        <f>2.56/100</f>
        <v>2.5600000000000001E-2</v>
      </c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</row>
    <row r="3" spans="1:57" s="258" customFormat="1" ht="72">
      <c r="A3" s="250" t="s">
        <v>15</v>
      </c>
      <c r="B3" s="251" t="s">
        <v>16</v>
      </c>
      <c r="C3" s="250" t="s">
        <v>17</v>
      </c>
      <c r="D3" s="250" t="s">
        <v>18</v>
      </c>
      <c r="E3" s="250" t="s">
        <v>19</v>
      </c>
      <c r="F3" s="250" t="s">
        <v>20</v>
      </c>
      <c r="G3" s="250" t="s">
        <v>21</v>
      </c>
      <c r="H3" s="250" t="s">
        <v>22</v>
      </c>
      <c r="I3" s="250" t="s">
        <v>23</v>
      </c>
      <c r="J3" s="250" t="s">
        <v>24</v>
      </c>
      <c r="K3" s="250" t="s">
        <v>25</v>
      </c>
      <c r="L3" s="250" t="s">
        <v>26</v>
      </c>
      <c r="M3" s="250" t="s">
        <v>27</v>
      </c>
      <c r="N3" s="250" t="s">
        <v>28</v>
      </c>
      <c r="O3" s="250" t="s">
        <v>29</v>
      </c>
      <c r="P3" s="250" t="s">
        <v>30</v>
      </c>
      <c r="Q3" s="250" t="s">
        <v>31</v>
      </c>
      <c r="R3" s="252" t="s">
        <v>32</v>
      </c>
      <c r="S3" s="252" t="s">
        <v>33</v>
      </c>
      <c r="T3" s="252" t="s">
        <v>34</v>
      </c>
      <c r="U3" s="252" t="s">
        <v>35</v>
      </c>
      <c r="V3" s="253" t="s">
        <v>36</v>
      </c>
      <c r="W3" s="254" t="s">
        <v>37</v>
      </c>
      <c r="X3" s="250" t="s">
        <v>38</v>
      </c>
      <c r="Y3" s="250" t="s">
        <v>39</v>
      </c>
      <c r="Z3" s="250" t="s">
        <v>40</v>
      </c>
      <c r="AA3" s="255" t="s">
        <v>38</v>
      </c>
      <c r="AB3" s="256" t="s">
        <v>39</v>
      </c>
      <c r="AC3" s="254" t="s">
        <v>40</v>
      </c>
      <c r="AD3" s="250" t="s">
        <v>41</v>
      </c>
      <c r="AE3" s="250" t="s">
        <v>42</v>
      </c>
      <c r="AF3" s="257" t="s">
        <v>43</v>
      </c>
      <c r="AG3" s="250" t="s">
        <v>44</v>
      </c>
      <c r="AH3" s="250" t="s">
        <v>45</v>
      </c>
      <c r="AQ3" s="259" t="s">
        <v>46</v>
      </c>
      <c r="AR3" s="252" t="s">
        <v>47</v>
      </c>
      <c r="AS3" s="260" t="s">
        <v>48</v>
      </c>
      <c r="AT3" s="260" t="s">
        <v>49</v>
      </c>
      <c r="AU3" s="260" t="s">
        <v>50</v>
      </c>
      <c r="AV3" s="257" t="s">
        <v>51</v>
      </c>
      <c r="AW3" s="260" t="s">
        <v>52</v>
      </c>
      <c r="AX3" s="260" t="s">
        <v>53</v>
      </c>
      <c r="AY3" s="260" t="s">
        <v>54</v>
      </c>
      <c r="AZ3" s="260" t="s">
        <v>55</v>
      </c>
      <c r="BA3" s="252" t="s">
        <v>56</v>
      </c>
      <c r="BB3" s="260" t="s">
        <v>48</v>
      </c>
      <c r="BC3" s="260" t="s">
        <v>49</v>
      </c>
      <c r="BD3" s="260" t="s">
        <v>50</v>
      </c>
      <c r="BE3" s="257" t="s">
        <v>51</v>
      </c>
    </row>
    <row r="4" spans="1:57" s="14" customFormat="1">
      <c r="A4" s="14" t="s">
        <v>57</v>
      </c>
      <c r="B4" s="39" t="s">
        <v>58</v>
      </c>
      <c r="C4" s="40" t="s">
        <v>59</v>
      </c>
      <c r="D4" s="40" t="s">
        <v>60</v>
      </c>
      <c r="E4" s="14" t="s">
        <v>61</v>
      </c>
      <c r="G4" s="14" t="s">
        <v>62</v>
      </c>
      <c r="H4" s="14" t="s">
        <v>63</v>
      </c>
      <c r="J4" s="14">
        <v>0</v>
      </c>
      <c r="K4" s="14">
        <v>125</v>
      </c>
      <c r="L4" s="14" t="s">
        <v>64</v>
      </c>
      <c r="M4" s="14" t="s">
        <v>65</v>
      </c>
      <c r="N4" s="14" t="s">
        <v>66</v>
      </c>
      <c r="O4" s="14" t="s">
        <v>67</v>
      </c>
      <c r="P4" s="14">
        <v>0</v>
      </c>
      <c r="Q4" s="14" t="s">
        <v>68</v>
      </c>
      <c r="R4" s="114">
        <f t="shared" ref="R4:U67" si="0">BB4/SUMIF($BB4:$BE4, "&lt;&gt;#VALUE!")*100</f>
        <v>52.388133631737666</v>
      </c>
      <c r="S4" s="188">
        <f t="shared" si="0"/>
        <v>24.457259245247176</v>
      </c>
      <c r="T4" s="188">
        <f t="shared" si="0"/>
        <v>9.1543964244065137</v>
      </c>
      <c r="U4" s="188">
        <f t="shared" si="0"/>
        <v>14.000210698608658</v>
      </c>
      <c r="V4" s="114">
        <f>27.1/$R$2/(27.1/$R$2 + 34.9/$S$2)*100</f>
        <v>30.343377614253171</v>
      </c>
      <c r="W4" s="143">
        <f t="shared" ref="W4:W35" si="1">100 - $V4</f>
        <v>69.656622385746829</v>
      </c>
      <c r="X4" s="41">
        <f>16.3/$R$2/(16.3/$R$2 + 27.2/$S$2 + 0.76/$T$2)*100</f>
        <v>24.787439842848507</v>
      </c>
      <c r="Y4" s="41">
        <f t="shared" ref="Y4:Y21" si="2">100 - $X4 - $Z4</f>
        <v>73.90722659024533</v>
      </c>
      <c r="Z4" s="41">
        <f>0.67/$T$2/(16.3/$R$2 + 27.2/$S$2 + 0.76/$T$2)*100</f>
        <v>1.3053335669061759</v>
      </c>
      <c r="AA4" s="159">
        <v>9</v>
      </c>
      <c r="AB4" s="41">
        <f t="shared" ref="AB4:AB35" si="3">100 - $AA4 - $AC4</f>
        <v>50</v>
      </c>
      <c r="AC4" s="115">
        <v>41</v>
      </c>
      <c r="AD4" s="41">
        <v>9</v>
      </c>
      <c r="AE4" s="41">
        <f t="shared" ref="AE4:AE35" si="4">100 - $AD4 - $AF4</f>
        <v>89</v>
      </c>
      <c r="AF4" s="115">
        <v>2</v>
      </c>
      <c r="AG4" s="14" t="s">
        <v>69</v>
      </c>
      <c r="AH4" s="189" t="s">
        <v>70</v>
      </c>
      <c r="AI4" s="190" t="s">
        <v>71</v>
      </c>
      <c r="AJ4" s="189" t="s">
        <v>72</v>
      </c>
      <c r="AK4" s="189"/>
      <c r="AN4" s="19"/>
      <c r="AO4" s="19"/>
      <c r="AP4" s="19"/>
      <c r="AQ4" s="232" t="s">
        <v>73</v>
      </c>
      <c r="AR4" s="207"/>
      <c r="AS4" s="14">
        <v>51.9</v>
      </c>
      <c r="AT4" s="14">
        <v>22.7</v>
      </c>
      <c r="AU4" s="14">
        <v>7.9</v>
      </c>
      <c r="AV4" s="208">
        <v>10.1</v>
      </c>
      <c r="AW4" s="19">
        <f t="shared" ref="AW4:AW35" si="5">V4*$X$2 + W4*$Y$2</f>
        <v>3.6098458292796352</v>
      </c>
      <c r="AX4" s="19">
        <f t="shared" ref="AX4:AX21" si="6">X4*$Z$2+Y4*$AA$2+Z4*$AB$2</f>
        <v>3.3819897981206455</v>
      </c>
      <c r="AY4" s="19">
        <f t="shared" ref="AY4:AY35" si="7">AA4*$Z$2+AB4*$AA$2+AC4*$AB$2</f>
        <v>3.1444999999999999</v>
      </c>
      <c r="AZ4" s="19">
        <f t="shared" ref="AZ4:AZ21" si="8">AD4*$AC$2+AE4*$AD$2+AF4*$AE$2</f>
        <v>2.6287000000000003</v>
      </c>
      <c r="BA4" s="207"/>
      <c r="BB4" s="14">
        <f t="shared" ref="BB4:BE6" si="9">AS4/AW4</f>
        <v>14.377345309053526</v>
      </c>
      <c r="BC4" s="14">
        <f t="shared" si="9"/>
        <v>6.7120249779033259</v>
      </c>
      <c r="BD4" s="14">
        <f t="shared" si="9"/>
        <v>2.5123231038320881</v>
      </c>
      <c r="BE4" s="208">
        <f t="shared" si="9"/>
        <v>3.8422033704873124</v>
      </c>
    </row>
    <row r="5" spans="1:57" s="14" customFormat="1">
      <c r="A5" s="14" t="s">
        <v>74</v>
      </c>
      <c r="B5" s="39" t="s">
        <v>75</v>
      </c>
      <c r="C5" s="40" t="s">
        <v>59</v>
      </c>
      <c r="D5" s="40" t="s">
        <v>60</v>
      </c>
      <c r="E5" s="14" t="s">
        <v>61</v>
      </c>
      <c r="G5" s="14" t="s">
        <v>62</v>
      </c>
      <c r="H5" s="14" t="s">
        <v>76</v>
      </c>
      <c r="J5" s="14">
        <v>0</v>
      </c>
      <c r="K5" s="14">
        <v>125</v>
      </c>
      <c r="L5" s="14" t="s">
        <v>64</v>
      </c>
      <c r="M5" s="14" t="s">
        <v>65</v>
      </c>
      <c r="N5" s="14" t="s">
        <v>66</v>
      </c>
      <c r="O5" s="14" t="s">
        <v>67</v>
      </c>
      <c r="P5" s="14">
        <v>0</v>
      </c>
      <c r="Q5" s="14" t="s">
        <v>68</v>
      </c>
      <c r="R5" s="114">
        <f t="shared" si="0"/>
        <v>52.388133631737666</v>
      </c>
      <c r="S5" s="188">
        <f t="shared" si="0"/>
        <v>24.457259245247176</v>
      </c>
      <c r="T5" s="188">
        <f t="shared" si="0"/>
        <v>9.1543964244065137</v>
      </c>
      <c r="U5" s="188">
        <f t="shared" si="0"/>
        <v>14.000210698608658</v>
      </c>
      <c r="V5" s="114">
        <f>27.1/$R$2/(27.1/$R$2 + 34.9/$S$2)*100</f>
        <v>30.343377614253171</v>
      </c>
      <c r="W5" s="143">
        <f t="shared" si="1"/>
        <v>69.656622385746829</v>
      </c>
      <c r="X5" s="41">
        <f>16.3/$R$2/(16.3/$R$2 + 27.2/$S$2 + 0.76/$T$2)*100</f>
        <v>24.787439842848507</v>
      </c>
      <c r="Y5" s="41">
        <f t="shared" si="2"/>
        <v>73.90722659024533</v>
      </c>
      <c r="Z5" s="41">
        <f>0.67/$T$2/(16.3/$R$2 + 27.2/$S$2 + 0.76/$T$2)*100</f>
        <v>1.3053335669061759</v>
      </c>
      <c r="AA5" s="159">
        <v>9</v>
      </c>
      <c r="AB5" s="41">
        <f t="shared" si="3"/>
        <v>50</v>
      </c>
      <c r="AC5" s="115">
        <v>41</v>
      </c>
      <c r="AD5" s="41">
        <v>9</v>
      </c>
      <c r="AE5" s="41">
        <f t="shared" si="4"/>
        <v>89</v>
      </c>
      <c r="AF5" s="115">
        <v>2</v>
      </c>
      <c r="AG5" s="14" t="s">
        <v>69</v>
      </c>
      <c r="AH5" s="189" t="s">
        <v>70</v>
      </c>
      <c r="AI5" s="190" t="s">
        <v>71</v>
      </c>
      <c r="AJ5" s="189" t="s">
        <v>72</v>
      </c>
      <c r="AK5" s="189"/>
      <c r="AN5" s="19"/>
      <c r="AO5" s="19"/>
      <c r="AP5" s="19"/>
      <c r="AQ5" s="232" t="s">
        <v>73</v>
      </c>
      <c r="AR5" s="207"/>
      <c r="AS5" s="14">
        <v>51.9</v>
      </c>
      <c r="AT5" s="14">
        <v>22.7</v>
      </c>
      <c r="AU5" s="14">
        <v>7.9</v>
      </c>
      <c r="AV5" s="208">
        <v>10.1</v>
      </c>
      <c r="AW5" s="19">
        <f t="shared" si="5"/>
        <v>3.6098458292796352</v>
      </c>
      <c r="AX5" s="19">
        <f t="shared" si="6"/>
        <v>3.3819897981206455</v>
      </c>
      <c r="AY5" s="19">
        <f t="shared" si="7"/>
        <v>3.1444999999999999</v>
      </c>
      <c r="AZ5" s="19">
        <f t="shared" si="8"/>
        <v>2.6287000000000003</v>
      </c>
      <c r="BA5" s="207"/>
      <c r="BB5" s="14">
        <f t="shared" si="9"/>
        <v>14.377345309053526</v>
      </c>
      <c r="BC5" s="14">
        <f t="shared" si="9"/>
        <v>6.7120249779033259</v>
      </c>
      <c r="BD5" s="14">
        <f t="shared" si="9"/>
        <v>2.5123231038320881</v>
      </c>
      <c r="BE5" s="208">
        <f t="shared" si="9"/>
        <v>3.8422033704873124</v>
      </c>
    </row>
    <row r="6" spans="1:57" s="14" customFormat="1">
      <c r="A6" s="14" t="s">
        <v>77</v>
      </c>
      <c r="B6" s="39" t="s">
        <v>78</v>
      </c>
      <c r="C6" s="40" t="s">
        <v>59</v>
      </c>
      <c r="D6" s="40" t="s">
        <v>60</v>
      </c>
      <c r="E6" s="14" t="s">
        <v>61</v>
      </c>
      <c r="G6" s="14" t="s">
        <v>62</v>
      </c>
      <c r="H6" s="14" t="s">
        <v>79</v>
      </c>
      <c r="J6" s="14">
        <v>0</v>
      </c>
      <c r="K6" s="14">
        <v>125</v>
      </c>
      <c r="L6" s="14" t="s">
        <v>64</v>
      </c>
      <c r="M6" s="14" t="s">
        <v>65</v>
      </c>
      <c r="N6" s="14" t="s">
        <v>80</v>
      </c>
      <c r="O6" s="14" t="s">
        <v>67</v>
      </c>
      <c r="P6" s="14">
        <v>0</v>
      </c>
      <c r="Q6" s="14" t="s">
        <v>68</v>
      </c>
      <c r="R6" s="114">
        <f t="shared" si="0"/>
        <v>54.424900720676831</v>
      </c>
      <c r="S6" s="188">
        <f t="shared" si="0"/>
        <v>22.768146432259396</v>
      </c>
      <c r="T6" s="188">
        <f t="shared" si="0"/>
        <v>8.9880944712592843</v>
      </c>
      <c r="U6" s="188">
        <f t="shared" si="0"/>
        <v>13.818858375804494</v>
      </c>
      <c r="V6" s="114">
        <f>27/$R$2/(27/$R$2 + 35.8/$S$2)*100</f>
        <v>29.730645934379091</v>
      </c>
      <c r="W6" s="143">
        <f t="shared" si="1"/>
        <v>70.269354065620917</v>
      </c>
      <c r="X6" s="41">
        <f>16/$R$2/(16/$R$2 + 27.7/$S$2 + 0.89/$T$2)*100</f>
        <v>24.054023836406639</v>
      </c>
      <c r="Y6" s="41">
        <f t="shared" si="2"/>
        <v>73.981392353679681</v>
      </c>
      <c r="Z6" s="41">
        <f>1.02/$T$2/(16/$R$2 + 27.7/$S$2 + 0.89/$T$2)*100</f>
        <v>1.9645838099136801</v>
      </c>
      <c r="AA6" s="159">
        <f>6.47/R$2/(6.47/$R$2 + 16.4/$S$2 + 21.3/$T$2)*100</f>
        <v>10.271060039299117</v>
      </c>
      <c r="AB6" s="41">
        <f t="shared" si="3"/>
        <v>46.408463430631421</v>
      </c>
      <c r="AC6" s="115">
        <f>21.3/T$2/(6.47/$R$2 + 16.4/$S$2 + 21.3/$T$2)*100</f>
        <v>43.320476530069463</v>
      </c>
      <c r="AD6" s="41">
        <v>10.1</v>
      </c>
      <c r="AE6" s="41">
        <f t="shared" si="4"/>
        <v>84.4</v>
      </c>
      <c r="AF6" s="115">
        <v>5.5</v>
      </c>
      <c r="AG6" s="14" t="s">
        <v>69</v>
      </c>
      <c r="AH6" s="189" t="s">
        <v>70</v>
      </c>
      <c r="AI6" s="190" t="s">
        <v>72</v>
      </c>
      <c r="AJ6" s="190" t="s">
        <v>81</v>
      </c>
      <c r="AM6" s="14" t="s">
        <v>82</v>
      </c>
      <c r="AN6" s="19"/>
      <c r="AO6" s="19"/>
      <c r="AP6" s="19"/>
      <c r="AQ6" s="232" t="s">
        <v>73</v>
      </c>
      <c r="AR6" s="207"/>
      <c r="AS6" s="14">
        <v>51.3</v>
      </c>
      <c r="AT6" s="14">
        <v>20.100000000000001</v>
      </c>
      <c r="AU6" s="14">
        <v>7.4</v>
      </c>
      <c r="AV6" s="208">
        <v>9.5</v>
      </c>
      <c r="AW6" s="19">
        <f t="shared" si="5"/>
        <v>3.6029832344650456</v>
      </c>
      <c r="AX6" s="19">
        <f t="shared" si="6"/>
        <v>3.3745114273433088</v>
      </c>
      <c r="AY6" s="19">
        <f t="shared" si="7"/>
        <v>3.147071520704535</v>
      </c>
      <c r="AZ6" s="19">
        <f t="shared" si="8"/>
        <v>2.6278100000000006</v>
      </c>
      <c r="BA6" s="207"/>
      <c r="BB6" s="14">
        <f t="shared" si="9"/>
        <v>14.238201141009968</v>
      </c>
      <c r="BC6" s="14">
        <f t="shared" si="9"/>
        <v>5.9564178201122182</v>
      </c>
      <c r="BD6" s="14">
        <f t="shared" si="9"/>
        <v>2.3513923821926239</v>
      </c>
      <c r="BE6" s="208">
        <f t="shared" si="9"/>
        <v>3.6151776574409862</v>
      </c>
    </row>
    <row r="7" spans="1:57" s="14" customFormat="1">
      <c r="A7" s="14" t="s">
        <v>83</v>
      </c>
      <c r="B7" s="39" t="s">
        <v>84</v>
      </c>
      <c r="C7" s="40" t="s">
        <v>85</v>
      </c>
      <c r="D7" s="40" t="s">
        <v>60</v>
      </c>
      <c r="E7" s="14" t="s">
        <v>61</v>
      </c>
      <c r="G7" s="14" t="s">
        <v>62</v>
      </c>
      <c r="H7" s="14" t="s">
        <v>86</v>
      </c>
      <c r="J7" s="14">
        <v>20</v>
      </c>
      <c r="K7" s="14">
        <v>250</v>
      </c>
      <c r="L7" s="14" t="s">
        <v>64</v>
      </c>
      <c r="M7" s="14" t="s">
        <v>26</v>
      </c>
      <c r="N7" s="14" t="s">
        <v>84</v>
      </c>
      <c r="O7" s="14" t="s">
        <v>87</v>
      </c>
      <c r="P7" s="14">
        <v>0</v>
      </c>
      <c r="R7" s="114">
        <f t="shared" si="0"/>
        <v>39.895356442119031</v>
      </c>
      <c r="S7" s="188">
        <f t="shared" si="0"/>
        <v>40.222367560497055</v>
      </c>
      <c r="T7" s="188">
        <f t="shared" si="0"/>
        <v>2.5506867233485937</v>
      </c>
      <c r="U7" s="188">
        <f t="shared" si="0"/>
        <v>17.331589274035316</v>
      </c>
      <c r="V7" s="114">
        <v>19.600000000000001</v>
      </c>
      <c r="W7" s="143">
        <f t="shared" si="1"/>
        <v>80.400000000000006</v>
      </c>
      <c r="X7" s="41">
        <v>17.2</v>
      </c>
      <c r="Y7" s="41">
        <f t="shared" si="2"/>
        <v>81.2</v>
      </c>
      <c r="Z7" s="41">
        <v>1.6</v>
      </c>
      <c r="AA7" s="159">
        <v>6.8</v>
      </c>
      <c r="AB7" s="41">
        <f t="shared" si="3"/>
        <v>48.400000000000006</v>
      </c>
      <c r="AC7" s="115">
        <v>44.8</v>
      </c>
      <c r="AD7" s="41">
        <v>12.7</v>
      </c>
      <c r="AE7" s="41">
        <f t="shared" si="4"/>
        <v>80.7</v>
      </c>
      <c r="AF7" s="115">
        <v>6.6</v>
      </c>
      <c r="AG7" s="14" t="s">
        <v>69</v>
      </c>
      <c r="AH7" s="189" t="s">
        <v>88</v>
      </c>
      <c r="AI7" s="42"/>
      <c r="AJ7" s="42"/>
      <c r="AN7" s="19"/>
      <c r="AO7" s="19"/>
      <c r="AP7" s="19"/>
      <c r="AQ7" s="232" t="s">
        <v>89</v>
      </c>
      <c r="AR7" s="207"/>
      <c r="AS7" s="14" t="s">
        <v>90</v>
      </c>
      <c r="AT7" s="14" t="s">
        <v>90</v>
      </c>
      <c r="AU7" s="14" t="s">
        <v>90</v>
      </c>
      <c r="AV7" s="208" t="s">
        <v>90</v>
      </c>
      <c r="AW7" s="19">
        <f t="shared" si="5"/>
        <v>3.4895200000000002</v>
      </c>
      <c r="AX7" s="19">
        <f t="shared" si="6"/>
        <v>3.3242000000000003</v>
      </c>
      <c r="AY7" s="19">
        <f t="shared" si="7"/>
        <v>3.1166</v>
      </c>
      <c r="AZ7" s="19">
        <f t="shared" si="8"/>
        <v>2.6300100000000004</v>
      </c>
      <c r="BA7" s="207"/>
      <c r="BB7" s="14">
        <v>24.4</v>
      </c>
      <c r="BC7" s="14">
        <v>24.6</v>
      </c>
      <c r="BD7" s="14">
        <v>1.56</v>
      </c>
      <c r="BE7" s="208">
        <v>10.6</v>
      </c>
    </row>
    <row r="8" spans="1:57" s="14" customFormat="1">
      <c r="A8" s="14" t="s">
        <v>91</v>
      </c>
      <c r="B8" s="39" t="s">
        <v>92</v>
      </c>
      <c r="C8" s="40" t="s">
        <v>93</v>
      </c>
      <c r="D8" s="40" t="s">
        <v>60</v>
      </c>
      <c r="E8" s="14" t="s">
        <v>61</v>
      </c>
      <c r="G8" s="14" t="s">
        <v>62</v>
      </c>
      <c r="H8" s="14" t="s">
        <v>76</v>
      </c>
      <c r="J8" s="14">
        <v>0</v>
      </c>
      <c r="K8" s="14">
        <v>150</v>
      </c>
      <c r="L8" s="14" t="s">
        <v>64</v>
      </c>
      <c r="M8" s="14" t="s">
        <v>65</v>
      </c>
      <c r="N8" s="14" t="s">
        <v>94</v>
      </c>
      <c r="O8" s="14" t="s">
        <v>95</v>
      </c>
      <c r="P8" s="14">
        <v>0</v>
      </c>
      <c r="Q8" s="14" t="s">
        <v>96</v>
      </c>
      <c r="R8" s="114">
        <f t="shared" si="0"/>
        <v>52.678348002710059</v>
      </c>
      <c r="S8" s="188">
        <f t="shared" si="0"/>
        <v>25.430724743303113</v>
      </c>
      <c r="T8" s="188">
        <f t="shared" si="0"/>
        <v>9.2765005432005783</v>
      </c>
      <c r="U8" s="188">
        <f t="shared" si="0"/>
        <v>12.614426710786239</v>
      </c>
      <c r="V8" s="114">
        <f>0.56/(0.56+1.49)*100</f>
        <v>27.317073170731714</v>
      </c>
      <c r="W8" s="143">
        <f t="shared" si="1"/>
        <v>72.682926829268283</v>
      </c>
      <c r="X8" s="41">
        <f>0.51/(0.51+1.51+0.05)*100</f>
        <v>24.637681159420293</v>
      </c>
      <c r="Y8" s="41">
        <f t="shared" si="2"/>
        <v>72.946859903381636</v>
      </c>
      <c r="Z8" s="41">
        <f>0.05/(0.51+1.51+0.05)*100</f>
        <v>2.4154589371980681</v>
      </c>
      <c r="AA8" s="159">
        <f>5.93/R$2/(5.93/$R$2 + 16.06/$S$2 + 21.33/$T$2)*100</f>
        <v>9.5823065718437377</v>
      </c>
      <c r="AB8" s="41">
        <f t="shared" si="3"/>
        <v>46.259748037852944</v>
      </c>
      <c r="AC8" s="115">
        <f>21.33/T$2/(5.93/$R$2 + 16.06/$S$2 + 21.33/$T$2)*100</f>
        <v>44.157945390303325</v>
      </c>
      <c r="AD8" s="41">
        <f>0.41/(0.41+0.12+3.21)*100</f>
        <v>10.962566844919785</v>
      </c>
      <c r="AE8" s="41">
        <f t="shared" si="4"/>
        <v>85.828877005347593</v>
      </c>
      <c r="AF8" s="115">
        <f>0.12/(0.41+0.12+3.21)*100</f>
        <v>3.2085561497326198</v>
      </c>
      <c r="AG8" s="14" t="s">
        <v>69</v>
      </c>
      <c r="AH8" s="189" t="s">
        <v>70</v>
      </c>
      <c r="AI8" s="190" t="s">
        <v>71</v>
      </c>
      <c r="AJ8" s="190" t="s">
        <v>97</v>
      </c>
      <c r="AN8" s="19"/>
      <c r="AO8" s="19"/>
      <c r="AP8" s="19"/>
      <c r="AQ8" s="232" t="s">
        <v>73</v>
      </c>
      <c r="AR8" s="207"/>
      <c r="AS8" s="14">
        <v>51.1</v>
      </c>
      <c r="AT8" s="14">
        <v>23.3</v>
      </c>
      <c r="AU8" s="14">
        <v>7.9</v>
      </c>
      <c r="AV8" s="208">
        <v>9</v>
      </c>
      <c r="AW8" s="19">
        <f t="shared" si="5"/>
        <v>3.575951219512195</v>
      </c>
      <c r="AX8" s="19">
        <f t="shared" si="6"/>
        <v>3.3775362318840578</v>
      </c>
      <c r="AY8" s="19">
        <f t="shared" si="7"/>
        <v>3.1393934631179183</v>
      </c>
      <c r="AZ8" s="19">
        <f t="shared" si="8"/>
        <v>2.6301336898395724</v>
      </c>
      <c r="BA8" s="207"/>
      <c r="BB8" s="14">
        <f t="shared" ref="BB8:BE10" si="10">AS8/AW8</f>
        <v>14.289904101927512</v>
      </c>
      <c r="BC8" s="14">
        <f t="shared" si="10"/>
        <v>6.898519630980477</v>
      </c>
      <c r="BD8" s="14">
        <f t="shared" si="10"/>
        <v>2.5164096481726252</v>
      </c>
      <c r="BE8" s="208">
        <f t="shared" si="10"/>
        <v>3.4218792887858731</v>
      </c>
    </row>
    <row r="9" spans="1:57" s="14" customFormat="1">
      <c r="A9" s="14" t="s">
        <v>98</v>
      </c>
      <c r="B9" s="39" t="s">
        <v>99</v>
      </c>
      <c r="C9" s="40" t="s">
        <v>93</v>
      </c>
      <c r="D9" s="40" t="s">
        <v>60</v>
      </c>
      <c r="E9" s="14" t="s">
        <v>61</v>
      </c>
      <c r="G9" s="14" t="s">
        <v>62</v>
      </c>
      <c r="H9" s="14" t="s">
        <v>76</v>
      </c>
      <c r="J9" s="14">
        <v>0</v>
      </c>
      <c r="K9" s="14">
        <v>150</v>
      </c>
      <c r="L9" s="14" t="s">
        <v>64</v>
      </c>
      <c r="M9" s="14" t="s">
        <v>65</v>
      </c>
      <c r="N9" s="14" t="s">
        <v>66</v>
      </c>
      <c r="O9" s="14" t="s">
        <v>95</v>
      </c>
      <c r="P9" s="14">
        <v>0</v>
      </c>
      <c r="Q9" s="14" t="s">
        <v>96</v>
      </c>
      <c r="R9" s="114">
        <f t="shared" si="0"/>
        <v>52.388133631737666</v>
      </c>
      <c r="S9" s="188">
        <f t="shared" si="0"/>
        <v>24.457259245247176</v>
      </c>
      <c r="T9" s="188">
        <f t="shared" si="0"/>
        <v>9.1543964244065137</v>
      </c>
      <c r="U9" s="188">
        <f t="shared" si="0"/>
        <v>14.000210698608658</v>
      </c>
      <c r="V9" s="114">
        <f>27.1/$R$2/(27.1/$R$2 + 34.9/$S$2)*100</f>
        <v>30.343377614253171</v>
      </c>
      <c r="W9" s="143">
        <f t="shared" si="1"/>
        <v>69.656622385746829</v>
      </c>
      <c r="X9" s="41">
        <f>16.3/$R$2/(16.3/$R$2 + 27.2/$S$2 + 0.76/$T$2)*100</f>
        <v>24.787439842848507</v>
      </c>
      <c r="Y9" s="41">
        <f t="shared" si="2"/>
        <v>73.90722659024533</v>
      </c>
      <c r="Z9" s="41">
        <f>0.67/$T$2/(16.3/$R$2 + 27.2/$S$2 + 0.76/$T$2)*100</f>
        <v>1.3053335669061759</v>
      </c>
      <c r="AA9" s="159">
        <v>9</v>
      </c>
      <c r="AB9" s="41">
        <f t="shared" si="3"/>
        <v>50</v>
      </c>
      <c r="AC9" s="115">
        <v>41</v>
      </c>
      <c r="AD9" s="41">
        <v>9</v>
      </c>
      <c r="AE9" s="41">
        <f t="shared" si="4"/>
        <v>89</v>
      </c>
      <c r="AF9" s="115">
        <v>2</v>
      </c>
      <c r="AG9" s="14" t="s">
        <v>69</v>
      </c>
      <c r="AH9" s="189" t="s">
        <v>70</v>
      </c>
      <c r="AI9" s="190" t="s">
        <v>71</v>
      </c>
      <c r="AJ9" s="189" t="s">
        <v>72</v>
      </c>
      <c r="AN9" s="19"/>
      <c r="AO9" s="19"/>
      <c r="AP9" s="19"/>
      <c r="AQ9" s="232" t="s">
        <v>73</v>
      </c>
      <c r="AR9" s="207"/>
      <c r="AS9" s="14">
        <v>51.9</v>
      </c>
      <c r="AT9" s="14">
        <v>22.7</v>
      </c>
      <c r="AU9" s="14">
        <v>7.9</v>
      </c>
      <c r="AV9" s="208">
        <v>10.1</v>
      </c>
      <c r="AW9" s="19">
        <f t="shared" si="5"/>
        <v>3.6098458292796352</v>
      </c>
      <c r="AX9" s="19">
        <f t="shared" si="6"/>
        <v>3.3819897981206455</v>
      </c>
      <c r="AY9" s="19">
        <f t="shared" si="7"/>
        <v>3.1444999999999999</v>
      </c>
      <c r="AZ9" s="19">
        <f t="shared" si="8"/>
        <v>2.6287000000000003</v>
      </c>
      <c r="BA9" s="207"/>
      <c r="BB9" s="14">
        <f t="shared" si="10"/>
        <v>14.377345309053526</v>
      </c>
      <c r="BC9" s="14">
        <f t="shared" si="10"/>
        <v>6.7120249779033259</v>
      </c>
      <c r="BD9" s="14">
        <f t="shared" si="10"/>
        <v>2.5123231038320881</v>
      </c>
      <c r="BE9" s="208">
        <f t="shared" si="10"/>
        <v>3.8422033704873124</v>
      </c>
    </row>
    <row r="10" spans="1:57" s="14" customFormat="1">
      <c r="A10" s="14" t="s">
        <v>100</v>
      </c>
      <c r="B10" s="39" t="s">
        <v>101</v>
      </c>
      <c r="C10" s="40" t="s">
        <v>102</v>
      </c>
      <c r="D10" s="40" t="s">
        <v>60</v>
      </c>
      <c r="E10" s="14" t="s">
        <v>61</v>
      </c>
      <c r="G10" s="14" t="s">
        <v>62</v>
      </c>
      <c r="H10" s="14" t="s">
        <v>79</v>
      </c>
      <c r="J10" s="14">
        <v>0</v>
      </c>
      <c r="K10" s="14">
        <v>250</v>
      </c>
      <c r="L10" s="14" t="s">
        <v>64</v>
      </c>
      <c r="M10" s="14" t="s">
        <v>65</v>
      </c>
      <c r="O10" s="14" t="s">
        <v>103</v>
      </c>
      <c r="P10" s="14">
        <v>0</v>
      </c>
      <c r="R10" s="114">
        <f t="shared" si="0"/>
        <v>52.8883450984871</v>
      </c>
      <c r="S10" s="188">
        <f t="shared" si="0"/>
        <v>23.517584470697507</v>
      </c>
      <c r="T10" s="188">
        <f t="shared" si="0"/>
        <v>6.1935861892537343</v>
      </c>
      <c r="U10" s="188">
        <f t="shared" si="0"/>
        <v>17.400484241561653</v>
      </c>
      <c r="V10" s="114">
        <v>31.1</v>
      </c>
      <c r="W10" s="143">
        <f t="shared" si="1"/>
        <v>68.900000000000006</v>
      </c>
      <c r="X10" s="41">
        <v>24.7</v>
      </c>
      <c r="Y10" s="41">
        <f t="shared" si="2"/>
        <v>72.3</v>
      </c>
      <c r="Z10" s="41">
        <v>3</v>
      </c>
      <c r="AA10" s="159">
        <v>12</v>
      </c>
      <c r="AB10" s="41">
        <f t="shared" si="3"/>
        <v>41.3</v>
      </c>
      <c r="AC10" s="115">
        <v>46.7</v>
      </c>
      <c r="AD10" s="41">
        <v>11.7</v>
      </c>
      <c r="AE10" s="41">
        <f t="shared" si="4"/>
        <v>83.899999999999991</v>
      </c>
      <c r="AF10" s="115">
        <v>4.4000000000000004</v>
      </c>
      <c r="AG10" s="14" t="s">
        <v>69</v>
      </c>
      <c r="AH10" s="190" t="s">
        <v>81</v>
      </c>
      <c r="AI10" s="190"/>
      <c r="AJ10" s="42"/>
      <c r="AN10" s="19"/>
      <c r="AO10" s="19"/>
      <c r="AP10" s="19"/>
      <c r="AQ10" s="232" t="s">
        <v>73</v>
      </c>
      <c r="AR10" s="207"/>
      <c r="AS10" s="14">
        <v>51.89</v>
      </c>
      <c r="AT10" s="14">
        <v>21.53</v>
      </c>
      <c r="AU10" s="14">
        <v>5.29</v>
      </c>
      <c r="AV10" s="208">
        <v>12.41</v>
      </c>
      <c r="AW10" s="19">
        <f t="shared" si="5"/>
        <v>3.6183200000000002</v>
      </c>
      <c r="AX10" s="19">
        <f t="shared" si="6"/>
        <v>3.3762500000000002</v>
      </c>
      <c r="AY10" s="19">
        <f t="shared" si="7"/>
        <v>3.1498999999999997</v>
      </c>
      <c r="AZ10" s="19">
        <f t="shared" si="8"/>
        <v>2.6302299999999996</v>
      </c>
      <c r="BA10" s="207"/>
      <c r="BB10" s="14">
        <f t="shared" si="10"/>
        <v>14.340909593402463</v>
      </c>
      <c r="BC10" s="14">
        <f t="shared" si="10"/>
        <v>6.376897445390596</v>
      </c>
      <c r="BD10" s="14">
        <f t="shared" si="10"/>
        <v>1.6794183942347378</v>
      </c>
      <c r="BE10" s="208">
        <f t="shared" si="10"/>
        <v>4.718218558833259</v>
      </c>
    </row>
    <row r="11" spans="1:57" s="14" customFormat="1">
      <c r="A11" s="14" t="s">
        <v>104</v>
      </c>
      <c r="B11" s="39" t="s">
        <v>105</v>
      </c>
      <c r="C11" s="40" t="s">
        <v>106</v>
      </c>
      <c r="D11" s="40" t="s">
        <v>60</v>
      </c>
      <c r="E11" s="14" t="s">
        <v>61</v>
      </c>
      <c r="G11" s="14" t="s">
        <v>62</v>
      </c>
      <c r="H11" s="14" t="s">
        <v>107</v>
      </c>
      <c r="J11" s="14">
        <v>0</v>
      </c>
      <c r="K11" s="14">
        <v>150</v>
      </c>
      <c r="L11" s="14" t="s">
        <v>64</v>
      </c>
      <c r="M11" s="14" t="s">
        <v>108</v>
      </c>
      <c r="N11" s="14" t="s">
        <v>109</v>
      </c>
      <c r="O11" s="14" t="s">
        <v>110</v>
      </c>
      <c r="P11" s="14">
        <v>0</v>
      </c>
      <c r="Q11" s="14" t="s">
        <v>111</v>
      </c>
      <c r="R11" s="114">
        <f t="shared" si="0"/>
        <v>57.976190476190467</v>
      </c>
      <c r="S11" s="188">
        <f t="shared" si="0"/>
        <v>26.428571428571423</v>
      </c>
      <c r="T11" s="188">
        <f t="shared" si="0"/>
        <v>5.2380952380952372</v>
      </c>
      <c r="U11" s="188">
        <f t="shared" si="0"/>
        <v>10.357142857142856</v>
      </c>
      <c r="V11" s="114">
        <f>0.466/(0.466+1.519)*100</f>
        <v>23.476070528967259</v>
      </c>
      <c r="W11" s="143">
        <f t="shared" si="1"/>
        <v>76.523929471032744</v>
      </c>
      <c r="X11" s="41">
        <f>0.398/(0.398+1.551+0.025)*100</f>
        <v>20.162107396149953</v>
      </c>
      <c r="Y11" s="41">
        <f t="shared" si="2"/>
        <v>78.571428571428569</v>
      </c>
      <c r="Z11" s="41">
        <f>0.025/(0.398+1.551+0.025)*100</f>
        <v>1.2664640324214795</v>
      </c>
      <c r="AA11" s="159">
        <f>0.143/(0.143+0.904+0.838)*100</f>
        <v>7.5862068965517242</v>
      </c>
      <c r="AB11" s="41">
        <f t="shared" si="3"/>
        <v>47.957559681697603</v>
      </c>
      <c r="AC11" s="115">
        <f>0.838/(0.143+0.904+0.838)*100</f>
        <v>44.456233421750667</v>
      </c>
      <c r="AD11" s="41">
        <v>12</v>
      </c>
      <c r="AE11" s="41">
        <f t="shared" si="4"/>
        <v>84</v>
      </c>
      <c r="AF11" s="115">
        <v>4</v>
      </c>
      <c r="AG11" s="43" t="s">
        <v>69</v>
      </c>
      <c r="AH11" s="44" t="s">
        <v>112</v>
      </c>
      <c r="AI11" s="42"/>
      <c r="AJ11" s="42"/>
      <c r="AM11" s="14" t="s">
        <v>113</v>
      </c>
      <c r="AN11" s="19"/>
      <c r="AO11" s="19"/>
      <c r="AP11" s="19"/>
      <c r="AQ11" s="232" t="s">
        <v>114</v>
      </c>
      <c r="AR11" s="207"/>
      <c r="AS11" s="14" t="s">
        <v>90</v>
      </c>
      <c r="AT11" s="14" t="s">
        <v>90</v>
      </c>
      <c r="AU11" s="14" t="s">
        <v>90</v>
      </c>
      <c r="AV11" s="208" t="s">
        <v>90</v>
      </c>
      <c r="AW11" s="19">
        <f t="shared" si="5"/>
        <v>3.5329319899244331</v>
      </c>
      <c r="AX11" s="19">
        <f t="shared" si="6"/>
        <v>3.3474164133738604</v>
      </c>
      <c r="AY11" s="19">
        <f t="shared" si="7"/>
        <v>3.1235278514588858</v>
      </c>
      <c r="AZ11" s="19">
        <f t="shared" si="8"/>
        <v>2.6307999999999998</v>
      </c>
      <c r="BA11" s="207"/>
      <c r="BB11" s="14">
        <v>48.7</v>
      </c>
      <c r="BC11" s="14">
        <v>22.2</v>
      </c>
      <c r="BD11" s="14">
        <v>4.4000000000000004</v>
      </c>
      <c r="BE11" s="208">
        <v>8.6999999999999993</v>
      </c>
    </row>
    <row r="12" spans="1:57" s="14" customFormat="1">
      <c r="A12" s="14" t="s">
        <v>115</v>
      </c>
      <c r="B12" s="39" t="s">
        <v>116</v>
      </c>
      <c r="C12" s="40" t="s">
        <v>106</v>
      </c>
      <c r="D12" s="40" t="s">
        <v>60</v>
      </c>
      <c r="E12" s="14" t="s">
        <v>61</v>
      </c>
      <c r="G12" s="14" t="s">
        <v>62</v>
      </c>
      <c r="H12" s="14" t="s">
        <v>107</v>
      </c>
      <c r="J12" s="14">
        <v>0</v>
      </c>
      <c r="K12" s="14">
        <v>150</v>
      </c>
      <c r="L12" s="14" t="s">
        <v>64</v>
      </c>
      <c r="M12" s="14" t="s">
        <v>108</v>
      </c>
      <c r="N12" s="14" t="s">
        <v>117</v>
      </c>
      <c r="O12" s="14" t="s">
        <v>110</v>
      </c>
      <c r="P12" s="14">
        <v>0</v>
      </c>
      <c r="Q12" s="14" t="s">
        <v>111</v>
      </c>
      <c r="R12" s="114">
        <f t="shared" si="0"/>
        <v>46.502265801388916</v>
      </c>
      <c r="S12" s="188">
        <f t="shared" si="0"/>
        <v>27.900576364297784</v>
      </c>
      <c r="T12" s="188">
        <f t="shared" si="0"/>
        <v>10.831794644540658</v>
      </c>
      <c r="U12" s="188">
        <f t="shared" si="0"/>
        <v>14.765363189772662</v>
      </c>
      <c r="V12" s="114">
        <f>0.5/(0.5+1.5)*100</f>
        <v>25</v>
      </c>
      <c r="W12" s="143">
        <f t="shared" si="1"/>
        <v>75</v>
      </c>
      <c r="X12" s="41">
        <f>14.3/R$2/(14.3/$R$2 + 28.5/$S$2 + 0.77/$T$2)*100</f>
        <v>21.63741005751551</v>
      </c>
      <c r="Y12" s="41">
        <f t="shared" si="2"/>
        <v>76.869924088997237</v>
      </c>
      <c r="Z12" s="41">
        <f>0.77/T$2/(14.3/$R$2 + 28.5/$S$2 + 0.77/$T$2)*100</f>
        <v>1.4926658534872557</v>
      </c>
      <c r="AA12" s="159">
        <f>0.144/(0.144+0.904+0.835)*100</f>
        <v>7.6473712161444496</v>
      </c>
      <c r="AB12" s="41">
        <f t="shared" si="3"/>
        <v>48.00849707912905</v>
      </c>
      <c r="AC12" s="115">
        <f>0.835/(0.144+0.904+0.835)*100</f>
        <v>44.3441317047265</v>
      </c>
      <c r="AD12" s="41">
        <v>10</v>
      </c>
      <c r="AE12" s="41">
        <f t="shared" si="4"/>
        <v>84</v>
      </c>
      <c r="AF12" s="115">
        <v>6</v>
      </c>
      <c r="AG12" s="41" t="s">
        <v>69</v>
      </c>
      <c r="AH12" s="189" t="s">
        <v>70</v>
      </c>
      <c r="AI12" s="44" t="s">
        <v>112</v>
      </c>
      <c r="AJ12" s="42"/>
      <c r="AN12" s="19"/>
      <c r="AO12" s="19"/>
      <c r="AP12" s="19"/>
      <c r="AQ12" s="232" t="s">
        <v>73</v>
      </c>
      <c r="AR12" s="207"/>
      <c r="AS12" s="14">
        <v>40</v>
      </c>
      <c r="AT12" s="14">
        <v>22.7</v>
      </c>
      <c r="AU12" s="14">
        <v>8.1999999999999993</v>
      </c>
      <c r="AV12" s="208">
        <v>9.4</v>
      </c>
      <c r="AW12" s="19">
        <f t="shared" si="5"/>
        <v>3.55</v>
      </c>
      <c r="AX12" s="19">
        <f t="shared" si="6"/>
        <v>3.3578025778709044</v>
      </c>
      <c r="AY12" s="19">
        <f t="shared" si="7"/>
        <v>3.1243228890069039</v>
      </c>
      <c r="AZ12" s="19">
        <f t="shared" si="8"/>
        <v>2.6274000000000002</v>
      </c>
      <c r="BA12" s="207"/>
      <c r="BB12" s="14">
        <f>AS12/AW12</f>
        <v>11.267605633802818</v>
      </c>
      <c r="BC12" s="14">
        <f>AT12/AX12</f>
        <v>6.7603736293494308</v>
      </c>
      <c r="BD12" s="14">
        <f>AU12/AY12</f>
        <v>2.6245686797776679</v>
      </c>
      <c r="BE12" s="208">
        <f>AV12/AZ12</f>
        <v>3.5776813579964983</v>
      </c>
    </row>
    <row r="13" spans="1:57" s="14" customFormat="1">
      <c r="A13" s="14" t="s">
        <v>118</v>
      </c>
      <c r="B13" s="39" t="s">
        <v>119</v>
      </c>
      <c r="C13" s="40" t="s">
        <v>106</v>
      </c>
      <c r="D13" s="40" t="s">
        <v>60</v>
      </c>
      <c r="E13" s="14" t="s">
        <v>61</v>
      </c>
      <c r="G13" s="14" t="s">
        <v>62</v>
      </c>
      <c r="H13" s="14" t="s">
        <v>120</v>
      </c>
      <c r="J13" s="14">
        <v>0</v>
      </c>
      <c r="K13" s="14">
        <v>150</v>
      </c>
      <c r="L13" s="14" t="s">
        <v>64</v>
      </c>
      <c r="M13" s="14" t="s">
        <v>108</v>
      </c>
      <c r="N13" s="14" t="s">
        <v>121</v>
      </c>
      <c r="O13" s="14" t="s">
        <v>110</v>
      </c>
      <c r="P13" s="14">
        <v>0</v>
      </c>
      <c r="Q13" s="14" t="s">
        <v>111</v>
      </c>
      <c r="R13" s="114">
        <f t="shared" si="0"/>
        <v>40.229885057471265</v>
      </c>
      <c r="S13" s="188">
        <f t="shared" si="0"/>
        <v>43.678160919540232</v>
      </c>
      <c r="T13" s="188">
        <f t="shared" si="0"/>
        <v>6.8965517241379306</v>
      </c>
      <c r="U13" s="188">
        <f t="shared" si="0"/>
        <v>9.1954022988505741</v>
      </c>
      <c r="V13" s="114">
        <v>17.3</v>
      </c>
      <c r="W13" s="143">
        <f t="shared" si="1"/>
        <v>82.7</v>
      </c>
      <c r="X13" s="41">
        <v>16.5</v>
      </c>
      <c r="Y13" s="41">
        <f t="shared" si="2"/>
        <v>82.2</v>
      </c>
      <c r="Z13" s="41">
        <v>1.3</v>
      </c>
      <c r="AA13" s="159">
        <v>5.7</v>
      </c>
      <c r="AB13" s="41">
        <f t="shared" si="3"/>
        <v>49</v>
      </c>
      <c r="AC13" s="115">
        <v>45.3</v>
      </c>
      <c r="AD13" s="41">
        <v>11.9</v>
      </c>
      <c r="AE13" s="41">
        <f t="shared" si="4"/>
        <v>82.8</v>
      </c>
      <c r="AF13" s="115">
        <v>5.3</v>
      </c>
      <c r="AG13" s="14" t="s">
        <v>69</v>
      </c>
      <c r="AH13" s="190" t="s">
        <v>122</v>
      </c>
      <c r="AI13" s="190" t="s">
        <v>72</v>
      </c>
      <c r="AJ13" s="42"/>
      <c r="AN13" s="19"/>
      <c r="AO13" s="19"/>
      <c r="AP13" s="19"/>
      <c r="AQ13" s="232" t="s">
        <v>89</v>
      </c>
      <c r="AR13" s="207"/>
      <c r="AS13" s="14" t="s">
        <v>90</v>
      </c>
      <c r="AT13" s="14" t="s">
        <v>90</v>
      </c>
      <c r="AU13" s="14" t="s">
        <v>90</v>
      </c>
      <c r="AV13" s="208" t="s">
        <v>90</v>
      </c>
      <c r="AW13" s="19">
        <f t="shared" si="5"/>
        <v>3.4637600000000002</v>
      </c>
      <c r="AX13" s="19">
        <f t="shared" si="6"/>
        <v>3.3198500000000006</v>
      </c>
      <c r="AY13" s="19">
        <f t="shared" si="7"/>
        <v>3.1068499999999997</v>
      </c>
      <c r="AZ13" s="19">
        <f t="shared" si="8"/>
        <v>2.6299100000000002</v>
      </c>
      <c r="BA13" s="207"/>
      <c r="BB13" s="14">
        <v>35</v>
      </c>
      <c r="BC13" s="14">
        <v>38</v>
      </c>
      <c r="BD13" s="14">
        <v>6</v>
      </c>
      <c r="BE13" s="208">
        <v>8</v>
      </c>
    </row>
    <row r="14" spans="1:57" s="14" customFormat="1">
      <c r="A14" s="14" t="s">
        <v>123</v>
      </c>
      <c r="B14" s="39" t="s">
        <v>124</v>
      </c>
      <c r="C14" s="40" t="s">
        <v>106</v>
      </c>
      <c r="D14" s="40" t="s">
        <v>60</v>
      </c>
      <c r="E14" s="14" t="s">
        <v>61</v>
      </c>
      <c r="G14" s="14" t="s">
        <v>62</v>
      </c>
      <c r="H14" s="14" t="s">
        <v>125</v>
      </c>
      <c r="J14" s="14">
        <v>0</v>
      </c>
      <c r="K14" s="14">
        <v>150</v>
      </c>
      <c r="L14" s="14" t="s">
        <v>64</v>
      </c>
      <c r="M14" s="14" t="s">
        <v>108</v>
      </c>
      <c r="N14" s="14" t="s">
        <v>126</v>
      </c>
      <c r="O14" s="14" t="s">
        <v>110</v>
      </c>
      <c r="P14" s="14">
        <v>0</v>
      </c>
      <c r="Q14" s="14" t="s">
        <v>111</v>
      </c>
      <c r="R14" s="114">
        <f t="shared" si="0"/>
        <v>42.436276553343617</v>
      </c>
      <c r="S14" s="188">
        <f t="shared" si="0"/>
        <v>35.506600741486224</v>
      </c>
      <c r="T14" s="188">
        <f t="shared" si="0"/>
        <v>8.2033207314107912</v>
      </c>
      <c r="U14" s="188">
        <f t="shared" si="0"/>
        <v>13.853801973759378</v>
      </c>
      <c r="V14" s="114">
        <f>0.38/(0.38+1.6)*100</f>
        <v>19.191919191919194</v>
      </c>
      <c r="W14" s="143">
        <f t="shared" si="1"/>
        <v>80.808080808080803</v>
      </c>
      <c r="X14" s="41">
        <f>11.3/$R$2/(11.3/$R$2 + 30.5/$S$2 + 0.82/$T$2)*100</f>
        <v>16.936856052985036</v>
      </c>
      <c r="Y14" s="41">
        <f t="shared" si="2"/>
        <v>81.488541797504951</v>
      </c>
      <c r="Z14" s="41">
        <f>0.82/$T$2/(11.3/$R$2 + 30.5/$S$2 + 0.82/$T$2)*100</f>
        <v>1.5746021495100095</v>
      </c>
      <c r="AA14" s="159">
        <f>4.44/R$2/(4.44/$R$2 + 16.5/$S$2 + 21.6/$T$2)*100</f>
        <v>7.2165637307264916</v>
      </c>
      <c r="AB14" s="41">
        <f t="shared" si="3"/>
        <v>47.805050294899424</v>
      </c>
      <c r="AC14" s="115">
        <f>21.6/T$2/(4.44/$R$2 + 16.5/$S$2 + 21.6/$T$2)*100</f>
        <v>44.978385974374085</v>
      </c>
      <c r="AD14" s="41">
        <v>12</v>
      </c>
      <c r="AE14" s="41">
        <f t="shared" si="4"/>
        <v>82</v>
      </c>
      <c r="AF14" s="115">
        <v>6</v>
      </c>
      <c r="AG14" s="14" t="s">
        <v>69</v>
      </c>
      <c r="AH14" s="189" t="s">
        <v>70</v>
      </c>
      <c r="AI14" s="189" t="s">
        <v>127</v>
      </c>
      <c r="AJ14" s="42"/>
      <c r="AN14" s="19"/>
      <c r="AO14" s="19"/>
      <c r="AP14" s="19"/>
      <c r="AQ14" s="232" t="s">
        <v>73</v>
      </c>
      <c r="AR14" s="207"/>
      <c r="AS14" s="14">
        <v>34.1</v>
      </c>
      <c r="AT14" s="14">
        <v>27.2</v>
      </c>
      <c r="AU14" s="14">
        <v>5.9</v>
      </c>
      <c r="AV14" s="208">
        <v>8.4</v>
      </c>
      <c r="AW14" s="19">
        <f t="shared" si="5"/>
        <v>3.4849494949494946</v>
      </c>
      <c r="AX14" s="19">
        <f t="shared" si="6"/>
        <v>3.3223026139488576</v>
      </c>
      <c r="AY14" s="19">
        <f t="shared" si="7"/>
        <v>3.1191890700573266</v>
      </c>
      <c r="AZ14" s="19">
        <f t="shared" si="8"/>
        <v>2.6295999999999999</v>
      </c>
      <c r="BA14" s="207"/>
      <c r="BB14" s="14">
        <f t="shared" ref="BB14:BE21" si="11">AS14/AW14</f>
        <v>9.7849337700356518</v>
      </c>
      <c r="BC14" s="14">
        <f t="shared" si="11"/>
        <v>8.1870928571646076</v>
      </c>
      <c r="BD14" s="14">
        <f t="shared" si="11"/>
        <v>1.8915172717925579</v>
      </c>
      <c r="BE14" s="208">
        <f t="shared" si="11"/>
        <v>3.1944021904472164</v>
      </c>
    </row>
    <row r="15" spans="1:57" s="14" customFormat="1">
      <c r="A15" s="14" t="s">
        <v>128</v>
      </c>
      <c r="B15" s="39" t="s">
        <v>129</v>
      </c>
      <c r="C15" s="40" t="s">
        <v>106</v>
      </c>
      <c r="D15" s="40" t="s">
        <v>60</v>
      </c>
      <c r="E15" s="14" t="s">
        <v>61</v>
      </c>
      <c r="G15" s="14" t="s">
        <v>62</v>
      </c>
      <c r="H15" s="14" t="s">
        <v>125</v>
      </c>
      <c r="J15" s="14">
        <v>0</v>
      </c>
      <c r="K15" s="14">
        <v>150</v>
      </c>
      <c r="L15" s="14" t="s">
        <v>64</v>
      </c>
      <c r="M15" s="14" t="s">
        <v>108</v>
      </c>
      <c r="N15" s="14" t="s">
        <v>130</v>
      </c>
      <c r="O15" s="14" t="s">
        <v>110</v>
      </c>
      <c r="P15" s="14">
        <v>0</v>
      </c>
      <c r="Q15" s="14" t="s">
        <v>111</v>
      </c>
      <c r="R15" s="114">
        <f t="shared" si="0"/>
        <v>49.859661583937473</v>
      </c>
      <c r="S15" s="188">
        <f t="shared" si="0"/>
        <v>28.178291367892133</v>
      </c>
      <c r="T15" s="188">
        <f t="shared" si="0"/>
        <v>6.5657631458945476</v>
      </c>
      <c r="U15" s="188">
        <f t="shared" si="0"/>
        <v>15.396283902275856</v>
      </c>
      <c r="V15" s="114">
        <f>0.38/(0.38+1.6)*100</f>
        <v>19.191919191919194</v>
      </c>
      <c r="W15" s="143">
        <f t="shared" si="1"/>
        <v>80.808080808080803</v>
      </c>
      <c r="X15" s="41">
        <f>11.4/$R$2/(11.4/$R$2 + 30.9/$S$2 + 0.72/$T$2)*100</f>
        <v>16.913116242931459</v>
      </c>
      <c r="Y15" s="41">
        <f t="shared" si="2"/>
        <v>81.718355044940196</v>
      </c>
      <c r="Z15" s="41">
        <f>0.72/$T$2/(11.4/$R$2 + 30.9/$S$2 + 0.72/$T$2)*100</f>
        <v>1.368528712128332</v>
      </c>
      <c r="AA15" s="160">
        <v>6.9</v>
      </c>
      <c r="AB15" s="41">
        <f t="shared" si="3"/>
        <v>48.3</v>
      </c>
      <c r="AC15" s="115">
        <v>44.8</v>
      </c>
      <c r="AD15" s="41">
        <v>13.1</v>
      </c>
      <c r="AE15" s="41">
        <f t="shared" si="4"/>
        <v>80.400000000000006</v>
      </c>
      <c r="AF15" s="115">
        <v>6.5</v>
      </c>
      <c r="AG15" s="14" t="s">
        <v>69</v>
      </c>
      <c r="AH15" s="189" t="s">
        <v>70</v>
      </c>
      <c r="AI15" s="190" t="s">
        <v>131</v>
      </c>
      <c r="AN15" s="19"/>
      <c r="AO15" s="19"/>
      <c r="AP15" s="19"/>
      <c r="AQ15" s="232" t="s">
        <v>73</v>
      </c>
      <c r="AR15" s="207"/>
      <c r="AS15" s="14">
        <v>39.9</v>
      </c>
      <c r="AT15" s="14">
        <v>21.5</v>
      </c>
      <c r="AU15" s="14">
        <v>4.7</v>
      </c>
      <c r="AV15" s="208">
        <v>9.3000000000000007</v>
      </c>
      <c r="AW15" s="19">
        <f t="shared" si="5"/>
        <v>3.4849494949494946</v>
      </c>
      <c r="AX15" s="19">
        <f t="shared" si="6"/>
        <v>3.3227427856856004</v>
      </c>
      <c r="AY15" s="19">
        <f t="shared" si="7"/>
        <v>3.1173500000000001</v>
      </c>
      <c r="AZ15" s="19">
        <f t="shared" si="8"/>
        <v>2.6305100000000001</v>
      </c>
      <c r="BA15" s="207"/>
      <c r="BB15" s="14">
        <f t="shared" si="11"/>
        <v>11.449233355554913</v>
      </c>
      <c r="BC15" s="14">
        <f t="shared" si="11"/>
        <v>6.4705580259242916</v>
      </c>
      <c r="BD15" s="14">
        <f t="shared" si="11"/>
        <v>1.5076908271448506</v>
      </c>
      <c r="BE15" s="208">
        <f t="shared" si="11"/>
        <v>3.5354360941414402</v>
      </c>
    </row>
    <row r="16" spans="1:57" s="14" customFormat="1">
      <c r="A16" s="14" t="s">
        <v>132</v>
      </c>
      <c r="B16" s="39" t="s">
        <v>133</v>
      </c>
      <c r="C16" s="40" t="s">
        <v>106</v>
      </c>
      <c r="D16" s="40" t="s">
        <v>60</v>
      </c>
      <c r="E16" s="14" t="s">
        <v>61</v>
      </c>
      <c r="G16" s="14" t="s">
        <v>62</v>
      </c>
      <c r="H16" s="14" t="s">
        <v>134</v>
      </c>
      <c r="J16" s="14">
        <v>0</v>
      </c>
      <c r="K16" s="14">
        <v>150</v>
      </c>
      <c r="L16" s="14" t="s">
        <v>64</v>
      </c>
      <c r="M16" s="14" t="s">
        <v>108</v>
      </c>
      <c r="N16" s="14" t="s">
        <v>135</v>
      </c>
      <c r="O16" s="14" t="s">
        <v>110</v>
      </c>
      <c r="P16" s="14">
        <v>0</v>
      </c>
      <c r="Q16" s="14" t="s">
        <v>111</v>
      </c>
      <c r="R16" s="114">
        <f t="shared" si="0"/>
        <v>43.230140030644264</v>
      </c>
      <c r="S16" s="188">
        <f t="shared" si="0"/>
        <v>31.925950377349199</v>
      </c>
      <c r="T16" s="188">
        <f t="shared" si="0"/>
        <v>9.2198639307314405</v>
      </c>
      <c r="U16" s="188">
        <f t="shared" si="0"/>
        <v>15.624045661275099</v>
      </c>
      <c r="V16" s="114">
        <f>0.37/(0.37+1.64)*100</f>
        <v>18.407960199004979</v>
      </c>
      <c r="W16" s="143">
        <f t="shared" si="1"/>
        <v>81.592039800995025</v>
      </c>
      <c r="X16" s="41">
        <f>11.1/$R$2/(11.1/$R$2 + 30.9/$S$2 + 0.81/$T$2)*100</f>
        <v>16.513283261155628</v>
      </c>
      <c r="Y16" s="41">
        <f t="shared" si="2"/>
        <v>81.942891611113538</v>
      </c>
      <c r="Z16" s="41">
        <f>0.81/$T$2/(11.1/$R$2 + 30.9/$S$2 + 0.81/$T$2)*100</f>
        <v>1.5438251277308204</v>
      </c>
      <c r="AA16" s="159">
        <v>7</v>
      </c>
      <c r="AB16" s="41">
        <f t="shared" si="3"/>
        <v>49.2</v>
      </c>
      <c r="AC16" s="115">
        <v>43.8</v>
      </c>
      <c r="AD16" s="41">
        <v>13</v>
      </c>
      <c r="AE16" s="41">
        <f t="shared" si="4"/>
        <v>81.7</v>
      </c>
      <c r="AF16" s="115">
        <v>5.3</v>
      </c>
      <c r="AG16" s="14" t="s">
        <v>69</v>
      </c>
      <c r="AH16" s="189" t="s">
        <v>70</v>
      </c>
      <c r="AI16" s="190" t="s">
        <v>136</v>
      </c>
      <c r="AJ16" s="42"/>
      <c r="AN16" s="19"/>
      <c r="AO16" s="19"/>
      <c r="AP16" s="19"/>
      <c r="AQ16" s="232" t="s">
        <v>73</v>
      </c>
      <c r="AR16" s="207"/>
      <c r="AS16" s="14">
        <v>32.9</v>
      </c>
      <c r="AT16" s="14">
        <v>23.2</v>
      </c>
      <c r="AU16" s="14">
        <v>6.3</v>
      </c>
      <c r="AV16" s="208">
        <v>9</v>
      </c>
      <c r="AW16" s="19">
        <f t="shared" si="5"/>
        <v>3.476169154228856</v>
      </c>
      <c r="AX16" s="19">
        <f t="shared" si="6"/>
        <v>3.3192181490754744</v>
      </c>
      <c r="AY16" s="19">
        <f t="shared" si="7"/>
        <v>3.1210999999999998</v>
      </c>
      <c r="AZ16" s="19">
        <f t="shared" si="8"/>
        <v>2.6311200000000001</v>
      </c>
      <c r="BA16" s="207"/>
      <c r="BB16" s="14">
        <f t="shared" si="11"/>
        <v>9.4644416138312017</v>
      </c>
      <c r="BC16" s="14">
        <f t="shared" si="11"/>
        <v>6.9895978384132604</v>
      </c>
      <c r="BD16" s="14">
        <f t="shared" si="11"/>
        <v>2.0185191118515911</v>
      </c>
      <c r="BE16" s="208">
        <f t="shared" si="11"/>
        <v>3.4205965520386754</v>
      </c>
    </row>
    <row r="17" spans="1:57" s="14" customFormat="1">
      <c r="A17" s="14" t="s">
        <v>137</v>
      </c>
      <c r="B17" s="39" t="s">
        <v>138</v>
      </c>
      <c r="C17" s="40" t="s">
        <v>106</v>
      </c>
      <c r="D17" s="40" t="s">
        <v>60</v>
      </c>
      <c r="E17" s="14" t="s">
        <v>61</v>
      </c>
      <c r="G17" s="14" t="s">
        <v>62</v>
      </c>
      <c r="H17" s="14" t="s">
        <v>107</v>
      </c>
      <c r="J17" s="14">
        <v>0</v>
      </c>
      <c r="K17" s="14">
        <v>150</v>
      </c>
      <c r="L17" s="14" t="s">
        <v>64</v>
      </c>
      <c r="M17" s="14" t="s">
        <v>108</v>
      </c>
      <c r="N17" s="14" t="s">
        <v>139</v>
      </c>
      <c r="O17" s="14" t="s">
        <v>110</v>
      </c>
      <c r="P17" s="14">
        <v>0</v>
      </c>
      <c r="Q17" s="14" t="s">
        <v>111</v>
      </c>
      <c r="R17" s="114">
        <f t="shared" si="0"/>
        <v>49.306179639809358</v>
      </c>
      <c r="S17" s="188">
        <f t="shared" si="0"/>
        <v>26.420519884985083</v>
      </c>
      <c r="T17" s="188">
        <f t="shared" si="0"/>
        <v>10.3210000563306</v>
      </c>
      <c r="U17" s="188">
        <f t="shared" si="0"/>
        <v>13.952300418874962</v>
      </c>
      <c r="V17" s="114">
        <f>0.49/(0.49+1.52)*100</f>
        <v>24.378109452736322</v>
      </c>
      <c r="W17" s="143">
        <f t="shared" si="1"/>
        <v>75.621890547263675</v>
      </c>
      <c r="X17" s="41">
        <f>13.9/$R$2/(13.9/$R$2 + 28.9/$S$2 + 0.74/$T$2)*100</f>
        <v>20.945145331364877</v>
      </c>
      <c r="Y17" s="41">
        <f t="shared" si="2"/>
        <v>77.626280041990412</v>
      </c>
      <c r="Z17" s="41">
        <f>0.74/$T$2/(13.9/$R$2 + 28.9/$S$2 + 0.74/$T$2)*100</f>
        <v>1.4285746266447144</v>
      </c>
      <c r="AA17" s="159">
        <v>6.9</v>
      </c>
      <c r="AB17" s="41">
        <f t="shared" si="3"/>
        <v>47.099999999999994</v>
      </c>
      <c r="AC17" s="115">
        <v>46</v>
      </c>
      <c r="AD17" s="41">
        <v>10.6</v>
      </c>
      <c r="AE17" s="41">
        <f t="shared" si="4"/>
        <v>83.600000000000009</v>
      </c>
      <c r="AF17" s="115">
        <v>5.8</v>
      </c>
      <c r="AG17" s="14" t="s">
        <v>69</v>
      </c>
      <c r="AH17" s="189" t="s">
        <v>70</v>
      </c>
      <c r="AI17" s="190" t="s">
        <v>140</v>
      </c>
      <c r="AJ17" s="42"/>
      <c r="AN17" s="19"/>
      <c r="AO17" s="19"/>
      <c r="AP17" s="19"/>
      <c r="AQ17" s="232" t="s">
        <v>73</v>
      </c>
      <c r="AR17" s="207"/>
      <c r="AS17" s="14">
        <v>42.4</v>
      </c>
      <c r="AT17" s="14">
        <v>21.5</v>
      </c>
      <c r="AU17" s="14">
        <v>7.8</v>
      </c>
      <c r="AV17" s="208">
        <v>8.9</v>
      </c>
      <c r="AW17" s="19">
        <f t="shared" si="5"/>
        <v>3.5430348258706466</v>
      </c>
      <c r="AX17" s="19">
        <f t="shared" si="6"/>
        <v>3.3528028661053026</v>
      </c>
      <c r="AY17" s="19">
        <f t="shared" si="7"/>
        <v>3.1137499999999996</v>
      </c>
      <c r="AZ17" s="19">
        <f t="shared" si="8"/>
        <v>2.6281800000000004</v>
      </c>
      <c r="BA17" s="207"/>
      <c r="BB17" s="14">
        <f t="shared" si="11"/>
        <v>11.967141753843993</v>
      </c>
      <c r="BC17" s="14">
        <f t="shared" si="11"/>
        <v>6.4125452221934305</v>
      </c>
      <c r="BD17" s="14">
        <f t="shared" si="11"/>
        <v>2.5050180650341232</v>
      </c>
      <c r="BE17" s="208">
        <f t="shared" si="11"/>
        <v>3.386373840452328</v>
      </c>
    </row>
    <row r="18" spans="1:57" s="14" customFormat="1">
      <c r="A18" s="14" t="s">
        <v>141</v>
      </c>
      <c r="B18" s="39" t="s">
        <v>142</v>
      </c>
      <c r="C18" s="40" t="s">
        <v>106</v>
      </c>
      <c r="D18" s="40" t="s">
        <v>60</v>
      </c>
      <c r="E18" s="14" t="s">
        <v>61</v>
      </c>
      <c r="G18" s="14" t="s">
        <v>62</v>
      </c>
      <c r="H18" s="14" t="s">
        <v>134</v>
      </c>
      <c r="J18" s="14">
        <v>0</v>
      </c>
      <c r="K18" s="14">
        <v>0</v>
      </c>
      <c r="L18" s="14" t="s">
        <v>64</v>
      </c>
      <c r="M18" s="14" t="s">
        <v>108</v>
      </c>
      <c r="N18" s="14" t="s">
        <v>143</v>
      </c>
      <c r="O18" s="14" t="s">
        <v>110</v>
      </c>
      <c r="P18" s="14">
        <v>0</v>
      </c>
      <c r="Q18" s="14" t="s">
        <v>111</v>
      </c>
      <c r="R18" s="114">
        <f t="shared" si="0"/>
        <v>39.383625764472455</v>
      </c>
      <c r="S18" s="188">
        <f t="shared" si="0"/>
        <v>36.26973579905701</v>
      </c>
      <c r="T18" s="188">
        <f t="shared" si="0"/>
        <v>10.267301809633922</v>
      </c>
      <c r="U18" s="188">
        <f t="shared" si="0"/>
        <v>14.079336626836625</v>
      </c>
      <c r="V18" s="114">
        <f>0.35/(0.35+1.64)*100</f>
        <v>17.587939698492463</v>
      </c>
      <c r="W18" s="143">
        <f t="shared" si="1"/>
        <v>82.412060301507537</v>
      </c>
      <c r="X18" s="41">
        <f>10.6/$R$2/(10.6/$R$2 + 31.3/$S$2 + 0.67/$T$2)*100</f>
        <v>15.761549259080008</v>
      </c>
      <c r="Y18" s="41">
        <f t="shared" si="2"/>
        <v>82.962098704422957</v>
      </c>
      <c r="Z18" s="41">
        <f>0.67/$T$2/(10.6/$R$2 + 31.3/$S$2 + 0.67/$T$2)*100</f>
        <v>1.27635203649703</v>
      </c>
      <c r="AA18" s="159">
        <v>10.4</v>
      </c>
      <c r="AB18" s="41">
        <f t="shared" si="3"/>
        <v>57.3</v>
      </c>
      <c r="AC18" s="115">
        <v>32.299999999999997</v>
      </c>
      <c r="AD18" s="41">
        <v>20</v>
      </c>
      <c r="AE18" s="41">
        <f t="shared" si="4"/>
        <v>80</v>
      </c>
      <c r="AF18" s="115">
        <v>0</v>
      </c>
      <c r="AG18" s="14" t="s">
        <v>69</v>
      </c>
      <c r="AH18" s="189" t="s">
        <v>70</v>
      </c>
      <c r="AI18" s="190" t="s">
        <v>127</v>
      </c>
      <c r="AJ18" s="190" t="s">
        <v>144</v>
      </c>
      <c r="AN18" s="19"/>
      <c r="AO18" s="19"/>
      <c r="AP18" s="19"/>
      <c r="AQ18" s="232" t="s">
        <v>73</v>
      </c>
      <c r="AR18" s="207"/>
      <c r="AS18" s="14">
        <v>30.1</v>
      </c>
      <c r="AT18" s="14">
        <v>26.5</v>
      </c>
      <c r="AU18" s="14">
        <v>7.2</v>
      </c>
      <c r="AV18" s="208">
        <v>8.1999999999999993</v>
      </c>
      <c r="AW18" s="19">
        <f t="shared" si="5"/>
        <v>3.4669849246231159</v>
      </c>
      <c r="AX18" s="19">
        <f t="shared" si="6"/>
        <v>3.3143825633336088</v>
      </c>
      <c r="AY18" s="19">
        <f t="shared" si="7"/>
        <v>3.1810999999999998</v>
      </c>
      <c r="AZ18" s="19">
        <f t="shared" si="8"/>
        <v>2.6420000000000003</v>
      </c>
      <c r="BA18" s="207"/>
      <c r="BB18" s="14">
        <f t="shared" si="11"/>
        <v>8.6818952647370011</v>
      </c>
      <c r="BC18" s="14">
        <f t="shared" si="11"/>
        <v>7.9954560143914941</v>
      </c>
      <c r="BD18" s="14">
        <f t="shared" si="11"/>
        <v>2.2633680173524882</v>
      </c>
      <c r="BE18" s="208">
        <f t="shared" si="11"/>
        <v>3.1037093111279326</v>
      </c>
    </row>
    <row r="19" spans="1:57" s="14" customFormat="1">
      <c r="A19" s="14" t="s">
        <v>145</v>
      </c>
      <c r="B19" s="39" t="s">
        <v>146</v>
      </c>
      <c r="C19" s="40" t="s">
        <v>106</v>
      </c>
      <c r="D19" s="40" t="s">
        <v>60</v>
      </c>
      <c r="E19" s="14" t="s">
        <v>61</v>
      </c>
      <c r="G19" s="14" t="s">
        <v>62</v>
      </c>
      <c r="H19" s="14" t="s">
        <v>147</v>
      </c>
      <c r="J19" s="14">
        <v>0</v>
      </c>
      <c r="K19" s="14">
        <v>150</v>
      </c>
      <c r="L19" s="14" t="s">
        <v>64</v>
      </c>
      <c r="M19" s="14" t="s">
        <v>108</v>
      </c>
      <c r="N19" s="14" t="s">
        <v>148</v>
      </c>
      <c r="O19" s="14" t="s">
        <v>110</v>
      </c>
      <c r="P19" s="14">
        <v>0</v>
      </c>
      <c r="Q19" s="14" t="s">
        <v>111</v>
      </c>
      <c r="R19" s="114">
        <f t="shared" si="0"/>
        <v>47.479586617784399</v>
      </c>
      <c r="S19" s="188">
        <f t="shared" si="0"/>
        <v>27.880665711910581</v>
      </c>
      <c r="T19" s="188">
        <f t="shared" si="0"/>
        <v>10.42969034629987</v>
      </c>
      <c r="U19" s="188">
        <f t="shared" si="0"/>
        <v>14.210057324005154</v>
      </c>
      <c r="V19" s="114">
        <f>0.5/(0.5+1.52)*100</f>
        <v>24.752475247524753</v>
      </c>
      <c r="W19" s="143">
        <f t="shared" si="1"/>
        <v>75.247524752475243</v>
      </c>
      <c r="X19" s="41">
        <f>13.9/$R$2/(13.9/$R$2 + 28.8/$S$2 + 0.79/$T$2)*100</f>
        <v>20.981249389568156</v>
      </c>
      <c r="Y19" s="41">
        <f t="shared" si="2"/>
        <v>77.491021790062916</v>
      </c>
      <c r="Z19" s="41">
        <f>0.79/$T$2/(13.9/$R$2 + 28.8/$S$2 + 0.79/$T$2)*100</f>
        <v>1.5277288203689416</v>
      </c>
      <c r="AA19" s="159">
        <v>8.4</v>
      </c>
      <c r="AB19" s="41">
        <f t="shared" si="3"/>
        <v>46.999999999999993</v>
      </c>
      <c r="AC19" s="115">
        <v>44.6</v>
      </c>
      <c r="AD19" s="41">
        <v>18.600000000000001</v>
      </c>
      <c r="AE19" s="41">
        <f t="shared" si="4"/>
        <v>75.600000000000009</v>
      </c>
      <c r="AF19" s="115">
        <v>5.8</v>
      </c>
      <c r="AG19" s="14" t="s">
        <v>69</v>
      </c>
      <c r="AH19" s="189" t="s">
        <v>70</v>
      </c>
      <c r="AI19" s="190" t="s">
        <v>149</v>
      </c>
      <c r="AJ19" s="42"/>
      <c r="AN19" s="19"/>
      <c r="AO19" s="19"/>
      <c r="AP19" s="19"/>
      <c r="AQ19" s="232" t="s">
        <v>73</v>
      </c>
      <c r="AR19" s="207"/>
      <c r="AS19" s="14">
        <v>41.8</v>
      </c>
      <c r="AT19" s="14">
        <v>23.2</v>
      </c>
      <c r="AU19" s="14">
        <v>8.1</v>
      </c>
      <c r="AV19" s="208">
        <v>9.3000000000000007</v>
      </c>
      <c r="AW19" s="19">
        <f t="shared" si="5"/>
        <v>3.547227722772277</v>
      </c>
      <c r="AX19" s="19">
        <f t="shared" si="6"/>
        <v>3.3527761839606547</v>
      </c>
      <c r="AY19" s="19">
        <f t="shared" si="7"/>
        <v>3.1292</v>
      </c>
      <c r="AZ19" s="19">
        <f t="shared" si="8"/>
        <v>2.6369800000000003</v>
      </c>
      <c r="BA19" s="207"/>
      <c r="BB19" s="14">
        <f t="shared" si="11"/>
        <v>11.783850168867055</v>
      </c>
      <c r="BC19" s="14">
        <f t="shared" si="11"/>
        <v>6.9196387492211606</v>
      </c>
      <c r="BD19" s="14">
        <f t="shared" si="11"/>
        <v>2.5885210277387189</v>
      </c>
      <c r="BE19" s="208">
        <f t="shared" si="11"/>
        <v>3.5267616743395851</v>
      </c>
    </row>
    <row r="20" spans="1:57" s="14" customFormat="1">
      <c r="A20" s="14" t="s">
        <v>150</v>
      </c>
      <c r="B20" s="39" t="s">
        <v>142</v>
      </c>
      <c r="C20" s="40" t="s">
        <v>106</v>
      </c>
      <c r="D20" s="40" t="s">
        <v>60</v>
      </c>
      <c r="E20" s="14" t="s">
        <v>61</v>
      </c>
      <c r="G20" s="14" t="s">
        <v>62</v>
      </c>
      <c r="H20" s="14" t="s">
        <v>134</v>
      </c>
      <c r="J20" s="14">
        <v>0</v>
      </c>
      <c r="K20" s="14">
        <v>150</v>
      </c>
      <c r="L20" s="14" t="s">
        <v>64</v>
      </c>
      <c r="M20" s="14" t="s">
        <v>108</v>
      </c>
      <c r="N20" s="14" t="s">
        <v>143</v>
      </c>
      <c r="O20" s="14" t="s">
        <v>110</v>
      </c>
      <c r="P20" s="14">
        <v>0</v>
      </c>
      <c r="Q20" s="14" t="s">
        <v>111</v>
      </c>
      <c r="R20" s="114">
        <f t="shared" si="0"/>
        <v>39.383625764472455</v>
      </c>
      <c r="S20" s="188">
        <f t="shared" si="0"/>
        <v>36.26973579905701</v>
      </c>
      <c r="T20" s="188">
        <f t="shared" si="0"/>
        <v>10.267301809633922</v>
      </c>
      <c r="U20" s="188">
        <f t="shared" si="0"/>
        <v>14.079336626836625</v>
      </c>
      <c r="V20" s="114">
        <f>0.35/(0.35+1.64)*100</f>
        <v>17.587939698492463</v>
      </c>
      <c r="W20" s="143">
        <f t="shared" si="1"/>
        <v>82.412060301507537</v>
      </c>
      <c r="X20" s="41">
        <f>10.6/$R$2/(10.6/$R$2 + 31.3/$S$2 + 0.67/$T$2)*100</f>
        <v>15.761549259080008</v>
      </c>
      <c r="Y20" s="41">
        <f t="shared" si="2"/>
        <v>82.962098704422957</v>
      </c>
      <c r="Z20" s="41">
        <f>0.67/$T$2/(10.6/$R$2 + 31.3/$S$2 + 0.67/$T$2)*100</f>
        <v>1.27635203649703</v>
      </c>
      <c r="AA20" s="159">
        <v>10.4</v>
      </c>
      <c r="AB20" s="41">
        <f t="shared" si="3"/>
        <v>57.3</v>
      </c>
      <c r="AC20" s="115">
        <v>32.299999999999997</v>
      </c>
      <c r="AD20" s="41">
        <v>20</v>
      </c>
      <c r="AE20" s="41">
        <f t="shared" si="4"/>
        <v>80</v>
      </c>
      <c r="AF20" s="115">
        <v>0</v>
      </c>
      <c r="AG20" s="14" t="s">
        <v>69</v>
      </c>
      <c r="AH20" s="189" t="s">
        <v>70</v>
      </c>
      <c r="AI20" s="190" t="s">
        <v>127</v>
      </c>
      <c r="AJ20" s="190" t="s">
        <v>144</v>
      </c>
      <c r="AN20" s="19"/>
      <c r="AO20" s="19"/>
      <c r="AP20" s="19"/>
      <c r="AQ20" s="232" t="s">
        <v>73</v>
      </c>
      <c r="AR20" s="207"/>
      <c r="AS20" s="14">
        <v>30.1</v>
      </c>
      <c r="AT20" s="14">
        <v>26.5</v>
      </c>
      <c r="AU20" s="14">
        <v>7.2</v>
      </c>
      <c r="AV20" s="208">
        <v>8.1999999999999993</v>
      </c>
      <c r="AW20" s="19">
        <f t="shared" si="5"/>
        <v>3.4669849246231159</v>
      </c>
      <c r="AX20" s="19">
        <f t="shared" si="6"/>
        <v>3.3143825633336088</v>
      </c>
      <c r="AY20" s="19">
        <f t="shared" si="7"/>
        <v>3.1810999999999998</v>
      </c>
      <c r="AZ20" s="19">
        <f t="shared" si="8"/>
        <v>2.6420000000000003</v>
      </c>
      <c r="BA20" s="207"/>
      <c r="BB20" s="14">
        <f t="shared" si="11"/>
        <v>8.6818952647370011</v>
      </c>
      <c r="BC20" s="14">
        <f t="shared" si="11"/>
        <v>7.9954560143914941</v>
      </c>
      <c r="BD20" s="14">
        <f t="shared" si="11"/>
        <v>2.2633680173524882</v>
      </c>
      <c r="BE20" s="208">
        <f t="shared" si="11"/>
        <v>3.1037093111279326</v>
      </c>
    </row>
    <row r="21" spans="1:57" s="14" customFormat="1">
      <c r="A21" s="14" t="s">
        <v>151</v>
      </c>
      <c r="B21" s="39" t="s">
        <v>152</v>
      </c>
      <c r="C21" s="40" t="s">
        <v>106</v>
      </c>
      <c r="D21" s="40" t="s">
        <v>60</v>
      </c>
      <c r="E21" s="14" t="s">
        <v>61</v>
      </c>
      <c r="G21" s="14" t="s">
        <v>62</v>
      </c>
      <c r="H21" s="14" t="s">
        <v>79</v>
      </c>
      <c r="J21" s="14">
        <v>0</v>
      </c>
      <c r="K21" s="14">
        <v>150</v>
      </c>
      <c r="L21" s="14" t="s">
        <v>64</v>
      </c>
      <c r="M21" s="14" t="s">
        <v>108</v>
      </c>
      <c r="N21" s="14" t="s">
        <v>153</v>
      </c>
      <c r="O21" s="14" t="s">
        <v>110</v>
      </c>
      <c r="P21" s="14">
        <v>0</v>
      </c>
      <c r="Q21" s="14" t="s">
        <v>111</v>
      </c>
      <c r="R21" s="114">
        <f t="shared" si="0"/>
        <v>54.424900720676831</v>
      </c>
      <c r="S21" s="188">
        <f t="shared" si="0"/>
        <v>22.768146432259396</v>
      </c>
      <c r="T21" s="188">
        <f t="shared" si="0"/>
        <v>8.9880944712592843</v>
      </c>
      <c r="U21" s="188">
        <f t="shared" si="0"/>
        <v>13.818858375804494</v>
      </c>
      <c r="V21" s="114">
        <f>27/$R$2/(27/$R$2 + 35.8/$S$2)*100</f>
        <v>29.730645934379091</v>
      </c>
      <c r="W21" s="143">
        <f t="shared" si="1"/>
        <v>70.269354065620917</v>
      </c>
      <c r="X21" s="41">
        <f>16/$R$2/(16/$R$2 + 27.7/$S$2 + 0.89/$T$2)*100</f>
        <v>24.054023836406639</v>
      </c>
      <c r="Y21" s="41">
        <f t="shared" si="2"/>
        <v>73.981392353679681</v>
      </c>
      <c r="Z21" s="41">
        <f>1.02/$T$2/(16/$R$2 + 27.7/$S$2 + 0.89/$T$2)*100</f>
        <v>1.9645838099136801</v>
      </c>
      <c r="AA21" s="159">
        <f>6.47/R$2/(6.47/$R$2 + 16.4/$S$2 + 21.3/$T$2)*100</f>
        <v>10.271060039299117</v>
      </c>
      <c r="AB21" s="41">
        <f t="shared" si="3"/>
        <v>46.408463430631421</v>
      </c>
      <c r="AC21" s="115">
        <f>21.3/T$2/(6.47/$R$2 + 16.4/$S$2 + 21.3/$T$2)*100</f>
        <v>43.320476530069463</v>
      </c>
      <c r="AD21" s="41">
        <v>10.1</v>
      </c>
      <c r="AE21" s="41">
        <f t="shared" si="4"/>
        <v>84.4</v>
      </c>
      <c r="AF21" s="115">
        <v>5.5</v>
      </c>
      <c r="AG21" s="14" t="s">
        <v>69</v>
      </c>
      <c r="AH21" s="189" t="s">
        <v>70</v>
      </c>
      <c r="AI21" s="190" t="s">
        <v>72</v>
      </c>
      <c r="AJ21" s="190" t="s">
        <v>81</v>
      </c>
      <c r="AM21" s="14" t="s">
        <v>82</v>
      </c>
      <c r="AN21" s="19"/>
      <c r="AO21" s="19"/>
      <c r="AP21" s="19"/>
      <c r="AQ21" s="232" t="s">
        <v>73</v>
      </c>
      <c r="AR21" s="207"/>
      <c r="AS21" s="14">
        <v>51.3</v>
      </c>
      <c r="AT21" s="14">
        <v>20.100000000000001</v>
      </c>
      <c r="AU21" s="14">
        <v>7.4</v>
      </c>
      <c r="AV21" s="208">
        <v>9.5</v>
      </c>
      <c r="AW21" s="19">
        <f t="shared" si="5"/>
        <v>3.6029832344650456</v>
      </c>
      <c r="AX21" s="19">
        <f t="shared" si="6"/>
        <v>3.3745114273433088</v>
      </c>
      <c r="AY21" s="19">
        <f t="shared" si="7"/>
        <v>3.147071520704535</v>
      </c>
      <c r="AZ21" s="19">
        <f t="shared" si="8"/>
        <v>2.6278100000000006</v>
      </c>
      <c r="BA21" s="207"/>
      <c r="BB21" s="14">
        <f t="shared" si="11"/>
        <v>14.238201141009968</v>
      </c>
      <c r="BC21" s="14">
        <f t="shared" si="11"/>
        <v>5.9564178201122182</v>
      </c>
      <c r="BD21" s="14">
        <f t="shared" si="11"/>
        <v>2.3513923821926239</v>
      </c>
      <c r="BE21" s="208">
        <f t="shared" si="11"/>
        <v>3.6151776574409862</v>
      </c>
    </row>
    <row r="22" spans="1:57" s="15" customFormat="1">
      <c r="A22" s="15" t="s">
        <v>154</v>
      </c>
      <c r="B22" s="45" t="s">
        <v>155</v>
      </c>
      <c r="C22" s="46" t="s">
        <v>59</v>
      </c>
      <c r="D22" s="46" t="s">
        <v>60</v>
      </c>
      <c r="E22" s="15" t="s">
        <v>61</v>
      </c>
      <c r="G22" s="15" t="s">
        <v>62</v>
      </c>
      <c r="H22" s="15" t="s">
        <v>156</v>
      </c>
      <c r="J22" s="15">
        <v>0</v>
      </c>
      <c r="K22" s="15">
        <v>125</v>
      </c>
      <c r="L22" s="15" t="s">
        <v>64</v>
      </c>
      <c r="M22" s="15" t="s">
        <v>65</v>
      </c>
      <c r="N22" s="15" t="s">
        <v>157</v>
      </c>
      <c r="O22" s="15" t="s">
        <v>67</v>
      </c>
      <c r="P22" s="15">
        <v>0</v>
      </c>
      <c r="Q22" s="15" t="s">
        <v>68</v>
      </c>
      <c r="R22" s="116">
        <f t="shared" si="0"/>
        <v>18</v>
      </c>
      <c r="S22" s="47">
        <f t="shared" si="0"/>
        <v>0</v>
      </c>
      <c r="T22" s="47">
        <f t="shared" si="0"/>
        <v>27</v>
      </c>
      <c r="U22" s="47">
        <f t="shared" si="0"/>
        <v>55.000000000000007</v>
      </c>
      <c r="V22" s="144">
        <f>(22+34)/2</f>
        <v>28</v>
      </c>
      <c r="W22" s="145">
        <f t="shared" si="1"/>
        <v>72</v>
      </c>
      <c r="X22" s="48">
        <v>0</v>
      </c>
      <c r="Y22" s="48">
        <v>0</v>
      </c>
      <c r="Z22" s="48">
        <v>0</v>
      </c>
      <c r="AA22" s="144">
        <v>22</v>
      </c>
      <c r="AB22" s="48">
        <f t="shared" si="3"/>
        <v>36</v>
      </c>
      <c r="AC22" s="117">
        <v>42</v>
      </c>
      <c r="AD22" s="48">
        <v>68</v>
      </c>
      <c r="AE22" s="48" t="e">
        <f t="shared" si="4"/>
        <v>#VALUE!</v>
      </c>
      <c r="AF22" s="117" t="s">
        <v>158</v>
      </c>
      <c r="AG22" s="15" t="s">
        <v>69</v>
      </c>
      <c r="AH22" s="191" t="s">
        <v>159</v>
      </c>
      <c r="AI22" s="49"/>
      <c r="AJ22" s="49"/>
      <c r="AN22" s="22"/>
      <c r="AO22" s="22"/>
      <c r="AP22" s="22"/>
      <c r="AQ22" s="233" t="s">
        <v>114</v>
      </c>
      <c r="AR22" s="209"/>
      <c r="AS22" s="15" t="s">
        <v>90</v>
      </c>
      <c r="AT22" s="15" t="s">
        <v>90</v>
      </c>
      <c r="AU22" s="15" t="s">
        <v>90</v>
      </c>
      <c r="AV22" s="210" t="s">
        <v>90</v>
      </c>
      <c r="AW22" s="22">
        <f t="shared" si="5"/>
        <v>3.5835999999999997</v>
      </c>
      <c r="AX22" s="22">
        <v>1</v>
      </c>
      <c r="AY22" s="22">
        <f t="shared" si="7"/>
        <v>3.2389999999999999</v>
      </c>
      <c r="AZ22" s="22">
        <f>AD22*$AC$2+(98-AD22)*$AD$2+2*$AE$2</f>
        <v>2.6936000000000004</v>
      </c>
      <c r="BA22" s="209"/>
      <c r="BB22" s="15">
        <v>18</v>
      </c>
      <c r="BC22" s="15">
        <v>0</v>
      </c>
      <c r="BD22" s="15">
        <v>27</v>
      </c>
      <c r="BE22" s="210">
        <v>55</v>
      </c>
    </row>
    <row r="23" spans="1:57" s="15" customFormat="1">
      <c r="A23" s="15" t="s">
        <v>160</v>
      </c>
      <c r="B23" s="45" t="s">
        <v>161</v>
      </c>
      <c r="C23" s="46" t="s">
        <v>162</v>
      </c>
      <c r="D23" s="46" t="s">
        <v>60</v>
      </c>
      <c r="E23" s="15" t="s">
        <v>61</v>
      </c>
      <c r="G23" s="15" t="s">
        <v>62</v>
      </c>
      <c r="H23" s="15" t="s">
        <v>147</v>
      </c>
      <c r="J23" s="15">
        <v>0</v>
      </c>
      <c r="K23" s="15">
        <v>0</v>
      </c>
      <c r="L23" s="15" t="s">
        <v>64</v>
      </c>
      <c r="M23" s="15" t="s">
        <v>65</v>
      </c>
      <c r="N23" s="15" t="s">
        <v>163</v>
      </c>
      <c r="O23" s="15" t="s">
        <v>164</v>
      </c>
      <c r="P23" s="15">
        <v>0</v>
      </c>
      <c r="Q23" s="15" t="s">
        <v>165</v>
      </c>
      <c r="R23" s="116">
        <f t="shared" si="0"/>
        <v>43.721841685752096</v>
      </c>
      <c r="S23" s="47">
        <f t="shared" si="0"/>
        <v>29.594012961333462</v>
      </c>
      <c r="T23" s="47">
        <f t="shared" si="0"/>
        <v>12.326569501531933</v>
      </c>
      <c r="U23" s="47">
        <f t="shared" si="0"/>
        <v>14.357575851382512</v>
      </c>
      <c r="V23" s="144">
        <f>21.76/$R$2/(21.76/$R$2 + 38.96/$S$2)*100</f>
        <v>23.857491143337139</v>
      </c>
      <c r="W23" s="145">
        <f t="shared" si="1"/>
        <v>76.142508856662857</v>
      </c>
      <c r="X23" s="48">
        <f>13.95/$R$2/(13.95/$R$2 + 27.93/$S$2 + 1.21/$T$2)*100</f>
        <v>21.367228414369166</v>
      </c>
      <c r="Y23" s="48">
        <f t="shared" ref="Y23:Y52" si="12">100 - $X23 - $Z23</f>
        <v>76.258327265790996</v>
      </c>
      <c r="Z23" s="48">
        <f>1.21/$T$2/(13.95/$R$2 + 27.93/$S$2 + 1.21/$T$2)*100</f>
        <v>2.3744443198398422</v>
      </c>
      <c r="AA23" s="144">
        <f>5.19/R$2/(5.19/$R$2 + 15.68/$S$2 + 21.33/$T$2)*100</f>
        <v>8.5831201491113553</v>
      </c>
      <c r="AB23" s="48">
        <f t="shared" si="3"/>
        <v>46.287426586050699</v>
      </c>
      <c r="AC23" s="117">
        <f>21.3/T$2/(5.19/$R$2 + 15.68/$S$2 + 21.33/$T$2)*100</f>
        <v>45.129453264837949</v>
      </c>
      <c r="AD23" s="48">
        <f>(11+17)/2</f>
        <v>14</v>
      </c>
      <c r="AE23" s="48" t="e">
        <f t="shared" si="4"/>
        <v>#VALUE!</v>
      </c>
      <c r="AF23" s="117" t="s">
        <v>158</v>
      </c>
      <c r="AG23" s="15" t="s">
        <v>166</v>
      </c>
      <c r="AH23" s="50" t="s">
        <v>167</v>
      </c>
      <c r="AI23" s="192" t="s">
        <v>168</v>
      </c>
      <c r="AJ23" s="49"/>
      <c r="AN23" s="22"/>
      <c r="AO23" s="22"/>
      <c r="AP23" s="22"/>
      <c r="AQ23" s="233" t="s">
        <v>73</v>
      </c>
      <c r="AR23" s="209"/>
      <c r="AS23" s="15">
        <v>41.3</v>
      </c>
      <c r="AT23" s="15">
        <v>26.5</v>
      </c>
      <c r="AU23" s="15">
        <v>10.3</v>
      </c>
      <c r="AV23" s="210">
        <v>10.1</v>
      </c>
      <c r="AW23" s="22">
        <f t="shared" si="5"/>
        <v>3.5372039008053759</v>
      </c>
      <c r="AX23" s="22">
        <f t="shared" ref="AX23:AX52" si="13">X23*$Z$2+Y23*$AA$2+Z23*$AB$2</f>
        <v>3.3531308801482496</v>
      </c>
      <c r="AY23" s="22">
        <f t="shared" si="7"/>
        <v>3.1289850413238214</v>
      </c>
      <c r="AZ23" s="22">
        <f>AD23*$AC$2+(98-AD23)*$AD$2+2*$AE$2</f>
        <v>2.6342000000000003</v>
      </c>
      <c r="BA23" s="209"/>
      <c r="BB23" s="15">
        <f t="shared" ref="BB23:BB49" si="14">AS23/AW23</f>
        <v>11.67588896715751</v>
      </c>
      <c r="BC23" s="15">
        <f t="shared" ref="BC23:BC49" si="15">AT23/AX23</f>
        <v>7.9030616302183754</v>
      </c>
      <c r="BD23" s="15">
        <f t="shared" ref="BD23:BD49" si="16">AU23/AY23</f>
        <v>3.2918022502409414</v>
      </c>
      <c r="BE23" s="210">
        <f t="shared" ref="BE23:BE49" si="17">AV23/AZ23</f>
        <v>3.8341811555690528</v>
      </c>
    </row>
    <row r="24" spans="1:57" s="15" customFormat="1">
      <c r="A24" s="15" t="s">
        <v>169</v>
      </c>
      <c r="B24" s="45" t="s">
        <v>170</v>
      </c>
      <c r="C24" s="46" t="s">
        <v>162</v>
      </c>
      <c r="D24" s="46" t="s">
        <v>60</v>
      </c>
      <c r="E24" s="15" t="s">
        <v>61</v>
      </c>
      <c r="G24" s="15" t="s">
        <v>62</v>
      </c>
      <c r="H24" s="15" t="s">
        <v>147</v>
      </c>
      <c r="J24" s="15">
        <v>0</v>
      </c>
      <c r="K24" s="15">
        <v>63</v>
      </c>
      <c r="L24" s="15" t="s">
        <v>64</v>
      </c>
      <c r="M24" s="15" t="s">
        <v>65</v>
      </c>
      <c r="N24" s="15" t="s">
        <v>163</v>
      </c>
      <c r="O24" s="15" t="s">
        <v>164</v>
      </c>
      <c r="P24" s="15">
        <v>0</v>
      </c>
      <c r="Q24" s="15" t="s">
        <v>165</v>
      </c>
      <c r="R24" s="116">
        <f t="shared" si="0"/>
        <v>43.721841685752096</v>
      </c>
      <c r="S24" s="47">
        <f t="shared" si="0"/>
        <v>29.594012961333462</v>
      </c>
      <c r="T24" s="47">
        <f t="shared" si="0"/>
        <v>12.326569501531933</v>
      </c>
      <c r="U24" s="47">
        <f t="shared" si="0"/>
        <v>14.357575851382512</v>
      </c>
      <c r="V24" s="144">
        <f>21.76/$R$2/(21.76/$R$2 + 38.96/$S$2)*100</f>
        <v>23.857491143337139</v>
      </c>
      <c r="W24" s="145">
        <f t="shared" si="1"/>
        <v>76.142508856662857</v>
      </c>
      <c r="X24" s="48">
        <f>13.95/$R$2/(13.95/$R$2 + 27.93/$S$2 + 1.21/$T$2)*100</f>
        <v>21.367228414369166</v>
      </c>
      <c r="Y24" s="48">
        <f t="shared" si="12"/>
        <v>76.258327265790996</v>
      </c>
      <c r="Z24" s="48">
        <f>1.21/$T$2/(13.95/$R$2 + 27.93/$S$2 + 1.21/$T$2)*100</f>
        <v>2.3744443198398422</v>
      </c>
      <c r="AA24" s="144">
        <f>5.19/R$2/(5.19/$R$2 + 15.68/$S$2 + 21.33/$T$2)*100</f>
        <v>8.5831201491113553</v>
      </c>
      <c r="AB24" s="48">
        <f t="shared" si="3"/>
        <v>46.287426586050699</v>
      </c>
      <c r="AC24" s="117">
        <f>21.3/T$2/(5.19/$R$2 + 15.68/$S$2 + 21.33/$T$2)*100</f>
        <v>45.129453264837949</v>
      </c>
      <c r="AD24" s="48">
        <f>(11+17)/2</f>
        <v>14</v>
      </c>
      <c r="AE24" s="48" t="e">
        <f t="shared" si="4"/>
        <v>#VALUE!</v>
      </c>
      <c r="AF24" s="117" t="s">
        <v>158</v>
      </c>
      <c r="AG24" s="15" t="s">
        <v>171</v>
      </c>
      <c r="AH24" s="191" t="s">
        <v>167</v>
      </c>
      <c r="AI24" s="192" t="s">
        <v>168</v>
      </c>
      <c r="AJ24" s="49"/>
      <c r="AN24" s="22"/>
      <c r="AO24" s="22"/>
      <c r="AP24" s="22"/>
      <c r="AQ24" s="233" t="s">
        <v>73</v>
      </c>
      <c r="AR24" s="209"/>
      <c r="AS24" s="15">
        <v>41.3</v>
      </c>
      <c r="AT24" s="15">
        <v>26.5</v>
      </c>
      <c r="AU24" s="15">
        <v>10.3</v>
      </c>
      <c r="AV24" s="210">
        <v>10.1</v>
      </c>
      <c r="AW24" s="22">
        <f t="shared" si="5"/>
        <v>3.5372039008053759</v>
      </c>
      <c r="AX24" s="22">
        <f t="shared" si="13"/>
        <v>3.3531308801482496</v>
      </c>
      <c r="AY24" s="22">
        <f t="shared" si="7"/>
        <v>3.1289850413238214</v>
      </c>
      <c r="AZ24" s="22">
        <f>AD24*$AC$2+(98-AD24)*$AD$2+2*$AE$2</f>
        <v>2.6342000000000003</v>
      </c>
      <c r="BA24" s="209"/>
      <c r="BB24" s="15">
        <f t="shared" si="14"/>
        <v>11.67588896715751</v>
      </c>
      <c r="BC24" s="15">
        <f t="shared" si="15"/>
        <v>7.9030616302183754</v>
      </c>
      <c r="BD24" s="15">
        <f t="shared" si="16"/>
        <v>3.2918022502409414</v>
      </c>
      <c r="BE24" s="210">
        <f t="shared" si="17"/>
        <v>3.8341811555690528</v>
      </c>
    </row>
    <row r="25" spans="1:57" s="15" customFormat="1">
      <c r="A25" s="15" t="s">
        <v>172</v>
      </c>
      <c r="B25" s="45" t="s">
        <v>173</v>
      </c>
      <c r="C25" s="46" t="s">
        <v>93</v>
      </c>
      <c r="D25" s="46" t="s">
        <v>60</v>
      </c>
      <c r="E25" s="15" t="s">
        <v>61</v>
      </c>
      <c r="G25" s="15" t="s">
        <v>62</v>
      </c>
      <c r="H25" s="15" t="s">
        <v>76</v>
      </c>
      <c r="J25" s="15">
        <v>0</v>
      </c>
      <c r="K25" s="15">
        <v>150</v>
      </c>
      <c r="L25" s="15" t="s">
        <v>64</v>
      </c>
      <c r="M25" s="15" t="s">
        <v>65</v>
      </c>
      <c r="N25" s="15" t="s">
        <v>174</v>
      </c>
      <c r="O25" s="15" t="s">
        <v>95</v>
      </c>
      <c r="P25" s="15">
        <v>0</v>
      </c>
      <c r="Q25" s="15" t="s">
        <v>96</v>
      </c>
      <c r="R25" s="116">
        <f t="shared" si="0"/>
        <v>55.240768544256454</v>
      </c>
      <c r="S25" s="47">
        <f t="shared" si="0"/>
        <v>23.823930111562554</v>
      </c>
      <c r="T25" s="47">
        <f t="shared" si="0"/>
        <v>7.9714379000655295</v>
      </c>
      <c r="U25" s="47">
        <f t="shared" si="0"/>
        <v>12.963863444115448</v>
      </c>
      <c r="V25" s="144">
        <f>0.57/(0.57+1.44)*100</f>
        <v>28.35820895522388</v>
      </c>
      <c r="W25" s="145">
        <f t="shared" si="1"/>
        <v>71.641791044776113</v>
      </c>
      <c r="X25" s="48">
        <f>15.3/$R$2/(15.3/$R$2 + 27.9/$S$2 + 0.81/$T$2)*100</f>
        <v>23.156922599731519</v>
      </c>
      <c r="Y25" s="48">
        <f t="shared" si="12"/>
        <v>75.272435906096675</v>
      </c>
      <c r="Z25" s="48">
        <f>0.81/$T$2/(15.3/$R$2 + 27.9/$S$2 + 0.81/$T$2)*100</f>
        <v>1.5706414941718161</v>
      </c>
      <c r="AA25" s="144">
        <v>9.5</v>
      </c>
      <c r="AB25" s="48">
        <f t="shared" si="3"/>
        <v>49.9</v>
      </c>
      <c r="AC25" s="117">
        <v>40.6</v>
      </c>
      <c r="AD25" s="48" t="s">
        <v>158</v>
      </c>
      <c r="AE25" s="48" t="e">
        <f t="shared" si="4"/>
        <v>#VALUE!</v>
      </c>
      <c r="AF25" s="117" t="s">
        <v>158</v>
      </c>
      <c r="AG25" s="47" t="s">
        <v>69</v>
      </c>
      <c r="AH25" s="191" t="s">
        <v>70</v>
      </c>
      <c r="AI25" s="192" t="s">
        <v>71</v>
      </c>
      <c r="AJ25" s="49"/>
      <c r="AN25" s="22"/>
      <c r="AO25" s="22"/>
      <c r="AP25" s="22"/>
      <c r="AQ25" s="233" t="s">
        <v>73</v>
      </c>
      <c r="AR25" s="209"/>
      <c r="AS25" s="15">
        <v>52.1</v>
      </c>
      <c r="AT25" s="15">
        <v>21.1</v>
      </c>
      <c r="AU25" s="15">
        <v>6.6</v>
      </c>
      <c r="AV25" s="210">
        <v>9</v>
      </c>
      <c r="AW25" s="22">
        <f t="shared" si="5"/>
        <v>3.5876119402985069</v>
      </c>
      <c r="AX25" s="22">
        <f t="shared" si="13"/>
        <v>3.3689649950154714</v>
      </c>
      <c r="AY25" s="22">
        <f t="shared" si="7"/>
        <v>3.1494499999999999</v>
      </c>
      <c r="AZ25" s="22">
        <f t="shared" ref="AZ25:AZ33" si="18">20*$AC$2+78*$AD$2+2*$AE$2</f>
        <v>2.6408</v>
      </c>
      <c r="BA25" s="209"/>
      <c r="BB25" s="15">
        <f t="shared" si="14"/>
        <v>14.522194949452929</v>
      </c>
      <c r="BC25" s="15">
        <f t="shared" si="15"/>
        <v>6.2630511243715379</v>
      </c>
      <c r="BD25" s="15">
        <f t="shared" si="16"/>
        <v>2.0956039943482194</v>
      </c>
      <c r="BE25" s="210">
        <f t="shared" si="17"/>
        <v>3.4080581641926688</v>
      </c>
    </row>
    <row r="26" spans="1:57" s="15" customFormat="1">
      <c r="A26" s="15" t="s">
        <v>175</v>
      </c>
      <c r="B26" s="45" t="s">
        <v>176</v>
      </c>
      <c r="C26" s="46" t="s">
        <v>93</v>
      </c>
      <c r="D26" s="46" t="s">
        <v>60</v>
      </c>
      <c r="E26" s="15" t="s">
        <v>61</v>
      </c>
      <c r="G26" s="15" t="s">
        <v>62</v>
      </c>
      <c r="H26" s="15" t="s">
        <v>177</v>
      </c>
      <c r="J26" s="15">
        <v>0</v>
      </c>
      <c r="K26" s="15">
        <v>150</v>
      </c>
      <c r="L26" s="15" t="s">
        <v>64</v>
      </c>
      <c r="M26" s="15" t="s">
        <v>65</v>
      </c>
      <c r="N26" s="15" t="s">
        <v>178</v>
      </c>
      <c r="O26" s="15" t="s">
        <v>95</v>
      </c>
      <c r="P26" s="15">
        <v>0</v>
      </c>
      <c r="Q26" s="15" t="s">
        <v>96</v>
      </c>
      <c r="R26" s="116">
        <f t="shared" si="0"/>
        <v>47.781255112817085</v>
      </c>
      <c r="S26" s="47">
        <f t="shared" si="0"/>
        <v>25.789731481148308</v>
      </c>
      <c r="T26" s="47">
        <f t="shared" si="0"/>
        <v>11.14875244670649</v>
      </c>
      <c r="U26" s="47">
        <f t="shared" si="0"/>
        <v>15.280260959328107</v>
      </c>
      <c r="V26" s="116">
        <v>28.5</v>
      </c>
      <c r="W26" s="145">
        <f t="shared" si="1"/>
        <v>71.5</v>
      </c>
      <c r="X26" s="48">
        <f>15.1/$R$2/(15.1/$R$2 + 27.2/$S$2 + 1.2/$T$2)*100</f>
        <v>23.186956541620042</v>
      </c>
      <c r="Y26" s="48">
        <f t="shared" si="12"/>
        <v>74.448659091326164</v>
      </c>
      <c r="Z26" s="48">
        <f>1.2/$T$2/(15/$R$2 + 27.2/$S$2 + 1.2/$T$2)*100</f>
        <v>2.3643843670537854</v>
      </c>
      <c r="AA26" s="144">
        <v>10</v>
      </c>
      <c r="AB26" s="48">
        <f t="shared" si="3"/>
        <v>54</v>
      </c>
      <c r="AC26" s="117">
        <v>36</v>
      </c>
      <c r="AD26" s="48" t="s">
        <v>158</v>
      </c>
      <c r="AE26" s="48" t="e">
        <f t="shared" si="4"/>
        <v>#VALUE!</v>
      </c>
      <c r="AF26" s="117" t="s">
        <v>158</v>
      </c>
      <c r="AG26" s="47" t="s">
        <v>69</v>
      </c>
      <c r="AH26" s="191" t="s">
        <v>70</v>
      </c>
      <c r="AI26" s="192" t="s">
        <v>71</v>
      </c>
      <c r="AJ26" s="49"/>
      <c r="AN26" s="22"/>
      <c r="AO26" s="22"/>
      <c r="AP26" s="22"/>
      <c r="AQ26" s="233" t="s">
        <v>73</v>
      </c>
      <c r="AR26" s="209"/>
      <c r="AS26" s="15">
        <v>47.6</v>
      </c>
      <c r="AT26" s="15">
        <v>24.1</v>
      </c>
      <c r="AU26" s="15">
        <v>9.8000000000000007</v>
      </c>
      <c r="AV26" s="210">
        <v>11.2</v>
      </c>
      <c r="AW26" s="22">
        <f t="shared" si="5"/>
        <v>3.5891999999999999</v>
      </c>
      <c r="AX26" s="22">
        <f t="shared" si="13"/>
        <v>3.3668090209609889</v>
      </c>
      <c r="AY26" s="22">
        <f t="shared" si="7"/>
        <v>3.1670000000000003</v>
      </c>
      <c r="AZ26" s="22">
        <f t="shared" si="18"/>
        <v>2.6408</v>
      </c>
      <c r="BA26" s="209"/>
      <c r="BB26" s="15">
        <f t="shared" si="14"/>
        <v>13.262008246963113</v>
      </c>
      <c r="BC26" s="15">
        <f t="shared" si="15"/>
        <v>7.1581131718368551</v>
      </c>
      <c r="BD26" s="15">
        <f t="shared" si="16"/>
        <v>3.0944111146195139</v>
      </c>
      <c r="BE26" s="210">
        <f t="shared" si="17"/>
        <v>4.2411390487730989</v>
      </c>
    </row>
    <row r="27" spans="1:57" s="15" customFormat="1">
      <c r="A27" s="15" t="s">
        <v>179</v>
      </c>
      <c r="B27" s="45" t="s">
        <v>180</v>
      </c>
      <c r="C27" s="46" t="s">
        <v>93</v>
      </c>
      <c r="D27" s="46" t="s">
        <v>60</v>
      </c>
      <c r="E27" s="15" t="s">
        <v>61</v>
      </c>
      <c r="G27" s="15" t="s">
        <v>62</v>
      </c>
      <c r="H27" s="15" t="s">
        <v>76</v>
      </c>
      <c r="J27" s="15">
        <v>0</v>
      </c>
      <c r="K27" s="15">
        <v>150</v>
      </c>
      <c r="L27" s="15" t="s">
        <v>64</v>
      </c>
      <c r="M27" s="15" t="s">
        <v>65</v>
      </c>
      <c r="N27" s="15" t="s">
        <v>181</v>
      </c>
      <c r="O27" s="15" t="s">
        <v>95</v>
      </c>
      <c r="P27" s="15">
        <v>684</v>
      </c>
      <c r="Q27" s="15" t="s">
        <v>182</v>
      </c>
      <c r="R27" s="116">
        <f t="shared" si="0"/>
        <v>53.678738876518764</v>
      </c>
      <c r="S27" s="47">
        <f t="shared" si="0"/>
        <v>24.591185282927245</v>
      </c>
      <c r="T27" s="47">
        <f t="shared" si="0"/>
        <v>8.2264990337932531</v>
      </c>
      <c r="U27" s="47">
        <f t="shared" si="0"/>
        <v>13.50357680676075</v>
      </c>
      <c r="V27" s="144">
        <f>0.6/(0.6+1.41)*100</f>
        <v>29.850746268656721</v>
      </c>
      <c r="W27" s="145">
        <f t="shared" si="1"/>
        <v>70.149253731343279</v>
      </c>
      <c r="X27" s="48">
        <f>16.1/$R$2/(16.1/$R$2 + 27.4/$S$2 + 0.79/$T$2)*100</f>
        <v>24.410932387349238</v>
      </c>
      <c r="Y27" s="48">
        <f t="shared" si="12"/>
        <v>74.054492263095625</v>
      </c>
      <c r="Z27" s="48">
        <f>0.79/$T$2/(16.1/$R$2 + 27.4/$S$2 + 0.79/$T$2)*100</f>
        <v>1.5345753495551386</v>
      </c>
      <c r="AA27" s="144">
        <f>0.175/(0.175+0.903+0.85)*100</f>
        <v>9.0767634854771782</v>
      </c>
      <c r="AB27" s="48">
        <f t="shared" si="3"/>
        <v>46.83609958506225</v>
      </c>
      <c r="AC27" s="117">
        <f>0.85/(0.175+0.903+0.85)*100</f>
        <v>44.087136929460577</v>
      </c>
      <c r="AD27" s="48" t="s">
        <v>158</v>
      </c>
      <c r="AE27" s="48" t="e">
        <f t="shared" si="4"/>
        <v>#VALUE!</v>
      </c>
      <c r="AF27" s="117" t="s">
        <v>158</v>
      </c>
      <c r="AG27" s="47" t="s">
        <v>69</v>
      </c>
      <c r="AH27" s="191" t="s">
        <v>70</v>
      </c>
      <c r="AI27" s="192" t="s">
        <v>183</v>
      </c>
      <c r="AJ27" s="49"/>
      <c r="AN27" s="22"/>
      <c r="AO27" s="22"/>
      <c r="AP27" s="22"/>
      <c r="AQ27" s="233" t="s">
        <v>73</v>
      </c>
      <c r="AR27" s="209"/>
      <c r="AS27" s="15">
        <v>51</v>
      </c>
      <c r="AT27" s="15">
        <v>21.9</v>
      </c>
      <c r="AU27" s="15">
        <v>6.8</v>
      </c>
      <c r="AV27" s="210">
        <v>9.4</v>
      </c>
      <c r="AW27" s="22">
        <f t="shared" si="5"/>
        <v>3.6043283582089551</v>
      </c>
      <c r="AX27" s="22">
        <f t="shared" si="13"/>
        <v>3.3784782668564541</v>
      </c>
      <c r="AY27" s="22">
        <f t="shared" si="7"/>
        <v>3.1358143153526972</v>
      </c>
      <c r="AZ27" s="22">
        <f t="shared" si="18"/>
        <v>2.6408</v>
      </c>
      <c r="BA27" s="209"/>
      <c r="BB27" s="15">
        <f t="shared" si="14"/>
        <v>14.149654229988819</v>
      </c>
      <c r="BC27" s="15">
        <f t="shared" si="15"/>
        <v>6.4822083406139885</v>
      </c>
      <c r="BD27" s="15">
        <f t="shared" si="16"/>
        <v>2.1684957450151754</v>
      </c>
      <c r="BE27" s="210">
        <f t="shared" si="17"/>
        <v>3.5595274159345656</v>
      </c>
    </row>
    <row r="28" spans="1:57" s="15" customFormat="1">
      <c r="A28" s="15" t="s">
        <v>184</v>
      </c>
      <c r="B28" s="45" t="s">
        <v>185</v>
      </c>
      <c r="C28" s="46" t="s">
        <v>186</v>
      </c>
      <c r="D28" s="46" t="s">
        <v>60</v>
      </c>
      <c r="E28" s="15" t="s">
        <v>61</v>
      </c>
      <c r="G28" s="15" t="s">
        <v>62</v>
      </c>
      <c r="H28" s="15" t="s">
        <v>79</v>
      </c>
      <c r="J28" s="15">
        <v>0</v>
      </c>
      <c r="K28" s="15">
        <v>0</v>
      </c>
      <c r="M28" s="15" t="s">
        <v>187</v>
      </c>
      <c r="N28" s="15" t="s">
        <v>188</v>
      </c>
      <c r="O28" s="15" t="s">
        <v>189</v>
      </c>
      <c r="P28" s="15">
        <v>0</v>
      </c>
      <c r="Q28" s="15" t="s">
        <v>190</v>
      </c>
      <c r="R28" s="116">
        <f t="shared" si="0"/>
        <v>55.14652987826922</v>
      </c>
      <c r="S28" s="47">
        <f t="shared" si="0"/>
        <v>21.911114426763408</v>
      </c>
      <c r="T28" s="47">
        <f t="shared" si="0"/>
        <v>8.1635427710398432</v>
      </c>
      <c r="U28" s="47">
        <f t="shared" si="0"/>
        <v>14.778812923927532</v>
      </c>
      <c r="V28" s="116">
        <f>0.57/(0.57+1.44)*100</f>
        <v>28.35820895522388</v>
      </c>
      <c r="W28" s="145">
        <f t="shared" si="1"/>
        <v>71.641791044776113</v>
      </c>
      <c r="X28" s="48">
        <f>15.4/$R$2/(15.4/$R$2 + 28.1/$S$2 + 0.87/$T$2)*100</f>
        <v>23.121618003935353</v>
      </c>
      <c r="Y28" s="48">
        <f t="shared" si="12"/>
        <v>75.204906381758306</v>
      </c>
      <c r="Z28" s="48">
        <f>0.87/$T$2/(15.4/$R$2 + 28.1/$S$2 + 0.87/$T$2)*100</f>
        <v>1.6734756143063405</v>
      </c>
      <c r="AA28" s="144">
        <f>4.96/R$2/(4.96/$R$2 + 16.6/$S$2 + 22.1/$T$2)*100</f>
        <v>7.8900532320220913</v>
      </c>
      <c r="AB28" s="48">
        <f t="shared" si="3"/>
        <v>47.070487786087604</v>
      </c>
      <c r="AC28" s="117">
        <f>22.1/T$2/(4.96/$R$2 + 16.6/$S$2 + 22.1/$T$2)*100</f>
        <v>45.039458981890299</v>
      </c>
      <c r="AD28" s="48" t="s">
        <v>158</v>
      </c>
      <c r="AE28" s="48" t="e">
        <f t="shared" si="4"/>
        <v>#VALUE!</v>
      </c>
      <c r="AF28" s="117" t="s">
        <v>158</v>
      </c>
      <c r="AG28" s="15" t="s">
        <v>69</v>
      </c>
      <c r="AH28" s="191" t="s">
        <v>70</v>
      </c>
      <c r="AI28" s="49"/>
      <c r="AJ28" s="49"/>
      <c r="AN28" s="22"/>
      <c r="AO28" s="22"/>
      <c r="AP28" s="22"/>
      <c r="AQ28" s="233" t="s">
        <v>73</v>
      </c>
      <c r="AR28" s="209"/>
      <c r="AS28" s="15">
        <v>51.2</v>
      </c>
      <c r="AT28" s="15">
        <v>19.100000000000001</v>
      </c>
      <c r="AU28" s="15">
        <v>6.6</v>
      </c>
      <c r="AV28" s="210">
        <v>10.1</v>
      </c>
      <c r="AW28" s="22">
        <f t="shared" si="5"/>
        <v>3.5876119402985069</v>
      </c>
      <c r="AX28" s="22">
        <f t="shared" si="13"/>
        <v>3.3683917081865964</v>
      </c>
      <c r="AY28" s="22">
        <f t="shared" si="7"/>
        <v>3.1240570222944948</v>
      </c>
      <c r="AZ28" s="22">
        <f t="shared" si="18"/>
        <v>2.6408</v>
      </c>
      <c r="BA28" s="209"/>
      <c r="BB28" s="15">
        <f t="shared" si="14"/>
        <v>14.271331696967179</v>
      </c>
      <c r="BC28" s="15">
        <f t="shared" si="15"/>
        <v>5.6703618981067541</v>
      </c>
      <c r="BD28" s="15">
        <f t="shared" si="16"/>
        <v>2.112637494418256</v>
      </c>
      <c r="BE28" s="210">
        <f t="shared" si="17"/>
        <v>3.8245986064828839</v>
      </c>
    </row>
    <row r="29" spans="1:57" s="15" customFormat="1">
      <c r="A29" s="15" t="s">
        <v>191</v>
      </c>
      <c r="B29" s="45" t="s">
        <v>192</v>
      </c>
      <c r="C29" s="46" t="s">
        <v>186</v>
      </c>
      <c r="D29" s="46" t="s">
        <v>60</v>
      </c>
      <c r="E29" s="15" t="s">
        <v>61</v>
      </c>
      <c r="G29" s="15" t="s">
        <v>62</v>
      </c>
      <c r="H29" s="15" t="s">
        <v>79</v>
      </c>
      <c r="J29" s="15">
        <v>125</v>
      </c>
      <c r="K29" s="15">
        <v>500</v>
      </c>
      <c r="L29" s="15" t="s">
        <v>64</v>
      </c>
      <c r="M29" s="15" t="s">
        <v>65</v>
      </c>
      <c r="N29" s="15" t="s">
        <v>188</v>
      </c>
      <c r="O29" s="15" t="s">
        <v>189</v>
      </c>
      <c r="P29" s="15">
        <v>0</v>
      </c>
      <c r="Q29" s="15" t="s">
        <v>190</v>
      </c>
      <c r="R29" s="116">
        <f t="shared" si="0"/>
        <v>55.14652987826922</v>
      </c>
      <c r="S29" s="47">
        <f t="shared" si="0"/>
        <v>21.911114426763408</v>
      </c>
      <c r="T29" s="47">
        <f t="shared" si="0"/>
        <v>8.1635427710398432</v>
      </c>
      <c r="U29" s="47">
        <f t="shared" si="0"/>
        <v>14.778812923927532</v>
      </c>
      <c r="V29" s="116">
        <f>0.57/(0.57+1.44)*100</f>
        <v>28.35820895522388</v>
      </c>
      <c r="W29" s="145">
        <f t="shared" si="1"/>
        <v>71.641791044776113</v>
      </c>
      <c r="X29" s="48">
        <f>15.4/$R$2/(15.4/$R$2 + 28.1/$S$2 + 0.87/$T$2)*100</f>
        <v>23.121618003935353</v>
      </c>
      <c r="Y29" s="48">
        <f t="shared" si="12"/>
        <v>75.204906381758306</v>
      </c>
      <c r="Z29" s="48">
        <f>0.87/$T$2/(15.4/$R$2 + 28.1/$S$2 + 0.87/$T$2)*100</f>
        <v>1.6734756143063405</v>
      </c>
      <c r="AA29" s="144">
        <f>4.96/R$2/(4.96/$R$2 + 16.6/$S$2 + 22.1/$T$2)*100</f>
        <v>7.8900532320220913</v>
      </c>
      <c r="AB29" s="48">
        <f t="shared" si="3"/>
        <v>47.070487786087604</v>
      </c>
      <c r="AC29" s="117">
        <f>22.1/T$2/(4.96/$R$2 + 16.6/$S$2 + 22.1/$T$2)*100</f>
        <v>45.039458981890299</v>
      </c>
      <c r="AD29" s="48" t="s">
        <v>158</v>
      </c>
      <c r="AE29" s="48" t="e">
        <f t="shared" si="4"/>
        <v>#VALUE!</v>
      </c>
      <c r="AF29" s="117" t="s">
        <v>158</v>
      </c>
      <c r="AG29" s="47" t="s">
        <v>69</v>
      </c>
      <c r="AH29" s="191" t="s">
        <v>70</v>
      </c>
      <c r="AI29" s="49"/>
      <c r="AJ29" s="49"/>
      <c r="AN29" s="22"/>
      <c r="AO29" s="22"/>
      <c r="AP29" s="22"/>
      <c r="AQ29" s="233" t="s">
        <v>73</v>
      </c>
      <c r="AR29" s="209"/>
      <c r="AS29" s="15">
        <v>51.2</v>
      </c>
      <c r="AT29" s="15">
        <v>19.100000000000001</v>
      </c>
      <c r="AU29" s="15">
        <v>6.6</v>
      </c>
      <c r="AV29" s="210">
        <v>10.1</v>
      </c>
      <c r="AW29" s="22">
        <f t="shared" si="5"/>
        <v>3.5876119402985069</v>
      </c>
      <c r="AX29" s="22">
        <f t="shared" si="13"/>
        <v>3.3683917081865964</v>
      </c>
      <c r="AY29" s="22">
        <f t="shared" si="7"/>
        <v>3.1240570222944948</v>
      </c>
      <c r="AZ29" s="22">
        <f t="shared" si="18"/>
        <v>2.6408</v>
      </c>
      <c r="BA29" s="209"/>
      <c r="BB29" s="15">
        <f t="shared" si="14"/>
        <v>14.271331696967179</v>
      </c>
      <c r="BC29" s="15">
        <f t="shared" si="15"/>
        <v>5.6703618981067541</v>
      </c>
      <c r="BD29" s="15">
        <f t="shared" si="16"/>
        <v>2.112637494418256</v>
      </c>
      <c r="BE29" s="210">
        <f t="shared" si="17"/>
        <v>3.8245986064828839</v>
      </c>
    </row>
    <row r="30" spans="1:57" s="15" customFormat="1">
      <c r="A30" s="15" t="s">
        <v>193</v>
      </c>
      <c r="B30" s="45" t="s">
        <v>194</v>
      </c>
      <c r="C30" s="46" t="s">
        <v>186</v>
      </c>
      <c r="D30" s="46" t="s">
        <v>60</v>
      </c>
      <c r="E30" s="15" t="s">
        <v>61</v>
      </c>
      <c r="G30" s="15" t="s">
        <v>62</v>
      </c>
      <c r="H30" s="15" t="s">
        <v>79</v>
      </c>
      <c r="J30" s="15">
        <v>0</v>
      </c>
      <c r="K30" s="15">
        <v>125</v>
      </c>
      <c r="L30" s="15" t="s">
        <v>64</v>
      </c>
      <c r="M30" s="15" t="s">
        <v>65</v>
      </c>
      <c r="N30" s="15" t="s">
        <v>188</v>
      </c>
      <c r="O30" s="15" t="s">
        <v>189</v>
      </c>
      <c r="P30" s="15">
        <v>0</v>
      </c>
      <c r="Q30" s="15" t="s">
        <v>190</v>
      </c>
      <c r="R30" s="116">
        <f t="shared" si="0"/>
        <v>55.14652987826922</v>
      </c>
      <c r="S30" s="47">
        <f t="shared" si="0"/>
        <v>21.911114426763408</v>
      </c>
      <c r="T30" s="47">
        <f t="shared" si="0"/>
        <v>8.1635427710398432</v>
      </c>
      <c r="U30" s="47">
        <f t="shared" si="0"/>
        <v>14.778812923927532</v>
      </c>
      <c r="V30" s="116">
        <f>0.57/(0.57+1.44)*100</f>
        <v>28.35820895522388</v>
      </c>
      <c r="W30" s="145">
        <f t="shared" si="1"/>
        <v>71.641791044776113</v>
      </c>
      <c r="X30" s="48">
        <f>15.4/$R$2/(15.4/$R$2 + 28.1/$S$2 + 0.87/$T$2)*100</f>
        <v>23.121618003935353</v>
      </c>
      <c r="Y30" s="48">
        <f t="shared" si="12"/>
        <v>75.204906381758306</v>
      </c>
      <c r="Z30" s="48">
        <f>0.87/$T$2/(15.4/$R$2 + 28.1/$S$2 + 0.87/$T$2)*100</f>
        <v>1.6734756143063405</v>
      </c>
      <c r="AA30" s="144">
        <f>4.96/R$2/(4.96/$R$2 + 16.6/$S$2 + 22.1/$T$2)*100</f>
        <v>7.8900532320220913</v>
      </c>
      <c r="AB30" s="48">
        <f t="shared" si="3"/>
        <v>47.070487786087604</v>
      </c>
      <c r="AC30" s="117">
        <f>22.1/T$2/(4.96/$R$2 + 16.6/$S$2 + 22.1/$T$2)*100</f>
        <v>45.039458981890299</v>
      </c>
      <c r="AD30" s="48" t="s">
        <v>158</v>
      </c>
      <c r="AE30" s="48" t="e">
        <f t="shared" si="4"/>
        <v>#VALUE!</v>
      </c>
      <c r="AF30" s="117" t="s">
        <v>158</v>
      </c>
      <c r="AG30" s="15" t="s">
        <v>69</v>
      </c>
      <c r="AH30" s="191" t="s">
        <v>70</v>
      </c>
      <c r="AI30" s="49"/>
      <c r="AJ30" s="49"/>
      <c r="AN30" s="22"/>
      <c r="AO30" s="22"/>
      <c r="AP30" s="22"/>
      <c r="AQ30" s="233" t="s">
        <v>73</v>
      </c>
      <c r="AR30" s="209"/>
      <c r="AS30" s="15">
        <v>51.2</v>
      </c>
      <c r="AT30" s="15">
        <v>19.100000000000001</v>
      </c>
      <c r="AU30" s="15">
        <v>6.6</v>
      </c>
      <c r="AV30" s="210">
        <v>10.1</v>
      </c>
      <c r="AW30" s="22">
        <f t="shared" si="5"/>
        <v>3.5876119402985069</v>
      </c>
      <c r="AX30" s="22">
        <f t="shared" si="13"/>
        <v>3.3683917081865964</v>
      </c>
      <c r="AY30" s="22">
        <f t="shared" si="7"/>
        <v>3.1240570222944948</v>
      </c>
      <c r="AZ30" s="22">
        <f t="shared" si="18"/>
        <v>2.6408</v>
      </c>
      <c r="BA30" s="209"/>
      <c r="BB30" s="15">
        <f t="shared" si="14"/>
        <v>14.271331696967179</v>
      </c>
      <c r="BC30" s="15">
        <f t="shared" si="15"/>
        <v>5.6703618981067541</v>
      </c>
      <c r="BD30" s="15">
        <f t="shared" si="16"/>
        <v>2.112637494418256</v>
      </c>
      <c r="BE30" s="210">
        <f t="shared" si="17"/>
        <v>3.8245986064828839</v>
      </c>
    </row>
    <row r="31" spans="1:57" s="15" customFormat="1">
      <c r="A31" s="15" t="s">
        <v>195</v>
      </c>
      <c r="B31" s="45" t="s">
        <v>196</v>
      </c>
      <c r="C31" s="46" t="s">
        <v>186</v>
      </c>
      <c r="D31" s="46" t="s">
        <v>60</v>
      </c>
      <c r="E31" s="15" t="s">
        <v>61</v>
      </c>
      <c r="G31" s="15" t="s">
        <v>62</v>
      </c>
      <c r="H31" s="15" t="s">
        <v>76</v>
      </c>
      <c r="J31" s="15">
        <v>125</v>
      </c>
      <c r="K31" s="15">
        <v>500</v>
      </c>
      <c r="L31" s="15" t="s">
        <v>64</v>
      </c>
      <c r="M31" s="15" t="s">
        <v>65</v>
      </c>
      <c r="N31" s="15" t="s">
        <v>197</v>
      </c>
      <c r="O31" s="15" t="s">
        <v>198</v>
      </c>
      <c r="P31" s="15">
        <v>0</v>
      </c>
      <c r="Q31" s="15" t="s">
        <v>199</v>
      </c>
      <c r="R31" s="116">
        <f t="shared" si="0"/>
        <v>53.678738876518764</v>
      </c>
      <c r="S31" s="47">
        <f t="shared" si="0"/>
        <v>24.591185282927245</v>
      </c>
      <c r="T31" s="47">
        <f t="shared" si="0"/>
        <v>8.2264990337932531</v>
      </c>
      <c r="U31" s="47">
        <f t="shared" si="0"/>
        <v>13.50357680676075</v>
      </c>
      <c r="V31" s="144">
        <f>0.6/(0.6+1.41)*100</f>
        <v>29.850746268656721</v>
      </c>
      <c r="W31" s="145">
        <f t="shared" si="1"/>
        <v>70.149253731343279</v>
      </c>
      <c r="X31" s="48">
        <f>16.1/$R$2/(16.1/$R$2 + 27.4/$S$2 + 0.79/$T$2)*100</f>
        <v>24.410932387349238</v>
      </c>
      <c r="Y31" s="48">
        <f t="shared" si="12"/>
        <v>74.054492263095625</v>
      </c>
      <c r="Z31" s="48">
        <f>0.79/$T$2/(16.1/$R$2 + 27.4/$S$2 + 0.79/$T$2)*100</f>
        <v>1.5345753495551386</v>
      </c>
      <c r="AA31" s="144">
        <f>0.175/(0.175+0.903+0.85)*100</f>
        <v>9.0767634854771782</v>
      </c>
      <c r="AB31" s="48">
        <f t="shared" si="3"/>
        <v>46.83609958506225</v>
      </c>
      <c r="AC31" s="117">
        <f>0.85/(0.175+0.903+0.85)*100</f>
        <v>44.087136929460577</v>
      </c>
      <c r="AD31" s="48" t="s">
        <v>158</v>
      </c>
      <c r="AE31" s="48" t="e">
        <f t="shared" si="4"/>
        <v>#VALUE!</v>
      </c>
      <c r="AF31" s="117" t="s">
        <v>158</v>
      </c>
      <c r="AG31" s="51" t="s">
        <v>69</v>
      </c>
      <c r="AH31" s="191" t="s">
        <v>70</v>
      </c>
      <c r="AI31" s="192" t="s">
        <v>183</v>
      </c>
      <c r="AJ31" s="49"/>
      <c r="AN31" s="22"/>
      <c r="AO31" s="22"/>
      <c r="AP31" s="22"/>
      <c r="AQ31" s="233" t="s">
        <v>73</v>
      </c>
      <c r="AR31" s="209"/>
      <c r="AS31" s="15">
        <v>51</v>
      </c>
      <c r="AT31" s="15">
        <v>21.9</v>
      </c>
      <c r="AU31" s="15">
        <v>6.8</v>
      </c>
      <c r="AV31" s="210">
        <v>9.4</v>
      </c>
      <c r="AW31" s="22">
        <f t="shared" si="5"/>
        <v>3.6043283582089551</v>
      </c>
      <c r="AX31" s="22">
        <f t="shared" si="13"/>
        <v>3.3784782668564541</v>
      </c>
      <c r="AY31" s="22">
        <f t="shared" si="7"/>
        <v>3.1358143153526972</v>
      </c>
      <c r="AZ31" s="22">
        <f t="shared" si="18"/>
        <v>2.6408</v>
      </c>
      <c r="BA31" s="209"/>
      <c r="BB31" s="15">
        <f t="shared" si="14"/>
        <v>14.149654229988819</v>
      </c>
      <c r="BC31" s="15">
        <f t="shared" si="15"/>
        <v>6.4822083406139885</v>
      </c>
      <c r="BD31" s="15">
        <f t="shared" si="16"/>
        <v>2.1684957450151754</v>
      </c>
      <c r="BE31" s="210">
        <f t="shared" si="17"/>
        <v>3.5595274159345656</v>
      </c>
    </row>
    <row r="32" spans="1:57" s="15" customFormat="1">
      <c r="A32" s="15" t="s">
        <v>200</v>
      </c>
      <c r="B32" s="45" t="s">
        <v>201</v>
      </c>
      <c r="C32" s="46" t="s">
        <v>186</v>
      </c>
      <c r="D32" s="46" t="s">
        <v>60</v>
      </c>
      <c r="E32" s="15" t="s">
        <v>61</v>
      </c>
      <c r="G32" s="15" t="s">
        <v>62</v>
      </c>
      <c r="H32" s="15" t="s">
        <v>76</v>
      </c>
      <c r="J32" s="15">
        <v>0</v>
      </c>
      <c r="K32" s="15">
        <v>125</v>
      </c>
      <c r="L32" s="15" t="s">
        <v>64</v>
      </c>
      <c r="M32" s="15" t="s">
        <v>65</v>
      </c>
      <c r="N32" s="15" t="s">
        <v>197</v>
      </c>
      <c r="O32" s="15" t="s">
        <v>198</v>
      </c>
      <c r="P32" s="15">
        <v>0</v>
      </c>
      <c r="Q32" s="15" t="s">
        <v>199</v>
      </c>
      <c r="R32" s="116">
        <f t="shared" si="0"/>
        <v>53.678738876518764</v>
      </c>
      <c r="S32" s="47">
        <f t="shared" si="0"/>
        <v>24.591185282927245</v>
      </c>
      <c r="T32" s="47">
        <f t="shared" si="0"/>
        <v>8.2264990337932531</v>
      </c>
      <c r="U32" s="47">
        <f t="shared" si="0"/>
        <v>13.50357680676075</v>
      </c>
      <c r="V32" s="144">
        <f>0.6/(0.6+1.41)*100</f>
        <v>29.850746268656721</v>
      </c>
      <c r="W32" s="145">
        <f t="shared" si="1"/>
        <v>70.149253731343279</v>
      </c>
      <c r="X32" s="48">
        <f>16.1/$R$2/(16.1/$R$2 + 27.4/$S$2 + 0.79/$T$2)*100</f>
        <v>24.410932387349238</v>
      </c>
      <c r="Y32" s="48">
        <f t="shared" si="12"/>
        <v>74.054492263095625</v>
      </c>
      <c r="Z32" s="48">
        <f>0.79/$T$2/(16.1/$R$2 + 27.4/$S$2 + 0.79/$T$2)*100</f>
        <v>1.5345753495551386</v>
      </c>
      <c r="AA32" s="144">
        <f>0.175/(0.175+0.903+0.85)*100</f>
        <v>9.0767634854771782</v>
      </c>
      <c r="AB32" s="48">
        <f t="shared" si="3"/>
        <v>46.83609958506225</v>
      </c>
      <c r="AC32" s="117">
        <f>0.85/(0.175+0.903+0.85)*100</f>
        <v>44.087136929460577</v>
      </c>
      <c r="AD32" s="48" t="s">
        <v>158</v>
      </c>
      <c r="AE32" s="48" t="e">
        <f t="shared" si="4"/>
        <v>#VALUE!</v>
      </c>
      <c r="AF32" s="117" t="s">
        <v>158</v>
      </c>
      <c r="AG32" s="15" t="s">
        <v>69</v>
      </c>
      <c r="AH32" s="191" t="s">
        <v>70</v>
      </c>
      <c r="AI32" s="192" t="s">
        <v>183</v>
      </c>
      <c r="AJ32" s="49"/>
      <c r="AN32" s="22"/>
      <c r="AO32" s="22"/>
      <c r="AP32" s="22"/>
      <c r="AQ32" s="233" t="s">
        <v>73</v>
      </c>
      <c r="AR32" s="209"/>
      <c r="AS32" s="15">
        <v>51</v>
      </c>
      <c r="AT32" s="15">
        <v>21.9</v>
      </c>
      <c r="AU32" s="15">
        <v>6.8</v>
      </c>
      <c r="AV32" s="210">
        <v>9.4</v>
      </c>
      <c r="AW32" s="22">
        <f t="shared" si="5"/>
        <v>3.6043283582089551</v>
      </c>
      <c r="AX32" s="22">
        <f t="shared" si="13"/>
        <v>3.3784782668564541</v>
      </c>
      <c r="AY32" s="22">
        <f t="shared" si="7"/>
        <v>3.1358143153526972</v>
      </c>
      <c r="AZ32" s="22">
        <f t="shared" si="18"/>
        <v>2.6408</v>
      </c>
      <c r="BA32" s="209"/>
      <c r="BB32" s="15">
        <f t="shared" si="14"/>
        <v>14.149654229988819</v>
      </c>
      <c r="BC32" s="15">
        <f t="shared" si="15"/>
        <v>6.4822083406139885</v>
      </c>
      <c r="BD32" s="15">
        <f t="shared" si="16"/>
        <v>2.1684957450151754</v>
      </c>
      <c r="BE32" s="210">
        <f t="shared" si="17"/>
        <v>3.5595274159345656</v>
      </c>
    </row>
    <row r="33" spans="1:57" s="15" customFormat="1">
      <c r="A33" s="15" t="s">
        <v>202</v>
      </c>
      <c r="B33" s="45" t="s">
        <v>161</v>
      </c>
      <c r="C33" s="46" t="s">
        <v>162</v>
      </c>
      <c r="D33" s="46" t="s">
        <v>60</v>
      </c>
      <c r="E33" s="15" t="s">
        <v>61</v>
      </c>
      <c r="G33" s="15" t="s">
        <v>62</v>
      </c>
      <c r="H33" s="15" t="s">
        <v>147</v>
      </c>
      <c r="J33" s="15">
        <v>0</v>
      </c>
      <c r="K33" s="15">
        <v>250</v>
      </c>
      <c r="L33" s="15" t="s">
        <v>64</v>
      </c>
      <c r="M33" s="15" t="s">
        <v>26</v>
      </c>
      <c r="N33" s="15" t="s">
        <v>163</v>
      </c>
      <c r="O33" s="15" t="s">
        <v>203</v>
      </c>
      <c r="P33" s="15">
        <v>0</v>
      </c>
      <c r="Q33" s="15" t="s">
        <v>204</v>
      </c>
      <c r="R33" s="116">
        <f t="shared" si="0"/>
        <v>43.737536054669164</v>
      </c>
      <c r="S33" s="47">
        <f t="shared" si="0"/>
        <v>29.60463601240459</v>
      </c>
      <c r="T33" s="47">
        <f t="shared" si="0"/>
        <v>12.330994240330206</v>
      </c>
      <c r="U33" s="47">
        <f t="shared" si="0"/>
        <v>14.326833692596038</v>
      </c>
      <c r="V33" s="144">
        <f>21.76/$R$2/(21.76/$R$2 + 38.96/$S$2)*100</f>
        <v>23.857491143337139</v>
      </c>
      <c r="W33" s="145">
        <f t="shared" si="1"/>
        <v>76.142508856662857</v>
      </c>
      <c r="X33" s="48">
        <f>13.95/$R$2/(13.95/$R$2 + 27.93/$S$2 + 1.21/$T$2)*100</f>
        <v>21.367228414369166</v>
      </c>
      <c r="Y33" s="48">
        <f t="shared" si="12"/>
        <v>76.258327265790996</v>
      </c>
      <c r="Z33" s="48">
        <f>1.21/$T$2/(13.95/$R$2 + 27.93/$S$2 + 1.21/$T$2)*100</f>
        <v>2.3744443198398422</v>
      </c>
      <c r="AA33" s="144">
        <f>5.19/R$2/(5.19/$R$2 + 15.68/$S$2 + 21.33/$T$2)*100</f>
        <v>8.5831201491113553</v>
      </c>
      <c r="AB33" s="48">
        <f t="shared" si="3"/>
        <v>46.287426586050699</v>
      </c>
      <c r="AC33" s="117">
        <f>21.3/T$2/(5.19/$R$2 + 15.68/$S$2 + 21.33/$T$2)*100</f>
        <v>45.129453264837949</v>
      </c>
      <c r="AD33" s="48">
        <f>(11+17)/2</f>
        <v>14</v>
      </c>
      <c r="AE33" s="48" t="e">
        <f t="shared" si="4"/>
        <v>#VALUE!</v>
      </c>
      <c r="AF33" s="117" t="s">
        <v>158</v>
      </c>
      <c r="AG33" s="15" t="s">
        <v>171</v>
      </c>
      <c r="AH33" s="50" t="s">
        <v>167</v>
      </c>
      <c r="AI33" s="192" t="s">
        <v>168</v>
      </c>
      <c r="AJ33" s="49"/>
      <c r="AN33" s="22"/>
      <c r="AO33" s="22"/>
      <c r="AP33" s="22"/>
      <c r="AQ33" s="233" t="s">
        <v>73</v>
      </c>
      <c r="AR33" s="209"/>
      <c r="AS33" s="15">
        <v>41.3</v>
      </c>
      <c r="AT33" s="15">
        <v>26.5</v>
      </c>
      <c r="AU33" s="15">
        <v>10.3</v>
      </c>
      <c r="AV33" s="210">
        <v>10.1</v>
      </c>
      <c r="AW33" s="22">
        <f t="shared" si="5"/>
        <v>3.5372039008053759</v>
      </c>
      <c r="AX33" s="22">
        <f t="shared" si="13"/>
        <v>3.3531308801482496</v>
      </c>
      <c r="AY33" s="22">
        <f t="shared" si="7"/>
        <v>3.1289850413238214</v>
      </c>
      <c r="AZ33" s="22">
        <f t="shared" si="18"/>
        <v>2.6408</v>
      </c>
      <c r="BA33" s="209"/>
      <c r="BB33" s="15">
        <f t="shared" si="14"/>
        <v>11.67588896715751</v>
      </c>
      <c r="BC33" s="15">
        <f t="shared" si="15"/>
        <v>7.9030616302183754</v>
      </c>
      <c r="BD33" s="15">
        <f t="shared" si="16"/>
        <v>3.2918022502409414</v>
      </c>
      <c r="BE33" s="210">
        <f t="shared" si="17"/>
        <v>3.8245986064828839</v>
      </c>
    </row>
    <row r="34" spans="1:57" s="15" customFormat="1">
      <c r="A34" s="15" t="s">
        <v>205</v>
      </c>
      <c r="B34" s="45" t="s">
        <v>206</v>
      </c>
      <c r="C34" s="46" t="s">
        <v>162</v>
      </c>
      <c r="D34" s="46" t="s">
        <v>60</v>
      </c>
      <c r="E34" s="15" t="s">
        <v>61</v>
      </c>
      <c r="G34" s="15" t="s">
        <v>62</v>
      </c>
      <c r="H34" s="15" t="s">
        <v>147</v>
      </c>
      <c r="J34" s="15">
        <v>45</v>
      </c>
      <c r="K34" s="15">
        <v>63</v>
      </c>
      <c r="L34" s="15" t="s">
        <v>64</v>
      </c>
      <c r="M34" s="15" t="s">
        <v>26</v>
      </c>
      <c r="N34" s="15" t="s">
        <v>163</v>
      </c>
      <c r="O34" s="15" t="s">
        <v>203</v>
      </c>
      <c r="P34" s="15">
        <v>0</v>
      </c>
      <c r="Q34" s="15" t="s">
        <v>204</v>
      </c>
      <c r="R34" s="116">
        <f t="shared" si="0"/>
        <v>43.721841685752096</v>
      </c>
      <c r="S34" s="47">
        <f t="shared" si="0"/>
        <v>29.594012961333462</v>
      </c>
      <c r="T34" s="47">
        <f t="shared" si="0"/>
        <v>12.326569501531933</v>
      </c>
      <c r="U34" s="47">
        <f t="shared" si="0"/>
        <v>14.357575851382512</v>
      </c>
      <c r="V34" s="144">
        <f>21.76/$R$2/(21.76/$R$2 + 38.96/$S$2)*100</f>
        <v>23.857491143337139</v>
      </c>
      <c r="W34" s="145">
        <f t="shared" si="1"/>
        <v>76.142508856662857</v>
      </c>
      <c r="X34" s="48">
        <f>13.95/$R$2/(13.95/$R$2 + 27.93/$S$2 + 1.21/$T$2)*100</f>
        <v>21.367228414369166</v>
      </c>
      <c r="Y34" s="48">
        <f t="shared" si="12"/>
        <v>76.258327265790996</v>
      </c>
      <c r="Z34" s="48">
        <f>1.21/$T$2/(13.95/$R$2 + 27.93/$S$2 + 1.21/$T$2)*100</f>
        <v>2.3744443198398422</v>
      </c>
      <c r="AA34" s="144">
        <f>5.19/R$2/(5.19/$R$2 + 15.68/$S$2 + 21.33/$T$2)*100</f>
        <v>8.5831201491113553</v>
      </c>
      <c r="AB34" s="48">
        <f t="shared" si="3"/>
        <v>46.287426586050699</v>
      </c>
      <c r="AC34" s="117">
        <f>21.3/T$2/(5.19/$R$2 + 15.68/$S$2 + 21.33/$T$2)*100</f>
        <v>45.129453264837949</v>
      </c>
      <c r="AD34" s="48">
        <f>(11+17)/2</f>
        <v>14</v>
      </c>
      <c r="AE34" s="48" t="e">
        <f t="shared" si="4"/>
        <v>#VALUE!</v>
      </c>
      <c r="AF34" s="117" t="s">
        <v>158</v>
      </c>
      <c r="AG34" s="15" t="s">
        <v>171</v>
      </c>
      <c r="AH34" s="50" t="s">
        <v>167</v>
      </c>
      <c r="AI34" s="192" t="s">
        <v>168</v>
      </c>
      <c r="AJ34" s="49"/>
      <c r="AN34" s="22"/>
      <c r="AO34" s="22"/>
      <c r="AP34" s="22"/>
      <c r="AQ34" s="233" t="s">
        <v>73</v>
      </c>
      <c r="AR34" s="209"/>
      <c r="AS34" s="15">
        <v>41.3</v>
      </c>
      <c r="AT34" s="15">
        <v>26.5</v>
      </c>
      <c r="AU34" s="15">
        <v>10.3</v>
      </c>
      <c r="AV34" s="210">
        <v>10.1</v>
      </c>
      <c r="AW34" s="22">
        <f t="shared" si="5"/>
        <v>3.5372039008053759</v>
      </c>
      <c r="AX34" s="22">
        <f t="shared" si="13"/>
        <v>3.3531308801482496</v>
      </c>
      <c r="AY34" s="22">
        <f t="shared" si="7"/>
        <v>3.1289850413238214</v>
      </c>
      <c r="AZ34" s="22">
        <f>AD34*$AC$2+(98-AD34)*$AD$2+2*$AE$2</f>
        <v>2.6342000000000003</v>
      </c>
      <c r="BA34" s="209"/>
      <c r="BB34" s="15">
        <f t="shared" si="14"/>
        <v>11.67588896715751</v>
      </c>
      <c r="BC34" s="15">
        <f t="shared" si="15"/>
        <v>7.9030616302183754</v>
      </c>
      <c r="BD34" s="15">
        <f t="shared" si="16"/>
        <v>3.2918022502409414</v>
      </c>
      <c r="BE34" s="210">
        <f t="shared" si="17"/>
        <v>3.8341811555690528</v>
      </c>
    </row>
    <row r="35" spans="1:57" s="15" customFormat="1">
      <c r="A35" s="15" t="s">
        <v>207</v>
      </c>
      <c r="B35" s="45" t="s">
        <v>208</v>
      </c>
      <c r="C35" s="46" t="s">
        <v>162</v>
      </c>
      <c r="D35" s="46" t="s">
        <v>60</v>
      </c>
      <c r="E35" s="15" t="s">
        <v>61</v>
      </c>
      <c r="G35" s="15" t="s">
        <v>62</v>
      </c>
      <c r="H35" s="15" t="s">
        <v>147</v>
      </c>
      <c r="J35" s="15">
        <v>0</v>
      </c>
      <c r="K35" s="15">
        <v>63</v>
      </c>
      <c r="L35" s="15" t="s">
        <v>64</v>
      </c>
      <c r="M35" s="15" t="s">
        <v>26</v>
      </c>
      <c r="N35" s="15" t="s">
        <v>163</v>
      </c>
      <c r="O35" s="15" t="s">
        <v>203</v>
      </c>
      <c r="P35" s="15">
        <v>0</v>
      </c>
      <c r="Q35" s="15" t="s">
        <v>204</v>
      </c>
      <c r="R35" s="116">
        <f t="shared" si="0"/>
        <v>43.721841685752096</v>
      </c>
      <c r="S35" s="47">
        <f t="shared" si="0"/>
        <v>29.594012961333462</v>
      </c>
      <c r="T35" s="47">
        <f t="shared" si="0"/>
        <v>12.326569501531933</v>
      </c>
      <c r="U35" s="47">
        <f t="shared" si="0"/>
        <v>14.357575851382512</v>
      </c>
      <c r="V35" s="144">
        <f>21.76/$R$2/(21.76/$R$2 + 38.96/$S$2)*100</f>
        <v>23.857491143337139</v>
      </c>
      <c r="W35" s="145">
        <f t="shared" si="1"/>
        <v>76.142508856662857</v>
      </c>
      <c r="X35" s="48">
        <f>13.95/$R$2/(13.95/$R$2 + 27.93/$S$2 + 1.21/$T$2)*100</f>
        <v>21.367228414369166</v>
      </c>
      <c r="Y35" s="48">
        <f t="shared" si="12"/>
        <v>76.258327265790996</v>
      </c>
      <c r="Z35" s="48">
        <f>1.21/$T$2/(13.95/$R$2 + 27.93/$S$2 + 1.21/$T$2)*100</f>
        <v>2.3744443198398422</v>
      </c>
      <c r="AA35" s="144">
        <f>5.19/R$2/(5.19/$R$2 + 15.68/$S$2 + 21.33/$T$2)*100</f>
        <v>8.5831201491113553</v>
      </c>
      <c r="AB35" s="48">
        <f t="shared" si="3"/>
        <v>46.287426586050699</v>
      </c>
      <c r="AC35" s="117">
        <f>21.3/T$2/(5.19/$R$2 + 15.68/$S$2 + 21.33/$T$2)*100</f>
        <v>45.129453264837949</v>
      </c>
      <c r="AD35" s="48">
        <f>(11+17)/2</f>
        <v>14</v>
      </c>
      <c r="AE35" s="48" t="e">
        <f t="shared" si="4"/>
        <v>#VALUE!</v>
      </c>
      <c r="AF35" s="117" t="s">
        <v>158</v>
      </c>
      <c r="AG35" s="15" t="s">
        <v>171</v>
      </c>
      <c r="AH35" s="191" t="s">
        <v>167</v>
      </c>
      <c r="AI35" s="192" t="s">
        <v>168</v>
      </c>
      <c r="AJ35" s="49"/>
      <c r="AN35" s="22"/>
      <c r="AO35" s="22"/>
      <c r="AP35" s="22"/>
      <c r="AQ35" s="233" t="s">
        <v>73</v>
      </c>
      <c r="AR35" s="209"/>
      <c r="AS35" s="15">
        <v>41.3</v>
      </c>
      <c r="AT35" s="15">
        <v>26.5</v>
      </c>
      <c r="AU35" s="15">
        <v>10.3</v>
      </c>
      <c r="AV35" s="210">
        <v>10.1</v>
      </c>
      <c r="AW35" s="22">
        <f t="shared" si="5"/>
        <v>3.5372039008053759</v>
      </c>
      <c r="AX35" s="22">
        <f t="shared" si="13"/>
        <v>3.3531308801482496</v>
      </c>
      <c r="AY35" s="22">
        <f t="shared" si="7"/>
        <v>3.1289850413238214</v>
      </c>
      <c r="AZ35" s="22">
        <f>AD35*$AC$2+(98-AD35)*$AD$2+2*$AE$2</f>
        <v>2.6342000000000003</v>
      </c>
      <c r="BA35" s="209"/>
      <c r="BB35" s="15">
        <f t="shared" si="14"/>
        <v>11.67588896715751</v>
      </c>
      <c r="BC35" s="15">
        <f t="shared" si="15"/>
        <v>7.9030616302183754</v>
      </c>
      <c r="BD35" s="15">
        <f t="shared" si="16"/>
        <v>3.2918022502409414</v>
      </c>
      <c r="BE35" s="210">
        <f t="shared" si="17"/>
        <v>3.8341811555690528</v>
      </c>
    </row>
    <row r="36" spans="1:57" s="15" customFormat="1">
      <c r="A36" s="15" t="s">
        <v>209</v>
      </c>
      <c r="B36" s="45" t="s">
        <v>210</v>
      </c>
      <c r="C36" s="46" t="s">
        <v>162</v>
      </c>
      <c r="D36" s="46" t="s">
        <v>60</v>
      </c>
      <c r="E36" s="15" t="s">
        <v>61</v>
      </c>
      <c r="G36" s="15" t="s">
        <v>62</v>
      </c>
      <c r="H36" s="15" t="s">
        <v>147</v>
      </c>
      <c r="J36" s="15">
        <v>0</v>
      </c>
      <c r="K36" s="15">
        <v>25</v>
      </c>
      <c r="L36" s="15" t="s">
        <v>64</v>
      </c>
      <c r="M36" s="15" t="s">
        <v>26</v>
      </c>
      <c r="N36" s="15" t="s">
        <v>163</v>
      </c>
      <c r="O36" s="15" t="s">
        <v>203</v>
      </c>
      <c r="P36" s="15">
        <v>0</v>
      </c>
      <c r="Q36" s="15" t="s">
        <v>204</v>
      </c>
      <c r="R36" s="116">
        <f t="shared" si="0"/>
        <v>43.721841685752096</v>
      </c>
      <c r="S36" s="47">
        <f t="shared" si="0"/>
        <v>29.594012961333462</v>
      </c>
      <c r="T36" s="47">
        <f t="shared" si="0"/>
        <v>12.326569501531933</v>
      </c>
      <c r="U36" s="47">
        <f t="shared" si="0"/>
        <v>14.357575851382512</v>
      </c>
      <c r="V36" s="144">
        <f>21.76/$R$2/(21.76/$R$2 + 38.96/$S$2)*100</f>
        <v>23.857491143337139</v>
      </c>
      <c r="W36" s="145">
        <f t="shared" ref="W36:W54" si="19">100 - $V36</f>
        <v>76.142508856662857</v>
      </c>
      <c r="X36" s="48">
        <f>13.95/$R$2/(13.95/$R$2 + 27.93/$S$2 + 1.21/$T$2)*100</f>
        <v>21.367228414369166</v>
      </c>
      <c r="Y36" s="48">
        <f t="shared" si="12"/>
        <v>76.258327265790996</v>
      </c>
      <c r="Z36" s="48">
        <f>1.21/$T$2/(13.95/$R$2 + 27.93/$S$2 + 1.21/$T$2)*100</f>
        <v>2.3744443198398422</v>
      </c>
      <c r="AA36" s="144">
        <f>5.19/R$2/(5.19/$R$2 + 15.68/$S$2 + 21.33/$T$2)*100</f>
        <v>8.5831201491113553</v>
      </c>
      <c r="AB36" s="48">
        <f t="shared" ref="AB36:AB67" si="20">100 - $AA36 - $AC36</f>
        <v>46.287426586050699</v>
      </c>
      <c r="AC36" s="117">
        <f>21.3/T$2/(5.19/$R$2 + 15.68/$S$2 + 21.33/$T$2)*100</f>
        <v>45.129453264837949</v>
      </c>
      <c r="AD36" s="48">
        <f>(11+17)/2</f>
        <v>14</v>
      </c>
      <c r="AE36" s="48" t="e">
        <f t="shared" ref="AE36:AE55" si="21">100 - $AD36 - $AF36</f>
        <v>#VALUE!</v>
      </c>
      <c r="AF36" s="117" t="s">
        <v>158</v>
      </c>
      <c r="AG36" s="15" t="s">
        <v>171</v>
      </c>
      <c r="AH36" s="50" t="s">
        <v>167</v>
      </c>
      <c r="AI36" s="192" t="s">
        <v>168</v>
      </c>
      <c r="AJ36" s="49"/>
      <c r="AN36" s="22"/>
      <c r="AO36" s="22"/>
      <c r="AP36" s="22"/>
      <c r="AQ36" s="233" t="s">
        <v>73</v>
      </c>
      <c r="AR36" s="209"/>
      <c r="AS36" s="15">
        <v>41.3</v>
      </c>
      <c r="AT36" s="15">
        <v>26.5</v>
      </c>
      <c r="AU36" s="15">
        <v>10.3</v>
      </c>
      <c r="AV36" s="210">
        <v>10.1</v>
      </c>
      <c r="AW36" s="22">
        <f t="shared" ref="AW36:AW54" si="22">V36*$X$2 + W36*$Y$2</f>
        <v>3.5372039008053759</v>
      </c>
      <c r="AX36" s="22">
        <f t="shared" si="13"/>
        <v>3.3531308801482496</v>
      </c>
      <c r="AY36" s="22">
        <f t="shared" ref="AY36:AY67" si="23">AA36*$Z$2+AB36*$AA$2+AC36*$AB$2</f>
        <v>3.1289850413238214</v>
      </c>
      <c r="AZ36" s="22">
        <f>AD36*$AC$2+(98-AD36)*$AD$2+2*$AE$2</f>
        <v>2.6342000000000003</v>
      </c>
      <c r="BA36" s="209"/>
      <c r="BB36" s="15">
        <f t="shared" si="14"/>
        <v>11.67588896715751</v>
      </c>
      <c r="BC36" s="15">
        <f t="shared" si="15"/>
        <v>7.9030616302183754</v>
      </c>
      <c r="BD36" s="15">
        <f t="shared" si="16"/>
        <v>3.2918022502409414</v>
      </c>
      <c r="BE36" s="210">
        <f t="shared" si="17"/>
        <v>3.8341811555690528</v>
      </c>
    </row>
    <row r="37" spans="1:57" s="15" customFormat="1">
      <c r="A37" s="15" t="s">
        <v>211</v>
      </c>
      <c r="B37" s="45" t="s">
        <v>212</v>
      </c>
      <c r="C37" s="46" t="s">
        <v>162</v>
      </c>
      <c r="D37" s="46" t="s">
        <v>60</v>
      </c>
      <c r="E37" s="15" t="s">
        <v>61</v>
      </c>
      <c r="G37" s="15" t="s">
        <v>62</v>
      </c>
      <c r="H37" s="15" t="s">
        <v>147</v>
      </c>
      <c r="J37" s="15">
        <v>25</v>
      </c>
      <c r="K37" s="15">
        <v>45</v>
      </c>
      <c r="L37" s="15" t="s">
        <v>64</v>
      </c>
      <c r="M37" s="15" t="s">
        <v>26</v>
      </c>
      <c r="N37" s="15" t="s">
        <v>163</v>
      </c>
      <c r="O37" s="15" t="s">
        <v>203</v>
      </c>
      <c r="P37" s="15">
        <v>0</v>
      </c>
      <c r="Q37" s="15" t="s">
        <v>204</v>
      </c>
      <c r="R37" s="116">
        <f t="shared" si="0"/>
        <v>43.721841685752096</v>
      </c>
      <c r="S37" s="47">
        <f t="shared" si="0"/>
        <v>29.594012961333462</v>
      </c>
      <c r="T37" s="47">
        <f t="shared" si="0"/>
        <v>12.326569501531933</v>
      </c>
      <c r="U37" s="47">
        <f t="shared" si="0"/>
        <v>14.357575851382512</v>
      </c>
      <c r="V37" s="144">
        <f>21.76/$R$2/(21.76/$R$2 + 38.96/$S$2)*100</f>
        <v>23.857491143337139</v>
      </c>
      <c r="W37" s="145">
        <f t="shared" si="19"/>
        <v>76.142508856662857</v>
      </c>
      <c r="X37" s="48">
        <f>13.95/$R$2/(13.95/$R$2 + 27.93/$S$2 + 1.21/$T$2)*100</f>
        <v>21.367228414369166</v>
      </c>
      <c r="Y37" s="48">
        <f t="shared" si="12"/>
        <v>76.258327265790996</v>
      </c>
      <c r="Z37" s="48">
        <f>1.21/$T$2/(13.95/$R$2 + 27.93/$S$2 + 1.21/$T$2)*100</f>
        <v>2.3744443198398422</v>
      </c>
      <c r="AA37" s="144">
        <f>5.19/R$2/(5.19/$R$2 + 15.68/$S$2 + 21.33/$T$2)*100</f>
        <v>8.5831201491113553</v>
      </c>
      <c r="AB37" s="48">
        <f t="shared" si="20"/>
        <v>46.287426586050699</v>
      </c>
      <c r="AC37" s="117">
        <f>21.3/T$2/(5.19/$R$2 + 15.68/$S$2 + 21.33/$T$2)*100</f>
        <v>45.129453264837949</v>
      </c>
      <c r="AD37" s="48">
        <f>(11+17)/2</f>
        <v>14</v>
      </c>
      <c r="AE37" s="48" t="e">
        <f t="shared" si="21"/>
        <v>#VALUE!</v>
      </c>
      <c r="AF37" s="117" t="s">
        <v>158</v>
      </c>
      <c r="AG37" s="15" t="s">
        <v>171</v>
      </c>
      <c r="AH37" s="50" t="s">
        <v>167</v>
      </c>
      <c r="AI37" s="192" t="s">
        <v>168</v>
      </c>
      <c r="AJ37" s="49"/>
      <c r="AN37" s="22"/>
      <c r="AO37" s="22"/>
      <c r="AP37" s="22"/>
      <c r="AQ37" s="233" t="s">
        <v>73</v>
      </c>
      <c r="AR37" s="209"/>
      <c r="AS37" s="15">
        <v>41.3</v>
      </c>
      <c r="AT37" s="15">
        <v>26.5</v>
      </c>
      <c r="AU37" s="15">
        <v>10.3</v>
      </c>
      <c r="AV37" s="210">
        <v>10.1</v>
      </c>
      <c r="AW37" s="22">
        <f t="shared" si="22"/>
        <v>3.5372039008053759</v>
      </c>
      <c r="AX37" s="22">
        <f t="shared" si="13"/>
        <v>3.3531308801482496</v>
      </c>
      <c r="AY37" s="22">
        <f t="shared" si="23"/>
        <v>3.1289850413238214</v>
      </c>
      <c r="AZ37" s="22">
        <f>AD37*$AC$2+(98-AD37)*$AD$2+2*$AE$2</f>
        <v>2.6342000000000003</v>
      </c>
      <c r="BA37" s="209"/>
      <c r="BB37" s="15">
        <f t="shared" si="14"/>
        <v>11.67588896715751</v>
      </c>
      <c r="BC37" s="15">
        <f t="shared" si="15"/>
        <v>7.9030616302183754</v>
      </c>
      <c r="BD37" s="15">
        <f t="shared" si="16"/>
        <v>3.2918022502409414</v>
      </c>
      <c r="BE37" s="210">
        <f t="shared" si="17"/>
        <v>3.8341811555690528</v>
      </c>
    </row>
    <row r="38" spans="1:57" s="15" customFormat="1">
      <c r="A38" s="15" t="s">
        <v>213</v>
      </c>
      <c r="B38" s="45" t="s">
        <v>214</v>
      </c>
      <c r="C38" s="46" t="s">
        <v>162</v>
      </c>
      <c r="D38" s="46" t="s">
        <v>60</v>
      </c>
      <c r="E38" s="15" t="s">
        <v>61</v>
      </c>
      <c r="G38" s="15" t="s">
        <v>62</v>
      </c>
      <c r="H38" s="15" t="s">
        <v>107</v>
      </c>
      <c r="J38" s="15">
        <v>0</v>
      </c>
      <c r="K38" s="15">
        <v>0</v>
      </c>
      <c r="L38" s="15" t="s">
        <v>64</v>
      </c>
      <c r="M38" s="15" t="s">
        <v>26</v>
      </c>
      <c r="N38" s="15" t="s">
        <v>215</v>
      </c>
      <c r="O38" s="15" t="s">
        <v>164</v>
      </c>
      <c r="P38" s="15">
        <v>0</v>
      </c>
      <c r="Q38" s="15" t="s">
        <v>216</v>
      </c>
      <c r="R38" s="116">
        <f t="shared" si="0"/>
        <v>49.118547219614832</v>
      </c>
      <c r="S38" s="47">
        <f t="shared" si="0"/>
        <v>25.939910763482253</v>
      </c>
      <c r="T38" s="47">
        <f t="shared" si="0"/>
        <v>9.6240246548255932</v>
      </c>
      <c r="U38" s="47">
        <f t="shared" si="0"/>
        <v>15.317517362077314</v>
      </c>
      <c r="V38" s="116">
        <f>0.49/(0.49+1.51)*100</f>
        <v>24.5</v>
      </c>
      <c r="W38" s="145">
        <f t="shared" si="19"/>
        <v>75.5</v>
      </c>
      <c r="X38" s="48">
        <f>13.8/$R$2/(13.8/$R$2 + 29.2/$S$2 + 1.04/$T$2)*100</f>
        <v>20.540928970889567</v>
      </c>
      <c r="Y38" s="48">
        <f t="shared" si="12"/>
        <v>77.475823287849337</v>
      </c>
      <c r="Z38" s="48">
        <f>1.04/$T$2/(13.8/$R$2 + 29.2/$S$2 + 1.04/$T$2)*100</f>
        <v>1.9832477412610996</v>
      </c>
      <c r="AA38" s="144">
        <f>5.14/R$2/(5.14/$R$2 + 16.9/$S$2 + 21.1/$T$2)*100</f>
        <v>8.2507232184707853</v>
      </c>
      <c r="AB38" s="48">
        <f t="shared" si="20"/>
        <v>48.356845008779928</v>
      </c>
      <c r="AC38" s="117">
        <f>21.1/T$2/(5.14/$R$2 + 16.9/$S$2 + 21.1/$T$2)*100</f>
        <v>43.392431772749291</v>
      </c>
      <c r="AD38" s="48" t="s">
        <v>158</v>
      </c>
      <c r="AE38" s="48" t="e">
        <f t="shared" si="21"/>
        <v>#VALUE!</v>
      </c>
      <c r="AF38" s="117" t="s">
        <v>158</v>
      </c>
      <c r="AG38" s="15" t="s">
        <v>69</v>
      </c>
      <c r="AH38" s="191" t="s">
        <v>70</v>
      </c>
      <c r="AI38" s="49"/>
      <c r="AJ38" s="49"/>
      <c r="AN38" s="22"/>
      <c r="AO38" s="22"/>
      <c r="AP38" s="22"/>
      <c r="AQ38" s="233" t="s">
        <v>73</v>
      </c>
      <c r="AR38" s="209"/>
      <c r="AS38" s="15">
        <v>43.9</v>
      </c>
      <c r="AT38" s="15">
        <v>21.9</v>
      </c>
      <c r="AU38" s="15">
        <v>7.6</v>
      </c>
      <c r="AV38" s="210">
        <v>10.199999999999999</v>
      </c>
      <c r="AW38" s="22">
        <f t="shared" si="22"/>
        <v>3.5444</v>
      </c>
      <c r="AX38" s="22">
        <f t="shared" si="13"/>
        <v>3.3481072240578889</v>
      </c>
      <c r="AY38" s="22">
        <f t="shared" si="23"/>
        <v>3.1317031288202832</v>
      </c>
      <c r="AZ38" s="22">
        <f t="shared" ref="AZ38:AZ43" si="24">20*$AC$2+78*$AD$2+2*$AE$2</f>
        <v>2.6408</v>
      </c>
      <c r="BA38" s="209"/>
      <c r="BB38" s="15">
        <f t="shared" si="14"/>
        <v>12.385735244329082</v>
      </c>
      <c r="BC38" s="15">
        <f t="shared" si="15"/>
        <v>6.5410091536606494</v>
      </c>
      <c r="BD38" s="15">
        <f t="shared" si="16"/>
        <v>2.4267945227818992</v>
      </c>
      <c r="BE38" s="210">
        <f t="shared" si="17"/>
        <v>3.8624659194183577</v>
      </c>
    </row>
    <row r="39" spans="1:57" s="15" customFormat="1">
      <c r="A39" s="15" t="s">
        <v>217</v>
      </c>
      <c r="B39" s="45" t="s">
        <v>218</v>
      </c>
      <c r="C39" s="46" t="s">
        <v>106</v>
      </c>
      <c r="D39" s="46" t="s">
        <v>60</v>
      </c>
      <c r="E39" s="15" t="s">
        <v>61</v>
      </c>
      <c r="G39" s="15" t="s">
        <v>62</v>
      </c>
      <c r="H39" s="15" t="s">
        <v>79</v>
      </c>
      <c r="J39" s="15">
        <v>0</v>
      </c>
      <c r="K39" s="15">
        <v>150</v>
      </c>
      <c r="L39" s="15" t="s">
        <v>64</v>
      </c>
      <c r="M39" s="15" t="s">
        <v>108</v>
      </c>
      <c r="N39" s="15" t="s">
        <v>219</v>
      </c>
      <c r="O39" s="15" t="s">
        <v>110</v>
      </c>
      <c r="P39" s="15">
        <v>0</v>
      </c>
      <c r="Q39" s="15" t="s">
        <v>111</v>
      </c>
      <c r="R39" s="116">
        <f t="shared" si="0"/>
        <v>53.833757426989578</v>
      </c>
      <c r="S39" s="47">
        <f t="shared" si="0"/>
        <v>21.217981783552791</v>
      </c>
      <c r="T39" s="47">
        <f t="shared" si="0"/>
        <v>9.1791344652928579</v>
      </c>
      <c r="U39" s="47">
        <f t="shared" si="0"/>
        <v>15.769126324164775</v>
      </c>
      <c r="V39" s="116">
        <f>0.61/(0.61+1.4)*100</f>
        <v>30.348258706467661</v>
      </c>
      <c r="W39" s="145">
        <f t="shared" si="19"/>
        <v>69.651741293532339</v>
      </c>
      <c r="X39" s="48">
        <f>16.5/$R$2/(16.5/$R$2 + 27.3/$S$2 + 1.04/$T$2)*100</f>
        <v>24.813488985981337</v>
      </c>
      <c r="Y39" s="48">
        <f t="shared" si="12"/>
        <v>73.182777954141571</v>
      </c>
      <c r="Z39" s="48">
        <f>1.04/$T$2/(16.5/$R$2 + 27.3/$S$2 + 1.04/$T$2)*100</f>
        <v>2.0037330598770864</v>
      </c>
      <c r="AA39" s="144">
        <f>6.51/R$2/(6.51/$R$2 + 16.3/$S$2 + 20.7/$T$2)*100</f>
        <v>10.485527531680665</v>
      </c>
      <c r="AB39" s="48">
        <f t="shared" si="20"/>
        <v>46.799288966728717</v>
      </c>
      <c r="AC39" s="117">
        <f>20.7/T$2/(6.51/$R$2 + 16.3/$S$2 + 20.7/$T$2)*100</f>
        <v>42.715183501590623</v>
      </c>
      <c r="AD39" s="48" t="s">
        <v>158</v>
      </c>
      <c r="AE39" s="48" t="e">
        <f t="shared" si="21"/>
        <v>#VALUE!</v>
      </c>
      <c r="AF39" s="117" t="s">
        <v>158</v>
      </c>
      <c r="AG39" s="15" t="s">
        <v>69</v>
      </c>
      <c r="AH39" s="191" t="s">
        <v>70</v>
      </c>
      <c r="AI39" s="49"/>
      <c r="AJ39" s="49"/>
      <c r="AN39" s="22"/>
      <c r="AO39" s="22"/>
      <c r="AP39" s="22"/>
      <c r="AQ39" s="233" t="s">
        <v>73</v>
      </c>
      <c r="AR39" s="209"/>
      <c r="AS39" s="15">
        <v>50.4</v>
      </c>
      <c r="AT39" s="15">
        <v>18.600000000000001</v>
      </c>
      <c r="AU39" s="15">
        <v>7.5</v>
      </c>
      <c r="AV39" s="210">
        <v>10.8</v>
      </c>
      <c r="AW39" s="22">
        <f t="shared" si="22"/>
        <v>3.6099004975124376</v>
      </c>
      <c r="AX39" s="22">
        <f t="shared" si="13"/>
        <v>3.3800899682152288</v>
      </c>
      <c r="AY39" s="22">
        <f t="shared" si="23"/>
        <v>3.150495905982833</v>
      </c>
      <c r="AZ39" s="22">
        <f t="shared" si="24"/>
        <v>2.6408</v>
      </c>
      <c r="BA39" s="209"/>
      <c r="BB39" s="15">
        <f t="shared" si="14"/>
        <v>13.961603660469411</v>
      </c>
      <c r="BC39" s="15">
        <f t="shared" si="15"/>
        <v>5.5028121070461511</v>
      </c>
      <c r="BD39" s="15">
        <f t="shared" si="16"/>
        <v>2.3805776054993126</v>
      </c>
      <c r="BE39" s="210">
        <f t="shared" si="17"/>
        <v>4.0896697970312026</v>
      </c>
    </row>
    <row r="40" spans="1:57" s="15" customFormat="1">
      <c r="A40" s="15" t="s">
        <v>220</v>
      </c>
      <c r="B40" s="45" t="s">
        <v>221</v>
      </c>
      <c r="C40" s="46" t="s">
        <v>106</v>
      </c>
      <c r="D40" s="46" t="s">
        <v>60</v>
      </c>
      <c r="E40" s="15" t="s">
        <v>61</v>
      </c>
      <c r="G40" s="15" t="s">
        <v>62</v>
      </c>
      <c r="H40" s="15" t="s">
        <v>177</v>
      </c>
      <c r="J40" s="15">
        <v>0</v>
      </c>
      <c r="K40" s="15">
        <v>150</v>
      </c>
      <c r="L40" s="15" t="s">
        <v>64</v>
      </c>
      <c r="M40" s="15" t="s">
        <v>108</v>
      </c>
      <c r="O40" s="15" t="s">
        <v>110</v>
      </c>
      <c r="P40" s="15">
        <v>0</v>
      </c>
      <c r="Q40" s="15" t="s">
        <v>111</v>
      </c>
      <c r="R40" s="116">
        <f t="shared" si="0"/>
        <v>54.212101510460244</v>
      </c>
      <c r="S40" s="47">
        <f t="shared" si="0"/>
        <v>25.114845476086188</v>
      </c>
      <c r="T40" s="47">
        <f t="shared" si="0"/>
        <v>7.845625071152651</v>
      </c>
      <c r="U40" s="47">
        <f t="shared" si="0"/>
        <v>12.827427942300918</v>
      </c>
      <c r="V40" s="116">
        <f>0.571/(0.571+1.454)*100</f>
        <v>28.197530864197528</v>
      </c>
      <c r="W40" s="145">
        <f t="shared" si="19"/>
        <v>71.802469135802468</v>
      </c>
      <c r="X40" s="48">
        <f>0.465/(0.465+1.508+0.02)*100</f>
        <v>23.331660812844955</v>
      </c>
      <c r="Y40" s="48">
        <f t="shared" si="12"/>
        <v>75.664826894129448</v>
      </c>
      <c r="Z40" s="48">
        <f>0.02/(0.465+1.508+0.02)*100</f>
        <v>1.0035122930255895</v>
      </c>
      <c r="AA40" s="144">
        <f>0.171/(0.171+0.931+0.809)*100</f>
        <v>8.9481946624803772</v>
      </c>
      <c r="AB40" s="48">
        <f t="shared" si="20"/>
        <v>48.717948717948715</v>
      </c>
      <c r="AC40" s="117">
        <f>0.809/(0.171+0.931+0.809)*100</f>
        <v>42.333856619570909</v>
      </c>
      <c r="AD40" s="48" t="s">
        <v>158</v>
      </c>
      <c r="AE40" s="48" t="e">
        <f t="shared" si="21"/>
        <v>#VALUE!</v>
      </c>
      <c r="AF40" s="117" t="s">
        <v>158</v>
      </c>
      <c r="AG40" s="15" t="s">
        <v>69</v>
      </c>
      <c r="AH40" s="191" t="s">
        <v>70</v>
      </c>
      <c r="AI40" s="192" t="s">
        <v>183</v>
      </c>
      <c r="AJ40" s="49"/>
      <c r="AN40" s="22"/>
      <c r="AO40" s="22"/>
      <c r="AP40" s="22"/>
      <c r="AQ40" s="233" t="s">
        <v>73</v>
      </c>
      <c r="AR40" s="209"/>
      <c r="AS40" s="15">
        <v>50.5</v>
      </c>
      <c r="AT40" s="15">
        <v>22</v>
      </c>
      <c r="AU40" s="15">
        <v>6.4</v>
      </c>
      <c r="AV40" s="210">
        <v>8.8000000000000007</v>
      </c>
      <c r="AW40" s="22">
        <f t="shared" si="22"/>
        <v>3.5858123456790123</v>
      </c>
      <c r="AX40" s="22">
        <f t="shared" si="13"/>
        <v>3.3719769192172602</v>
      </c>
      <c r="AY40" s="22">
        <f t="shared" si="23"/>
        <v>3.1401098901098905</v>
      </c>
      <c r="AZ40" s="22">
        <f t="shared" si="24"/>
        <v>2.6408</v>
      </c>
      <c r="BA40" s="209"/>
      <c r="BB40" s="15">
        <f t="shared" si="14"/>
        <v>14.083280197541201</v>
      </c>
      <c r="BC40" s="15">
        <f t="shared" si="15"/>
        <v>6.5243625704018395</v>
      </c>
      <c r="BD40" s="15">
        <f t="shared" si="16"/>
        <v>2.0381452318460189</v>
      </c>
      <c r="BE40" s="210">
        <f t="shared" si="17"/>
        <v>3.3323235383217211</v>
      </c>
    </row>
    <row r="41" spans="1:57" s="15" customFormat="1">
      <c r="A41" s="15" t="s">
        <v>222</v>
      </c>
      <c r="B41" s="45" t="s">
        <v>223</v>
      </c>
      <c r="C41" s="46" t="s">
        <v>106</v>
      </c>
      <c r="D41" s="46" t="s">
        <v>60</v>
      </c>
      <c r="E41" s="15" t="s">
        <v>61</v>
      </c>
      <c r="G41" s="15" t="s">
        <v>62</v>
      </c>
      <c r="H41" s="15" t="s">
        <v>79</v>
      </c>
      <c r="J41" s="15">
        <v>0</v>
      </c>
      <c r="K41" s="15">
        <v>75</v>
      </c>
      <c r="L41" s="15" t="s">
        <v>64</v>
      </c>
      <c r="M41" s="15" t="s">
        <v>108</v>
      </c>
      <c r="N41" s="15" t="s">
        <v>224</v>
      </c>
      <c r="O41" s="15" t="s">
        <v>110</v>
      </c>
      <c r="P41" s="15">
        <v>0</v>
      </c>
      <c r="Q41" s="15" t="s">
        <v>111</v>
      </c>
      <c r="R41" s="116">
        <f t="shared" si="0"/>
        <v>58.1813152722913</v>
      </c>
      <c r="S41" s="47">
        <f t="shared" si="0"/>
        <v>19.137847545450445</v>
      </c>
      <c r="T41" s="47">
        <f t="shared" si="0"/>
        <v>9.5767955916529139</v>
      </c>
      <c r="U41" s="47">
        <f t="shared" si="0"/>
        <v>13.104041590605348</v>
      </c>
      <c r="V41" s="116">
        <f>0.63/(0.63+1.39)*100</f>
        <v>31.188118811881189</v>
      </c>
      <c r="W41" s="145">
        <f t="shared" si="19"/>
        <v>68.811881188118804</v>
      </c>
      <c r="X41" s="48">
        <f>17/$R$2/(17/$R$2 + 26.9/$S$2 + 1.12/$T$2)*100</f>
        <v>25.607977941372251</v>
      </c>
      <c r="Y41" s="48">
        <f t="shared" si="12"/>
        <v>72.23056295421938</v>
      </c>
      <c r="Z41" s="48">
        <f>1.12/$T$2/(17/$R$2 + 26.9/$S$2 + 1.12/$T$2)*100</f>
        <v>2.1614591044083626</v>
      </c>
      <c r="AA41" s="144">
        <f>6.76/R$2/(6.76/$R$2 + 16.3/$S$2 + 21/$T$2)*100</f>
        <v>10.7780746665092</v>
      </c>
      <c r="AB41" s="48">
        <f t="shared" si="20"/>
        <v>46.325962405955856</v>
      </c>
      <c r="AC41" s="117">
        <f>21/T$2/(6.76/$R$2 + 16.3/$S$2 + 21/$T$2)*100</f>
        <v>42.895962927534946</v>
      </c>
      <c r="AD41" s="48" t="s">
        <v>158</v>
      </c>
      <c r="AE41" s="48" t="e">
        <f t="shared" si="21"/>
        <v>#VALUE!</v>
      </c>
      <c r="AF41" s="117" t="s">
        <v>158</v>
      </c>
      <c r="AG41" s="15" t="s">
        <v>69</v>
      </c>
      <c r="AH41" s="191" t="s">
        <v>70</v>
      </c>
      <c r="AI41" s="49"/>
      <c r="AJ41" s="49"/>
      <c r="AN41" s="22"/>
      <c r="AO41" s="22"/>
      <c r="AP41" s="22"/>
      <c r="AQ41" s="233" t="s">
        <v>73</v>
      </c>
      <c r="AR41" s="209"/>
      <c r="AS41" s="15">
        <v>57.2</v>
      </c>
      <c r="AT41" s="15">
        <v>17.600000000000001</v>
      </c>
      <c r="AU41" s="15">
        <v>8.1999999999999993</v>
      </c>
      <c r="AV41" s="210">
        <v>9.4</v>
      </c>
      <c r="AW41" s="22">
        <f t="shared" si="22"/>
        <v>3.6193069306930687</v>
      </c>
      <c r="AX41" s="22">
        <f t="shared" si="13"/>
        <v>3.3855754572470667</v>
      </c>
      <c r="AY41" s="22">
        <f t="shared" si="23"/>
        <v>3.152147671216214</v>
      </c>
      <c r="AZ41" s="22">
        <f t="shared" si="24"/>
        <v>2.6408</v>
      </c>
      <c r="BA41" s="209"/>
      <c r="BB41" s="15">
        <f t="shared" si="14"/>
        <v>15.804130761865686</v>
      </c>
      <c r="BC41" s="15">
        <f t="shared" si="15"/>
        <v>5.1985253976029222</v>
      </c>
      <c r="BD41" s="15">
        <f t="shared" si="16"/>
        <v>2.6014009669909086</v>
      </c>
      <c r="BE41" s="210">
        <f t="shared" si="17"/>
        <v>3.5595274159345656</v>
      </c>
    </row>
    <row r="42" spans="1:57" s="15" customFormat="1">
      <c r="A42" s="15" t="s">
        <v>225</v>
      </c>
      <c r="B42" s="45" t="s">
        <v>226</v>
      </c>
      <c r="C42" s="46" t="s">
        <v>106</v>
      </c>
      <c r="D42" s="46" t="s">
        <v>60</v>
      </c>
      <c r="E42" s="15" t="s">
        <v>61</v>
      </c>
      <c r="G42" s="15" t="s">
        <v>62</v>
      </c>
      <c r="H42" s="15" t="s">
        <v>79</v>
      </c>
      <c r="J42" s="15">
        <v>0</v>
      </c>
      <c r="K42" s="15">
        <v>150</v>
      </c>
      <c r="L42" s="15" t="s">
        <v>64</v>
      </c>
      <c r="M42" s="15" t="s">
        <v>108</v>
      </c>
      <c r="N42" s="15" t="s">
        <v>227</v>
      </c>
      <c r="O42" s="15" t="s">
        <v>110</v>
      </c>
      <c r="P42" s="15">
        <v>0</v>
      </c>
      <c r="Q42" s="15" t="s">
        <v>111</v>
      </c>
      <c r="R42" s="116">
        <f t="shared" si="0"/>
        <v>55.14652987826922</v>
      </c>
      <c r="S42" s="47">
        <f t="shared" si="0"/>
        <v>21.911114426763408</v>
      </c>
      <c r="T42" s="47">
        <f t="shared" si="0"/>
        <v>8.1635427710398432</v>
      </c>
      <c r="U42" s="47">
        <f t="shared" si="0"/>
        <v>14.778812923927532</v>
      </c>
      <c r="V42" s="116">
        <f>0.57/(0.57+1.44)*100</f>
        <v>28.35820895522388</v>
      </c>
      <c r="W42" s="145">
        <f t="shared" si="19"/>
        <v>71.641791044776113</v>
      </c>
      <c r="X42" s="48">
        <f>15.4/$R$2/(15.4/$R$2 + 28.1/$S$2 + 0.87/$T$2)*100</f>
        <v>23.121618003935353</v>
      </c>
      <c r="Y42" s="48">
        <f t="shared" si="12"/>
        <v>75.204906381758306</v>
      </c>
      <c r="Z42" s="48">
        <f>0.87/$T$2/(15.4/$R$2 + 28.1/$S$2 + 0.87/$T$2)*100</f>
        <v>1.6734756143063405</v>
      </c>
      <c r="AA42" s="144">
        <f>4.96/R$2/(4.96/$R$2 + 16.6/$S$2 + 22.1/$T$2)*100</f>
        <v>7.8900532320220913</v>
      </c>
      <c r="AB42" s="48">
        <f t="shared" si="20"/>
        <v>47.070487786087604</v>
      </c>
      <c r="AC42" s="117">
        <f>22.1/T$2/(4.96/$R$2 + 16.6/$S$2 + 22.1/$T$2)*100</f>
        <v>45.039458981890299</v>
      </c>
      <c r="AD42" s="48" t="s">
        <v>158</v>
      </c>
      <c r="AE42" s="48" t="e">
        <f t="shared" si="21"/>
        <v>#VALUE!</v>
      </c>
      <c r="AF42" s="117" t="s">
        <v>158</v>
      </c>
      <c r="AG42" s="15" t="s">
        <v>69</v>
      </c>
      <c r="AH42" s="191" t="s">
        <v>70</v>
      </c>
      <c r="AI42" s="49"/>
      <c r="AJ42" s="49"/>
      <c r="AN42" s="22"/>
      <c r="AO42" s="22"/>
      <c r="AP42" s="22"/>
      <c r="AQ42" s="233" t="s">
        <v>73</v>
      </c>
      <c r="AR42" s="209"/>
      <c r="AS42" s="15">
        <v>51.2</v>
      </c>
      <c r="AT42" s="15">
        <v>19.100000000000001</v>
      </c>
      <c r="AU42" s="15">
        <v>6.6</v>
      </c>
      <c r="AV42" s="210">
        <v>10.1</v>
      </c>
      <c r="AW42" s="22">
        <f t="shared" si="22"/>
        <v>3.5876119402985069</v>
      </c>
      <c r="AX42" s="22">
        <f t="shared" si="13"/>
        <v>3.3683917081865964</v>
      </c>
      <c r="AY42" s="22">
        <f t="shared" si="23"/>
        <v>3.1240570222944948</v>
      </c>
      <c r="AZ42" s="22">
        <f t="shared" si="24"/>
        <v>2.6408</v>
      </c>
      <c r="BA42" s="209"/>
      <c r="BB42" s="15">
        <f t="shared" si="14"/>
        <v>14.271331696967179</v>
      </c>
      <c r="BC42" s="15">
        <f t="shared" si="15"/>
        <v>5.6703618981067541</v>
      </c>
      <c r="BD42" s="15">
        <f t="shared" si="16"/>
        <v>2.112637494418256</v>
      </c>
      <c r="BE42" s="210">
        <f t="shared" si="17"/>
        <v>3.8245986064828839</v>
      </c>
    </row>
    <row r="43" spans="1:57" s="15" customFormat="1">
      <c r="A43" s="15" t="s">
        <v>228</v>
      </c>
      <c r="B43" s="45" t="s">
        <v>229</v>
      </c>
      <c r="C43" s="46" t="s">
        <v>106</v>
      </c>
      <c r="D43" s="46" t="s">
        <v>60</v>
      </c>
      <c r="E43" s="15" t="s">
        <v>61</v>
      </c>
      <c r="G43" s="15" t="s">
        <v>62</v>
      </c>
      <c r="H43" s="15" t="s">
        <v>156</v>
      </c>
      <c r="J43" s="15">
        <v>0</v>
      </c>
      <c r="K43" s="15">
        <v>150</v>
      </c>
      <c r="L43" s="15" t="s">
        <v>64</v>
      </c>
      <c r="M43" s="15" t="s">
        <v>108</v>
      </c>
      <c r="N43" s="15" t="s">
        <v>230</v>
      </c>
      <c r="O43" s="15" t="s">
        <v>110</v>
      </c>
      <c r="P43" s="15">
        <v>0</v>
      </c>
      <c r="Q43" s="15" t="s">
        <v>111</v>
      </c>
      <c r="R43" s="116">
        <f t="shared" si="0"/>
        <v>45.090134348067181</v>
      </c>
      <c r="S43" s="47">
        <f t="shared" si="0"/>
        <v>29.623850335087344</v>
      </c>
      <c r="T43" s="47">
        <f t="shared" si="0"/>
        <v>10.703942371861281</v>
      </c>
      <c r="U43" s="47">
        <f t="shared" si="0"/>
        <v>14.582072944984182</v>
      </c>
      <c r="V43" s="116">
        <f>0.46/(0.46+1.55)*100</f>
        <v>22.885572139303481</v>
      </c>
      <c r="W43" s="145">
        <f t="shared" si="19"/>
        <v>77.114427860696523</v>
      </c>
      <c r="X43" s="48">
        <f>13/$R$2/(13/$R$2 + 29.8/$S$2 + 0.8/$T$2)*100</f>
        <v>19.361086022966052</v>
      </c>
      <c r="Y43" s="48">
        <f t="shared" si="12"/>
        <v>79.11247662795904</v>
      </c>
      <c r="Z43" s="48">
        <f>0.8/$T$2/(13/$R$2 + 29.8/$S$2 + 0.8/$T$2)*100</f>
        <v>1.5264373490749166</v>
      </c>
      <c r="AA43" s="144">
        <f>4.8/$R$2/(4.8/$R$2 + 17.6/$S$2 + 20.1/$T$2)*100</f>
        <v>7.7514124466479579</v>
      </c>
      <c r="AB43" s="48">
        <f t="shared" si="20"/>
        <v>50.663434845066945</v>
      </c>
      <c r="AC43" s="117">
        <f>20.1/$T$2/(4.8/$R$2 + 17.6/$S$2 + 20.1/$T$2)*100</f>
        <v>41.585152708285094</v>
      </c>
      <c r="AD43" s="48" t="s">
        <v>158</v>
      </c>
      <c r="AE43" s="48" t="e">
        <f t="shared" si="21"/>
        <v>#VALUE!</v>
      </c>
      <c r="AF43" s="117" t="s">
        <v>158</v>
      </c>
      <c r="AG43" s="15" t="s">
        <v>69</v>
      </c>
      <c r="AH43" s="191" t="s">
        <v>70</v>
      </c>
      <c r="AI43" s="192" t="s">
        <v>183</v>
      </c>
      <c r="AJ43" s="49"/>
      <c r="AN43" s="22"/>
      <c r="AO43" s="22"/>
      <c r="AP43" s="22"/>
      <c r="AQ43" s="233" t="s">
        <v>73</v>
      </c>
      <c r="AR43" s="209"/>
      <c r="AS43" s="15">
        <v>38.4</v>
      </c>
      <c r="AT43" s="15">
        <v>23.9</v>
      </c>
      <c r="AU43" s="15">
        <v>8.1</v>
      </c>
      <c r="AV43" s="210">
        <v>9.3000000000000007</v>
      </c>
      <c r="AW43" s="22">
        <f t="shared" si="22"/>
        <v>3.5263184079601988</v>
      </c>
      <c r="AX43" s="22">
        <f t="shared" si="13"/>
        <v>3.3406288331250211</v>
      </c>
      <c r="AY43" s="22">
        <f t="shared" si="23"/>
        <v>3.1333801352250044</v>
      </c>
      <c r="AZ43" s="22">
        <f t="shared" si="24"/>
        <v>2.6408</v>
      </c>
      <c r="BA43" s="209"/>
      <c r="BB43" s="15">
        <f t="shared" si="14"/>
        <v>10.889544152710958</v>
      </c>
      <c r="BC43" s="15">
        <f t="shared" si="15"/>
        <v>7.1543416505935289</v>
      </c>
      <c r="BD43" s="15">
        <f t="shared" si="16"/>
        <v>2.5850677704058236</v>
      </c>
      <c r="BE43" s="210">
        <f t="shared" si="17"/>
        <v>3.5216601029990913</v>
      </c>
    </row>
    <row r="44" spans="1:57" s="15" customFormat="1">
      <c r="A44" s="15" t="s">
        <v>231</v>
      </c>
      <c r="B44" s="45" t="s">
        <v>232</v>
      </c>
      <c r="C44" s="46" t="s">
        <v>106</v>
      </c>
      <c r="D44" s="46" t="s">
        <v>60</v>
      </c>
      <c r="E44" s="15" t="s">
        <v>61</v>
      </c>
      <c r="G44" s="15" t="s">
        <v>62</v>
      </c>
      <c r="H44" s="15" t="s">
        <v>107</v>
      </c>
      <c r="J44" s="15">
        <v>0</v>
      </c>
      <c r="K44" s="15">
        <v>150</v>
      </c>
      <c r="L44" s="15" t="s">
        <v>64</v>
      </c>
      <c r="M44" s="15" t="s">
        <v>108</v>
      </c>
      <c r="N44" s="15" t="s">
        <v>233</v>
      </c>
      <c r="O44" s="15" t="s">
        <v>110</v>
      </c>
      <c r="P44" s="15">
        <v>0</v>
      </c>
      <c r="Q44" s="15" t="s">
        <v>111</v>
      </c>
      <c r="R44" s="116">
        <f t="shared" si="0"/>
        <v>47.301193463731749</v>
      </c>
      <c r="S44" s="47">
        <f t="shared" si="0"/>
        <v>31.411461013187065</v>
      </c>
      <c r="T44" s="47">
        <f t="shared" si="0"/>
        <v>6.6509716422241194</v>
      </c>
      <c r="U44" s="47">
        <f t="shared" si="0"/>
        <v>14.636373880857079</v>
      </c>
      <c r="V44" s="116">
        <f>0.496/(0.496+1.505)*100</f>
        <v>24.787606196901553</v>
      </c>
      <c r="W44" s="145">
        <f t="shared" si="19"/>
        <v>75.21239380309845</v>
      </c>
      <c r="X44" s="48">
        <f>0.417/(0.417+1.552+0.031)*100</f>
        <v>20.849999999999998</v>
      </c>
      <c r="Y44" s="48">
        <f t="shared" si="12"/>
        <v>77.600000000000009</v>
      </c>
      <c r="Z44" s="48">
        <f>0.031/(0.417+1.552+0.031)*100</f>
        <v>1.55</v>
      </c>
      <c r="AA44" s="144">
        <f>0.147/(0.147+0.915+0.857)*100</f>
        <v>7.6602397081813436</v>
      </c>
      <c r="AB44" s="48">
        <f t="shared" si="20"/>
        <v>47.681083897863481</v>
      </c>
      <c r="AC44" s="117">
        <f>0.857/(0.147+0.915+0.857)*100</f>
        <v>44.658676393955183</v>
      </c>
      <c r="AD44" s="48">
        <v>12</v>
      </c>
      <c r="AE44" s="48" t="e">
        <f t="shared" si="21"/>
        <v>#VALUE!</v>
      </c>
      <c r="AF44" s="117" t="s">
        <v>158</v>
      </c>
      <c r="AG44" s="52" t="s">
        <v>69</v>
      </c>
      <c r="AH44" s="192" t="s">
        <v>183</v>
      </c>
      <c r="AI44" s="192" t="s">
        <v>234</v>
      </c>
      <c r="AN44" s="22"/>
      <c r="AO44" s="22"/>
      <c r="AP44" s="22"/>
      <c r="AQ44" s="233" t="s">
        <v>73</v>
      </c>
      <c r="AR44" s="209"/>
      <c r="AS44" s="15">
        <v>41.6</v>
      </c>
      <c r="AT44" s="15">
        <v>26.1</v>
      </c>
      <c r="AU44" s="15">
        <v>5.15</v>
      </c>
      <c r="AV44" s="210">
        <v>9.5500000000000007</v>
      </c>
      <c r="AW44" s="22">
        <f t="shared" si="22"/>
        <v>3.5476211894052971</v>
      </c>
      <c r="AX44" s="22">
        <f t="shared" si="13"/>
        <v>3.3517250000000005</v>
      </c>
      <c r="AY44" s="22">
        <f t="shared" si="23"/>
        <v>3.1234757686294947</v>
      </c>
      <c r="AZ44" s="22">
        <f>AD44*$AC$2+(98-AD44)*$AD$2+2*$AE$2</f>
        <v>2.6320000000000001</v>
      </c>
      <c r="BA44" s="209"/>
      <c r="BB44" s="15">
        <f t="shared" si="14"/>
        <v>11.726167417264071</v>
      </c>
      <c r="BC44" s="15">
        <f t="shared" si="15"/>
        <v>7.7870350341988077</v>
      </c>
      <c r="BD44" s="15">
        <f t="shared" si="16"/>
        <v>1.6488042109126704</v>
      </c>
      <c r="BE44" s="210">
        <f t="shared" si="17"/>
        <v>3.6284194528875382</v>
      </c>
    </row>
    <row r="45" spans="1:57" s="15" customFormat="1">
      <c r="A45" s="15" t="s">
        <v>235</v>
      </c>
      <c r="B45" s="45" t="s">
        <v>236</v>
      </c>
      <c r="C45" s="46" t="s">
        <v>106</v>
      </c>
      <c r="D45" s="46" t="s">
        <v>60</v>
      </c>
      <c r="E45" s="15" t="s">
        <v>61</v>
      </c>
      <c r="G45" s="15" t="s">
        <v>62</v>
      </c>
      <c r="H45" s="15" t="s">
        <v>134</v>
      </c>
      <c r="J45" s="15">
        <v>0</v>
      </c>
      <c r="K45" s="15">
        <v>150</v>
      </c>
      <c r="L45" s="15" t="s">
        <v>64</v>
      </c>
      <c r="M45" s="15" t="s">
        <v>108</v>
      </c>
      <c r="N45" s="15" t="s">
        <v>237</v>
      </c>
      <c r="O45" s="15" t="s">
        <v>110</v>
      </c>
      <c r="P45" s="15">
        <v>0</v>
      </c>
      <c r="Q45" s="15" t="s">
        <v>111</v>
      </c>
      <c r="R45" s="116">
        <f t="shared" si="0"/>
        <v>43.334896084837474</v>
      </c>
      <c r="S45" s="47">
        <f t="shared" si="0"/>
        <v>32.854741756656594</v>
      </c>
      <c r="T45" s="47">
        <f t="shared" si="0"/>
        <v>8.4862254217373891</v>
      </c>
      <c r="U45" s="47">
        <f t="shared" si="0"/>
        <v>15.324136736768537</v>
      </c>
      <c r="V45" s="116">
        <v>19.8</v>
      </c>
      <c r="W45" s="145">
        <f t="shared" si="19"/>
        <v>80.2</v>
      </c>
      <c r="X45" s="48">
        <v>16.600000000000001</v>
      </c>
      <c r="Y45" s="48">
        <f t="shared" si="12"/>
        <v>82</v>
      </c>
      <c r="Z45" s="48">
        <v>1.4</v>
      </c>
      <c r="AA45" s="144">
        <v>6.2</v>
      </c>
      <c r="AB45" s="48">
        <f t="shared" si="20"/>
        <v>48.3</v>
      </c>
      <c r="AC45" s="117">
        <v>45.5</v>
      </c>
      <c r="AD45" s="48" t="s">
        <v>158</v>
      </c>
      <c r="AE45" s="48" t="e">
        <f t="shared" si="21"/>
        <v>#VALUE!</v>
      </c>
      <c r="AF45" s="117" t="s">
        <v>158</v>
      </c>
      <c r="AG45" s="15" t="s">
        <v>238</v>
      </c>
      <c r="AH45" s="191" t="s">
        <v>70</v>
      </c>
      <c r="AI45" s="192" t="s">
        <v>239</v>
      </c>
      <c r="AJ45" s="49"/>
      <c r="AN45" s="22"/>
      <c r="AO45" s="22"/>
      <c r="AP45" s="22"/>
      <c r="AQ45" s="233" t="s">
        <v>73</v>
      </c>
      <c r="AR45" s="209"/>
      <c r="AS45" s="15">
        <v>34.4</v>
      </c>
      <c r="AT45" s="15">
        <v>24.8</v>
      </c>
      <c r="AU45" s="15">
        <v>6</v>
      </c>
      <c r="AV45" s="210">
        <v>9.1999999999999993</v>
      </c>
      <c r="AW45" s="22">
        <f t="shared" si="22"/>
        <v>3.4917599999999998</v>
      </c>
      <c r="AX45" s="22">
        <f t="shared" si="13"/>
        <v>3.3203</v>
      </c>
      <c r="AY45" s="22">
        <f t="shared" si="23"/>
        <v>3.1099999999999994</v>
      </c>
      <c r="AZ45" s="22">
        <f>20*$AC$2+78*$AD$2+2*$AE$2</f>
        <v>2.6408</v>
      </c>
      <c r="BA45" s="209"/>
      <c r="BB45" s="15">
        <f t="shared" si="14"/>
        <v>9.8517652988750655</v>
      </c>
      <c r="BC45" s="15">
        <f t="shared" si="15"/>
        <v>7.4692045899466919</v>
      </c>
      <c r="BD45" s="15">
        <f t="shared" si="16"/>
        <v>1.929260450160772</v>
      </c>
      <c r="BE45" s="210">
        <f t="shared" si="17"/>
        <v>3.483792790063617</v>
      </c>
    </row>
    <row r="46" spans="1:57" s="15" customFormat="1">
      <c r="A46" s="15" t="s">
        <v>240</v>
      </c>
      <c r="B46" s="45" t="s">
        <v>241</v>
      </c>
      <c r="C46" s="46" t="s">
        <v>106</v>
      </c>
      <c r="D46" s="46" t="s">
        <v>60</v>
      </c>
      <c r="E46" s="15" t="s">
        <v>61</v>
      </c>
      <c r="G46" s="15" t="s">
        <v>62</v>
      </c>
      <c r="H46" s="15" t="s">
        <v>125</v>
      </c>
      <c r="J46" s="15">
        <v>0</v>
      </c>
      <c r="K46" s="15">
        <v>150</v>
      </c>
      <c r="L46" s="15" t="s">
        <v>64</v>
      </c>
      <c r="M46" s="15" t="s">
        <v>108</v>
      </c>
      <c r="N46" s="15" t="s">
        <v>242</v>
      </c>
      <c r="O46" s="15" t="s">
        <v>110</v>
      </c>
      <c r="P46" s="15">
        <v>0</v>
      </c>
      <c r="Q46" s="15" t="s">
        <v>111</v>
      </c>
      <c r="R46" s="116">
        <f t="shared" si="0"/>
        <v>42.949481289008553</v>
      </c>
      <c r="S46" s="47">
        <f t="shared" si="0"/>
        <v>33.187452604332194</v>
      </c>
      <c r="T46" s="47">
        <f t="shared" si="0"/>
        <v>8.8503013804986352</v>
      </c>
      <c r="U46" s="47">
        <f t="shared" si="0"/>
        <v>15.012764726160619</v>
      </c>
      <c r="V46" s="116">
        <f>0.37/(0.37+1.61)*100</f>
        <v>18.686868686868689</v>
      </c>
      <c r="W46" s="145">
        <f t="shared" si="19"/>
        <v>81.313131313131308</v>
      </c>
      <c r="X46" s="48">
        <f>11.3/$R$2/(11.3/$R$2 + 31.1/$S$2 + 0.71/$T$2)*100</f>
        <v>16.704360394544182</v>
      </c>
      <c r="Y46" s="48">
        <f t="shared" si="12"/>
        <v>81.950979899167123</v>
      </c>
      <c r="Z46" s="48">
        <f>0.71/$T$2/(11.3/$R$2 + 31.1/$S$2 + 0.71/$T$2)*100</f>
        <v>1.3446597062886925</v>
      </c>
      <c r="AA46" s="144">
        <f>3.42/R$2/(3.42/$R$2 + 17.2/$S$2 + 23/$T$2)*100</f>
        <v>5.3818827606022692</v>
      </c>
      <c r="AB46" s="48">
        <f t="shared" si="20"/>
        <v>48.247956922902027</v>
      </c>
      <c r="AC46" s="117">
        <f>23/T$2/(3.42/$R$2 + 17.2/$S$2 + 23/$T$2)*100</f>
        <v>46.370160316495706</v>
      </c>
      <c r="AD46" s="48" t="s">
        <v>158</v>
      </c>
      <c r="AE46" s="48" t="e">
        <f t="shared" si="21"/>
        <v>#VALUE!</v>
      </c>
      <c r="AF46" s="117" t="s">
        <v>158</v>
      </c>
      <c r="AG46" s="15" t="s">
        <v>69</v>
      </c>
      <c r="AH46" s="191" t="s">
        <v>70</v>
      </c>
      <c r="AI46" s="49"/>
      <c r="AJ46" s="49"/>
      <c r="AN46" s="22"/>
      <c r="AO46" s="22"/>
      <c r="AP46" s="22"/>
      <c r="AQ46" s="233" t="s">
        <v>73</v>
      </c>
      <c r="AR46" s="209"/>
      <c r="AS46" s="15">
        <v>34.299999999999997</v>
      </c>
      <c r="AT46" s="15">
        <v>25.3</v>
      </c>
      <c r="AU46" s="15">
        <v>6.3</v>
      </c>
      <c r="AV46" s="210">
        <v>9.1</v>
      </c>
      <c r="AW46" s="22">
        <f t="shared" si="22"/>
        <v>3.4792929292929289</v>
      </c>
      <c r="AX46" s="22">
        <f t="shared" si="13"/>
        <v>3.3212487238402151</v>
      </c>
      <c r="AY46" s="22">
        <f t="shared" si="23"/>
        <v>3.1012536397550301</v>
      </c>
      <c r="AZ46" s="22">
        <f>20*$AC$2+78*$AD$2+2*$AE$2</f>
        <v>2.6408</v>
      </c>
      <c r="BA46" s="209"/>
      <c r="BB46" s="15">
        <f t="shared" si="14"/>
        <v>9.8583248657279725</v>
      </c>
      <c r="BC46" s="15">
        <f t="shared" si="15"/>
        <v>7.6176167772062291</v>
      </c>
      <c r="BD46" s="15">
        <f t="shared" si="16"/>
        <v>2.0314365517351365</v>
      </c>
      <c r="BE46" s="210">
        <f t="shared" si="17"/>
        <v>3.4459254771281427</v>
      </c>
    </row>
    <row r="47" spans="1:57" s="15" customFormat="1">
      <c r="A47" s="15" t="s">
        <v>243</v>
      </c>
      <c r="B47" s="45" t="s">
        <v>244</v>
      </c>
      <c r="C47" s="46" t="s">
        <v>106</v>
      </c>
      <c r="D47" s="46" t="s">
        <v>60</v>
      </c>
      <c r="E47" s="15" t="s">
        <v>61</v>
      </c>
      <c r="G47" s="15" t="s">
        <v>62</v>
      </c>
      <c r="H47" s="15" t="s">
        <v>107</v>
      </c>
      <c r="J47" s="15">
        <v>0</v>
      </c>
      <c r="K47" s="15">
        <v>150</v>
      </c>
      <c r="L47" s="15" t="s">
        <v>64</v>
      </c>
      <c r="M47" s="15" t="s">
        <v>108</v>
      </c>
      <c r="N47" s="15" t="s">
        <v>245</v>
      </c>
      <c r="O47" s="15" t="s">
        <v>110</v>
      </c>
      <c r="P47" s="15">
        <v>0</v>
      </c>
      <c r="Q47" s="15" t="s">
        <v>111</v>
      </c>
      <c r="R47" s="116">
        <f t="shared" si="0"/>
        <v>49.305852785605794</v>
      </c>
      <c r="S47" s="47">
        <f t="shared" si="0"/>
        <v>27.049001734936727</v>
      </c>
      <c r="T47" s="47">
        <f t="shared" si="0"/>
        <v>10.058221635791062</v>
      </c>
      <c r="U47" s="47">
        <f t="shared" si="0"/>
        <v>13.586923843666405</v>
      </c>
      <c r="V47" s="116">
        <f>0.5/(0.5+1.51)*100</f>
        <v>24.875621890547269</v>
      </c>
      <c r="W47" s="145">
        <f t="shared" si="19"/>
        <v>75.124378109452735</v>
      </c>
      <c r="X47" s="48">
        <f>14.2/$R$2/(14.2/$R$2 + 28.6/$S$2 + 1.11/$T$2)*100</f>
        <v>21.320332276801654</v>
      </c>
      <c r="Y47" s="48">
        <f t="shared" si="12"/>
        <v>76.544503725740341</v>
      </c>
      <c r="Z47" s="48">
        <f>1.11/$T$2/(14.2/$R$2 + 28.6/$S$2 + 1.11/$T$2)*100</f>
        <v>2.1351639974580126</v>
      </c>
      <c r="AA47" s="144">
        <f>5.05/R$2/(5.05/$R$2 + 16.7/$S$2 + 21.9/$T$2)*100</f>
        <v>8.0316833381864825</v>
      </c>
      <c r="AB47" s="48">
        <f t="shared" si="20"/>
        <v>47.344989487827071</v>
      </c>
      <c r="AC47" s="117">
        <f>21.9/T$2/(5.05/$R$2 + 16.7/$S$2 + 21.9/$T$2)*100</f>
        <v>44.623327173986446</v>
      </c>
      <c r="AD47" s="48" t="s">
        <v>158</v>
      </c>
      <c r="AE47" s="48" t="e">
        <f t="shared" si="21"/>
        <v>#VALUE!</v>
      </c>
      <c r="AF47" s="117" t="s">
        <v>158</v>
      </c>
      <c r="AG47" s="15" t="s">
        <v>69</v>
      </c>
      <c r="AH47" s="191" t="s">
        <v>70</v>
      </c>
      <c r="AI47" s="49"/>
      <c r="AJ47" s="49"/>
      <c r="AN47" s="22"/>
      <c r="AO47" s="22"/>
      <c r="AP47" s="22"/>
      <c r="AQ47" s="233" t="s">
        <v>73</v>
      </c>
      <c r="AR47" s="209"/>
      <c r="AS47" s="15">
        <v>43.4</v>
      </c>
      <c r="AT47" s="15">
        <v>22.5</v>
      </c>
      <c r="AU47" s="15">
        <v>7.8</v>
      </c>
      <c r="AV47" s="210">
        <v>8.9</v>
      </c>
      <c r="AW47" s="22">
        <f t="shared" si="22"/>
        <v>3.5486069651741294</v>
      </c>
      <c r="AX47" s="22">
        <f t="shared" si="13"/>
        <v>3.3534970000836388</v>
      </c>
      <c r="AY47" s="22">
        <f t="shared" si="23"/>
        <v>3.1263676435144392</v>
      </c>
      <c r="AZ47" s="22">
        <f>20*$AC$2+78*$AD$2+2*$AE$2</f>
        <v>2.6408</v>
      </c>
      <c r="BA47" s="209"/>
      <c r="BB47" s="15">
        <f t="shared" si="14"/>
        <v>12.23015127511321</v>
      </c>
      <c r="BC47" s="15">
        <f t="shared" si="15"/>
        <v>6.7094140831015601</v>
      </c>
      <c r="BD47" s="15">
        <f t="shared" si="16"/>
        <v>2.4949081136317663</v>
      </c>
      <c r="BE47" s="210">
        <f t="shared" si="17"/>
        <v>3.370190851257195</v>
      </c>
    </row>
    <row r="48" spans="1:57" s="15" customFormat="1">
      <c r="A48" s="15" t="s">
        <v>246</v>
      </c>
      <c r="B48" s="45" t="s">
        <v>247</v>
      </c>
      <c r="C48" s="46" t="s">
        <v>106</v>
      </c>
      <c r="D48" s="46" t="s">
        <v>60</v>
      </c>
      <c r="E48" s="15" t="s">
        <v>61</v>
      </c>
      <c r="G48" s="15" t="s">
        <v>62</v>
      </c>
      <c r="H48" s="15" t="s">
        <v>107</v>
      </c>
      <c r="J48" s="15">
        <v>0</v>
      </c>
      <c r="K48" s="15">
        <v>150</v>
      </c>
      <c r="L48" s="15" t="s">
        <v>64</v>
      </c>
      <c r="M48" s="15" t="s">
        <v>108</v>
      </c>
      <c r="N48" s="15" t="s">
        <v>248</v>
      </c>
      <c r="O48" s="15" t="s">
        <v>110</v>
      </c>
      <c r="P48" s="15">
        <v>0</v>
      </c>
      <c r="Q48" s="15" t="s">
        <v>111</v>
      </c>
      <c r="R48" s="116">
        <f t="shared" si="0"/>
        <v>49.118547219614832</v>
      </c>
      <c r="S48" s="47">
        <f t="shared" si="0"/>
        <v>25.939910763482253</v>
      </c>
      <c r="T48" s="47">
        <f t="shared" si="0"/>
        <v>9.6240246548255932</v>
      </c>
      <c r="U48" s="47">
        <f t="shared" si="0"/>
        <v>15.317517362077314</v>
      </c>
      <c r="V48" s="116">
        <f>0.49/(0.49+1.51)*100</f>
        <v>24.5</v>
      </c>
      <c r="W48" s="145">
        <f t="shared" si="19"/>
        <v>75.5</v>
      </c>
      <c r="X48" s="48">
        <f>13.8/$R$2/(13.8/$R$2 + 29.2/$S$2 + 1.04/$T$2)*100</f>
        <v>20.540928970889567</v>
      </c>
      <c r="Y48" s="48">
        <f t="shared" si="12"/>
        <v>77.475823287849337</v>
      </c>
      <c r="Z48" s="48">
        <f>1.04/$T$2/(13.8/$R$2 + 29.2/$S$2 + 1.04/$T$2)*100</f>
        <v>1.9832477412610996</v>
      </c>
      <c r="AA48" s="144">
        <f>5.14/R$2/(5.14/$R$2 + 16.9/$S$2 + 21.1/$T$2)*100</f>
        <v>8.2507232184707853</v>
      </c>
      <c r="AB48" s="48">
        <f t="shared" si="20"/>
        <v>48.356845008779928</v>
      </c>
      <c r="AC48" s="117">
        <f>21.1/T$2/(5.14/$R$2 + 16.9/$S$2 + 21.1/$T$2)*100</f>
        <v>43.392431772749291</v>
      </c>
      <c r="AD48" s="48" t="s">
        <v>158</v>
      </c>
      <c r="AE48" s="48" t="e">
        <f t="shared" si="21"/>
        <v>#VALUE!</v>
      </c>
      <c r="AF48" s="117" t="s">
        <v>158</v>
      </c>
      <c r="AG48" s="15" t="s">
        <v>69</v>
      </c>
      <c r="AH48" s="191" t="s">
        <v>70</v>
      </c>
      <c r="AI48" s="191"/>
      <c r="AJ48" s="49"/>
      <c r="AN48" s="22"/>
      <c r="AO48" s="22"/>
      <c r="AP48" s="22"/>
      <c r="AQ48" s="233" t="s">
        <v>73</v>
      </c>
      <c r="AR48" s="209"/>
      <c r="AS48" s="15">
        <v>43.9</v>
      </c>
      <c r="AT48" s="15">
        <v>21.9</v>
      </c>
      <c r="AU48" s="15">
        <v>7.6</v>
      </c>
      <c r="AV48" s="210">
        <v>10.199999999999999</v>
      </c>
      <c r="AW48" s="22">
        <f t="shared" si="22"/>
        <v>3.5444</v>
      </c>
      <c r="AX48" s="22">
        <f t="shared" si="13"/>
        <v>3.3481072240578889</v>
      </c>
      <c r="AY48" s="22">
        <f t="shared" si="23"/>
        <v>3.1317031288202832</v>
      </c>
      <c r="AZ48" s="22">
        <f>20*$AC$2+78*$AD$2+2*$AE$2</f>
        <v>2.6408</v>
      </c>
      <c r="BA48" s="209"/>
      <c r="BB48" s="15">
        <f t="shared" si="14"/>
        <v>12.385735244329082</v>
      </c>
      <c r="BC48" s="15">
        <f t="shared" si="15"/>
        <v>6.5410091536606494</v>
      </c>
      <c r="BD48" s="15">
        <f t="shared" si="16"/>
        <v>2.4267945227818992</v>
      </c>
      <c r="BE48" s="210">
        <f t="shared" si="17"/>
        <v>3.8624659194183577</v>
      </c>
    </row>
    <row r="49" spans="1:57" s="15" customFormat="1">
      <c r="A49" s="15" t="s">
        <v>249</v>
      </c>
      <c r="B49" s="45" t="s">
        <v>250</v>
      </c>
      <c r="C49" s="46" t="s">
        <v>106</v>
      </c>
      <c r="D49" s="46" t="s">
        <v>60</v>
      </c>
      <c r="E49" s="15" t="s">
        <v>61</v>
      </c>
      <c r="G49" s="15" t="s">
        <v>62</v>
      </c>
      <c r="H49" s="15" t="s">
        <v>107</v>
      </c>
      <c r="J49" s="15">
        <v>0</v>
      </c>
      <c r="K49" s="15">
        <v>150</v>
      </c>
      <c r="L49" s="15" t="s">
        <v>64</v>
      </c>
      <c r="M49" s="15" t="s">
        <v>108</v>
      </c>
      <c r="N49" s="15" t="s">
        <v>251</v>
      </c>
      <c r="O49" s="15" t="s">
        <v>110</v>
      </c>
      <c r="P49" s="15">
        <v>0</v>
      </c>
      <c r="Q49" s="15" t="s">
        <v>111</v>
      </c>
      <c r="R49" s="116">
        <f t="shared" si="0"/>
        <v>50.144242673588998</v>
      </c>
      <c r="S49" s="47">
        <f t="shared" si="0"/>
        <v>24.634263832892771</v>
      </c>
      <c r="T49" s="47">
        <f t="shared" si="0"/>
        <v>10.766318774697439</v>
      </c>
      <c r="U49" s="47">
        <f t="shared" si="0"/>
        <v>14.455174718820778</v>
      </c>
      <c r="V49" s="116">
        <f>0.49/(0.49+1.51)*100</f>
        <v>24.5</v>
      </c>
      <c r="W49" s="145">
        <f t="shared" si="19"/>
        <v>75.5</v>
      </c>
      <c r="X49" s="48">
        <f>13.6/$R$2/(13.6/$R$2 + 28.9/$S$2 + 0.85/$T$2)*100</f>
        <v>20.542331353096476</v>
      </c>
      <c r="Y49" s="48">
        <f t="shared" si="12"/>
        <v>77.812795607885292</v>
      </c>
      <c r="Z49" s="48">
        <f>0.85/$T$2/(13.6/$R$2 + 28.9/$S$2 + 0.85/$T$2)*100</f>
        <v>1.6448730390182398</v>
      </c>
      <c r="AA49" s="144">
        <f>4.97/R$2/(4.97/$R$2 + 16.7/$S$2 + 21.7/$T$2)*100</f>
        <v>7.9469453234536678</v>
      </c>
      <c r="AB49" s="48">
        <f t="shared" si="20"/>
        <v>47.599529665907461</v>
      </c>
      <c r="AC49" s="117">
        <f>21.7/T$2/(4.97/$R$2 + 16.7/$S$2 + 21.7/$T$2)*100</f>
        <v>44.453525010638877</v>
      </c>
      <c r="AD49" s="48" t="s">
        <v>158</v>
      </c>
      <c r="AE49" s="48" t="e">
        <f t="shared" si="21"/>
        <v>#VALUE!</v>
      </c>
      <c r="AF49" s="117" t="s">
        <v>158</v>
      </c>
      <c r="AG49" s="15" t="s">
        <v>69</v>
      </c>
      <c r="AH49" s="191" t="s">
        <v>70</v>
      </c>
      <c r="AI49" s="49"/>
      <c r="AJ49" s="49"/>
      <c r="AN49" s="22"/>
      <c r="AO49" s="22"/>
      <c r="AP49" s="22"/>
      <c r="AQ49" s="233" t="s">
        <v>73</v>
      </c>
      <c r="AR49" s="209"/>
      <c r="AS49" s="15">
        <v>43.3</v>
      </c>
      <c r="AT49" s="15">
        <v>20.100000000000001</v>
      </c>
      <c r="AU49" s="15">
        <v>8.1999999999999993</v>
      </c>
      <c r="AV49" s="210">
        <v>9.3000000000000007</v>
      </c>
      <c r="AW49" s="22">
        <f t="shared" si="22"/>
        <v>3.5444</v>
      </c>
      <c r="AX49" s="22">
        <f t="shared" si="13"/>
        <v>3.349132866031169</v>
      </c>
      <c r="AY49" s="22">
        <f t="shared" si="23"/>
        <v>3.1262415148939859</v>
      </c>
      <c r="AZ49" s="22">
        <f>20*$AC$2+78*$AD$2+2*$AE$2</f>
        <v>2.6408</v>
      </c>
      <c r="BA49" s="209"/>
      <c r="BB49" s="15">
        <f t="shared" si="14"/>
        <v>12.216454124816611</v>
      </c>
      <c r="BC49" s="15">
        <f t="shared" si="15"/>
        <v>6.0015534778765449</v>
      </c>
      <c r="BD49" s="15">
        <f t="shared" si="16"/>
        <v>2.6229579387688702</v>
      </c>
      <c r="BE49" s="210">
        <f t="shared" si="17"/>
        <v>3.5216601029990913</v>
      </c>
    </row>
    <row r="50" spans="1:57" s="25" customFormat="1" ht="14.4">
      <c r="A50" s="25" t="s">
        <v>252</v>
      </c>
      <c r="B50" s="53" t="s">
        <v>253</v>
      </c>
      <c r="C50" s="54" t="s">
        <v>254</v>
      </c>
      <c r="D50" s="54" t="s">
        <v>255</v>
      </c>
      <c r="E50" s="25" t="s">
        <v>61</v>
      </c>
      <c r="G50" s="25" t="s">
        <v>256</v>
      </c>
      <c r="H50" s="25" t="s">
        <v>257</v>
      </c>
      <c r="J50" s="25">
        <v>0</v>
      </c>
      <c r="K50" s="25">
        <v>0</v>
      </c>
      <c r="M50" s="25" t="s">
        <v>258</v>
      </c>
      <c r="N50" s="25" t="s">
        <v>259</v>
      </c>
      <c r="O50" s="25" t="s">
        <v>260</v>
      </c>
      <c r="P50" s="25">
        <v>0</v>
      </c>
      <c r="Q50" s="25" t="s">
        <v>261</v>
      </c>
      <c r="R50" s="118">
        <f t="shared" si="0"/>
        <v>52.525252525252533</v>
      </c>
      <c r="S50" s="55">
        <f t="shared" si="0"/>
        <v>26.262626262626267</v>
      </c>
      <c r="T50" s="55">
        <f t="shared" si="0"/>
        <v>11.111111111111111</v>
      </c>
      <c r="U50" s="55">
        <f t="shared" si="0"/>
        <v>10.1010101010101</v>
      </c>
      <c r="V50" s="118">
        <f>(25+30)/2</f>
        <v>27.5</v>
      </c>
      <c r="W50" s="146">
        <f t="shared" si="19"/>
        <v>72.5</v>
      </c>
      <c r="X50" s="55">
        <v>23</v>
      </c>
      <c r="Y50" s="56">
        <f t="shared" si="12"/>
        <v>70</v>
      </c>
      <c r="Z50" s="56">
        <v>7</v>
      </c>
      <c r="AA50" s="147">
        <f>(14.3+13.4)/2</f>
        <v>13.850000000000001</v>
      </c>
      <c r="AB50" s="56">
        <f t="shared" si="20"/>
        <v>51.250000000000007</v>
      </c>
      <c r="AC50" s="119">
        <f>(34+35.8)/2</f>
        <v>34.9</v>
      </c>
      <c r="AD50" s="56">
        <f>(50+55)/2</f>
        <v>52.5</v>
      </c>
      <c r="AE50" s="56">
        <f t="shared" si="21"/>
        <v>46</v>
      </c>
      <c r="AF50" s="119">
        <f>(1+2)/2</f>
        <v>1.5</v>
      </c>
      <c r="AG50" s="25" t="s">
        <v>262</v>
      </c>
      <c r="AH50" s="57" t="s">
        <v>263</v>
      </c>
      <c r="AI50" s="193" t="s">
        <v>264</v>
      </c>
      <c r="AJ50" s="193" t="s">
        <v>265</v>
      </c>
      <c r="AN50" s="36"/>
      <c r="AO50" s="36"/>
      <c r="AP50" s="36"/>
      <c r="AQ50" s="234" t="s">
        <v>266</v>
      </c>
      <c r="AR50" s="228"/>
      <c r="AS50" s="212" t="s">
        <v>90</v>
      </c>
      <c r="AT50" s="212" t="s">
        <v>90</v>
      </c>
      <c r="AU50" s="212" t="s">
        <v>90</v>
      </c>
      <c r="AV50" s="213" t="s">
        <v>90</v>
      </c>
      <c r="AW50" s="36">
        <f t="shared" si="22"/>
        <v>3.5780000000000003</v>
      </c>
      <c r="AX50" s="36">
        <f t="shared" si="13"/>
        <v>3.3515000000000001</v>
      </c>
      <c r="AY50" s="36">
        <f t="shared" si="23"/>
        <v>3.1991750000000003</v>
      </c>
      <c r="AZ50" s="36">
        <f t="shared" ref="AZ50:AZ55" si="25">AD50*$AC$2+AE50*$AD$2+AF50*$AE$2</f>
        <v>2.6768500000000004</v>
      </c>
      <c r="BA50" s="211"/>
      <c r="BB50" s="212">
        <v>52</v>
      </c>
      <c r="BC50" s="212">
        <v>26</v>
      </c>
      <c r="BD50" s="212">
        <v>11</v>
      </c>
      <c r="BE50" s="213">
        <v>10</v>
      </c>
    </row>
    <row r="51" spans="1:57" s="25" customFormat="1">
      <c r="A51" s="25" t="s">
        <v>267</v>
      </c>
      <c r="B51" s="53" t="s">
        <v>253</v>
      </c>
      <c r="C51" s="54" t="s">
        <v>254</v>
      </c>
      <c r="D51" s="54" t="s">
        <v>255</v>
      </c>
      <c r="E51" s="25" t="s">
        <v>61</v>
      </c>
      <c r="G51" s="25" t="s">
        <v>256</v>
      </c>
      <c r="H51" s="25" t="s">
        <v>257</v>
      </c>
      <c r="J51" s="25">
        <v>0</v>
      </c>
      <c r="K51" s="25">
        <v>0</v>
      </c>
      <c r="M51" s="25" t="s">
        <v>258</v>
      </c>
      <c r="N51" s="25" t="s">
        <v>259</v>
      </c>
      <c r="O51" s="25" t="s">
        <v>260</v>
      </c>
      <c r="P51" s="25">
        <v>0</v>
      </c>
      <c r="Q51" s="25" t="s">
        <v>268</v>
      </c>
      <c r="R51" s="118">
        <f t="shared" si="0"/>
        <v>52.525252525252533</v>
      </c>
      <c r="S51" s="55">
        <f t="shared" si="0"/>
        <v>26.262626262626267</v>
      </c>
      <c r="T51" s="55">
        <f t="shared" si="0"/>
        <v>11.111111111111111</v>
      </c>
      <c r="U51" s="55">
        <f t="shared" si="0"/>
        <v>10.1010101010101</v>
      </c>
      <c r="V51" s="118">
        <f>(25+30)/2</f>
        <v>27.5</v>
      </c>
      <c r="W51" s="146">
        <f t="shared" si="19"/>
        <v>72.5</v>
      </c>
      <c r="X51" s="55">
        <v>23</v>
      </c>
      <c r="Y51" s="56">
        <f t="shared" si="12"/>
        <v>70</v>
      </c>
      <c r="Z51" s="56">
        <v>7</v>
      </c>
      <c r="AA51" s="147">
        <f>(14.3+13.4)/2</f>
        <v>13.850000000000001</v>
      </c>
      <c r="AB51" s="56">
        <f t="shared" si="20"/>
        <v>51.250000000000007</v>
      </c>
      <c r="AC51" s="119">
        <f>(34+35.8)/2</f>
        <v>34.9</v>
      </c>
      <c r="AD51" s="56">
        <f>(50+55)/2</f>
        <v>52.5</v>
      </c>
      <c r="AE51" s="56">
        <f t="shared" si="21"/>
        <v>46</v>
      </c>
      <c r="AF51" s="119">
        <f>(1+2)/2</f>
        <v>1.5</v>
      </c>
      <c r="AG51" s="25" t="s">
        <v>69</v>
      </c>
      <c r="AH51" s="57" t="s">
        <v>263</v>
      </c>
      <c r="AI51" s="193" t="s">
        <v>264</v>
      </c>
      <c r="AJ51" s="193" t="s">
        <v>265</v>
      </c>
      <c r="AN51" s="36"/>
      <c r="AO51" s="36"/>
      <c r="AP51" s="36"/>
      <c r="AQ51" s="234" t="s">
        <v>266</v>
      </c>
      <c r="AR51" s="229"/>
      <c r="AS51" s="212" t="s">
        <v>90</v>
      </c>
      <c r="AT51" s="212" t="s">
        <v>90</v>
      </c>
      <c r="AU51" s="212" t="s">
        <v>90</v>
      </c>
      <c r="AV51" s="213" t="s">
        <v>90</v>
      </c>
      <c r="AW51" s="36">
        <f t="shared" si="22"/>
        <v>3.5780000000000003</v>
      </c>
      <c r="AX51" s="36">
        <f t="shared" si="13"/>
        <v>3.3515000000000001</v>
      </c>
      <c r="AY51" s="36">
        <f t="shared" si="23"/>
        <v>3.1991750000000003</v>
      </c>
      <c r="AZ51" s="36">
        <f t="shared" si="25"/>
        <v>2.6768500000000004</v>
      </c>
      <c r="BA51" s="211"/>
      <c r="BB51" s="212">
        <v>52</v>
      </c>
      <c r="BC51" s="212">
        <v>26</v>
      </c>
      <c r="BD51" s="212">
        <v>11</v>
      </c>
      <c r="BE51" s="213">
        <v>10</v>
      </c>
    </row>
    <row r="52" spans="1:57" s="25" customFormat="1">
      <c r="A52" s="25" t="s">
        <v>269</v>
      </c>
      <c r="B52" s="53" t="s">
        <v>253</v>
      </c>
      <c r="C52" s="54" t="s">
        <v>254</v>
      </c>
      <c r="D52" s="54" t="s">
        <v>255</v>
      </c>
      <c r="E52" s="25" t="s">
        <v>61</v>
      </c>
      <c r="G52" s="25" t="s">
        <v>256</v>
      </c>
      <c r="H52" s="25" t="s">
        <v>257</v>
      </c>
      <c r="J52" s="25">
        <v>0</v>
      </c>
      <c r="K52" s="25">
        <v>0</v>
      </c>
      <c r="M52" s="25" t="s">
        <v>258</v>
      </c>
      <c r="N52" s="25" t="s">
        <v>259</v>
      </c>
      <c r="O52" s="25" t="s">
        <v>260</v>
      </c>
      <c r="P52" s="25">
        <v>0</v>
      </c>
      <c r="Q52" s="25" t="s">
        <v>270</v>
      </c>
      <c r="R52" s="118">
        <f t="shared" si="0"/>
        <v>52.525252525252533</v>
      </c>
      <c r="S52" s="55">
        <f t="shared" si="0"/>
        <v>26.262626262626267</v>
      </c>
      <c r="T52" s="55">
        <f t="shared" si="0"/>
        <v>11.111111111111111</v>
      </c>
      <c r="U52" s="55">
        <f t="shared" si="0"/>
        <v>10.1010101010101</v>
      </c>
      <c r="V52" s="118">
        <f>(25+30)/2</f>
        <v>27.5</v>
      </c>
      <c r="W52" s="146">
        <f t="shared" si="19"/>
        <v>72.5</v>
      </c>
      <c r="X52" s="55">
        <v>23</v>
      </c>
      <c r="Y52" s="56">
        <f t="shared" si="12"/>
        <v>70</v>
      </c>
      <c r="Z52" s="56">
        <v>7</v>
      </c>
      <c r="AA52" s="147">
        <f>(14.3+13.4)/2</f>
        <v>13.850000000000001</v>
      </c>
      <c r="AB52" s="56">
        <f t="shared" si="20"/>
        <v>51.250000000000007</v>
      </c>
      <c r="AC52" s="119">
        <f>(34+35.8)/2</f>
        <v>34.9</v>
      </c>
      <c r="AD52" s="56">
        <f>(50+55)/2</f>
        <v>52.5</v>
      </c>
      <c r="AE52" s="56">
        <f t="shared" si="21"/>
        <v>46</v>
      </c>
      <c r="AF52" s="119">
        <f>(1+2)/2</f>
        <v>1.5</v>
      </c>
      <c r="AG52" s="25" t="s">
        <v>69</v>
      </c>
      <c r="AH52" s="57" t="s">
        <v>263</v>
      </c>
      <c r="AI52" s="193" t="s">
        <v>264</v>
      </c>
      <c r="AJ52" s="193" t="s">
        <v>265</v>
      </c>
      <c r="AN52" s="36"/>
      <c r="AO52" s="36"/>
      <c r="AP52" s="36"/>
      <c r="AQ52" s="234" t="s">
        <v>266</v>
      </c>
      <c r="AR52" s="229"/>
      <c r="AS52" s="212" t="s">
        <v>90</v>
      </c>
      <c r="AT52" s="212" t="s">
        <v>90</v>
      </c>
      <c r="AU52" s="212" t="s">
        <v>90</v>
      </c>
      <c r="AV52" s="213" t="s">
        <v>90</v>
      </c>
      <c r="AW52" s="36">
        <f t="shared" si="22"/>
        <v>3.5780000000000003</v>
      </c>
      <c r="AX52" s="36">
        <f t="shared" si="13"/>
        <v>3.3515000000000001</v>
      </c>
      <c r="AY52" s="36">
        <f t="shared" si="23"/>
        <v>3.1991750000000003</v>
      </c>
      <c r="AZ52" s="36">
        <f t="shared" si="25"/>
        <v>2.6768500000000004</v>
      </c>
      <c r="BA52" s="211"/>
      <c r="BB52" s="212">
        <v>52</v>
      </c>
      <c r="BC52" s="212">
        <v>26</v>
      </c>
      <c r="BD52" s="212">
        <v>11</v>
      </c>
      <c r="BE52" s="213">
        <v>10</v>
      </c>
    </row>
    <row r="53" spans="1:57" s="25" customFormat="1" ht="14.4">
      <c r="A53" s="25" t="s">
        <v>271</v>
      </c>
      <c r="B53" s="53" t="s">
        <v>272</v>
      </c>
      <c r="C53" s="54" t="s">
        <v>254</v>
      </c>
      <c r="D53" s="54" t="s">
        <v>255</v>
      </c>
      <c r="E53" s="25" t="s">
        <v>61</v>
      </c>
      <c r="G53" s="25" t="s">
        <v>256</v>
      </c>
      <c r="H53" s="25" t="s">
        <v>273</v>
      </c>
      <c r="J53" s="25">
        <v>0</v>
      </c>
      <c r="K53" s="25">
        <v>100</v>
      </c>
      <c r="L53" s="25" t="s">
        <v>64</v>
      </c>
      <c r="M53" s="25" t="s">
        <v>26</v>
      </c>
      <c r="N53" s="25" t="s">
        <v>274</v>
      </c>
      <c r="O53" s="25" t="s">
        <v>275</v>
      </c>
      <c r="P53" s="25">
        <v>0</v>
      </c>
      <c r="R53" s="118">
        <f t="shared" si="0"/>
        <v>13.459516298633019</v>
      </c>
      <c r="S53" s="55">
        <f t="shared" si="0"/>
        <v>0</v>
      </c>
      <c r="T53" s="55">
        <f t="shared" si="0"/>
        <v>79.390115667718192</v>
      </c>
      <c r="U53" s="55">
        <f t="shared" si="0"/>
        <v>7.1503680336487907</v>
      </c>
      <c r="V53" s="118">
        <v>69</v>
      </c>
      <c r="W53" s="146">
        <f t="shared" si="19"/>
        <v>31</v>
      </c>
      <c r="X53" s="56">
        <v>0</v>
      </c>
      <c r="Y53" s="56">
        <v>0</v>
      </c>
      <c r="Z53" s="56">
        <v>0</v>
      </c>
      <c r="AA53" s="147">
        <v>24</v>
      </c>
      <c r="AB53" s="56">
        <f t="shared" si="20"/>
        <v>37</v>
      </c>
      <c r="AC53" s="119">
        <v>39</v>
      </c>
      <c r="AD53" s="56">
        <v>31.8</v>
      </c>
      <c r="AE53" s="56">
        <f t="shared" si="21"/>
        <v>62.6</v>
      </c>
      <c r="AF53" s="119">
        <v>5.6</v>
      </c>
      <c r="AG53" s="25" t="s">
        <v>262</v>
      </c>
      <c r="AH53" s="194" t="s">
        <v>276</v>
      </c>
      <c r="AI53" s="58"/>
      <c r="AJ53" s="58"/>
      <c r="AN53" s="36"/>
      <c r="AO53" s="36"/>
      <c r="AP53" s="36"/>
      <c r="AQ53" s="234" t="s">
        <v>89</v>
      </c>
      <c r="AR53" s="228"/>
      <c r="AS53" s="212" t="s">
        <v>90</v>
      </c>
      <c r="AT53" s="212" t="s">
        <v>90</v>
      </c>
      <c r="AU53" s="212" t="s">
        <v>90</v>
      </c>
      <c r="AV53" s="213" t="s">
        <v>90</v>
      </c>
      <c r="AW53" s="36">
        <f t="shared" si="22"/>
        <v>4.0427999999999997</v>
      </c>
      <c r="AX53" s="36">
        <v>1</v>
      </c>
      <c r="AY53" s="36">
        <f t="shared" si="23"/>
        <v>3.2629999999999999</v>
      </c>
      <c r="AZ53" s="36">
        <f t="shared" si="25"/>
        <v>2.6516199999999999</v>
      </c>
      <c r="BA53" s="211"/>
      <c r="BB53" s="212">
        <v>12.8</v>
      </c>
      <c r="BC53" s="212">
        <v>0</v>
      </c>
      <c r="BD53" s="212">
        <v>75.5</v>
      </c>
      <c r="BE53" s="213">
        <v>6.8</v>
      </c>
    </row>
    <row r="54" spans="1:57" s="25" customFormat="1">
      <c r="A54" s="25" t="s">
        <v>277</v>
      </c>
      <c r="B54" s="53" t="s">
        <v>278</v>
      </c>
      <c r="C54" s="54" t="s">
        <v>162</v>
      </c>
      <c r="D54" s="54" t="s">
        <v>279</v>
      </c>
      <c r="E54" s="25" t="s">
        <v>280</v>
      </c>
      <c r="G54" s="25" t="s">
        <v>281</v>
      </c>
      <c r="H54" s="25" t="s">
        <v>282</v>
      </c>
      <c r="J54" s="25">
        <v>0</v>
      </c>
      <c r="K54" s="25">
        <v>200</v>
      </c>
      <c r="L54" s="25" t="s">
        <v>64</v>
      </c>
      <c r="M54" s="25" t="s">
        <v>283</v>
      </c>
      <c r="N54" s="25" t="s">
        <v>284</v>
      </c>
      <c r="O54" s="25" t="s">
        <v>285</v>
      </c>
      <c r="P54" s="25">
        <v>0</v>
      </c>
      <c r="Q54" s="25" t="s">
        <v>286</v>
      </c>
      <c r="R54" s="118">
        <f t="shared" si="0"/>
        <v>0.05</v>
      </c>
      <c r="S54" s="55">
        <f t="shared" si="0"/>
        <v>0.05</v>
      </c>
      <c r="T54" s="55">
        <f t="shared" si="0"/>
        <v>1.95</v>
      </c>
      <c r="U54" s="55">
        <f t="shared" si="0"/>
        <v>97.95</v>
      </c>
      <c r="V54" s="118">
        <f>(60+67)/2</f>
        <v>63.5</v>
      </c>
      <c r="W54" s="146">
        <f t="shared" si="19"/>
        <v>36.5</v>
      </c>
      <c r="X54" s="56">
        <v>37</v>
      </c>
      <c r="Y54" s="56">
        <f t="shared" ref="Y54:Y90" si="26">100 - $X54 - $Z54</f>
        <v>61</v>
      </c>
      <c r="Z54" s="56">
        <v>2</v>
      </c>
      <c r="AA54" s="147">
        <v>15</v>
      </c>
      <c r="AB54" s="56">
        <f t="shared" si="20"/>
        <v>42</v>
      </c>
      <c r="AC54" s="119">
        <v>43</v>
      </c>
      <c r="AD54" s="56">
        <v>97</v>
      </c>
      <c r="AE54" s="56">
        <f t="shared" si="21"/>
        <v>2</v>
      </c>
      <c r="AF54" s="119">
        <v>1</v>
      </c>
      <c r="AG54" s="25" t="s">
        <v>69</v>
      </c>
      <c r="AH54" s="57" t="s">
        <v>287</v>
      </c>
      <c r="AI54" s="58"/>
      <c r="AJ54" s="58"/>
      <c r="AM54" s="25" t="s">
        <v>288</v>
      </c>
      <c r="AN54" s="36"/>
      <c r="AO54" s="36"/>
      <c r="AP54" s="36"/>
      <c r="AQ54" s="234" t="s">
        <v>289</v>
      </c>
      <c r="AR54" s="229"/>
      <c r="AS54" s="212" t="s">
        <v>90</v>
      </c>
      <c r="AT54" s="212" t="s">
        <v>90</v>
      </c>
      <c r="AU54" s="212" t="s">
        <v>90</v>
      </c>
      <c r="AV54" s="213" t="s">
        <v>90</v>
      </c>
      <c r="AW54" s="36">
        <f t="shared" si="22"/>
        <v>3.9811999999999994</v>
      </c>
      <c r="AX54" s="36">
        <f t="shared" ref="AX54:AX90" si="27">X54*$Z$2+Y54*$AA$2+Z54*$AB$2</f>
        <v>3.4714999999999998</v>
      </c>
      <c r="AY54" s="36">
        <f t="shared" si="23"/>
        <v>3.1835</v>
      </c>
      <c r="AZ54" s="36">
        <f t="shared" si="25"/>
        <v>2.7261000000000002</v>
      </c>
      <c r="BA54" s="211"/>
      <c r="BB54" s="202">
        <v>0.05</v>
      </c>
      <c r="BC54" s="202">
        <v>0.05</v>
      </c>
      <c r="BD54" s="202">
        <v>1.95</v>
      </c>
      <c r="BE54" s="214">
        <v>97.95</v>
      </c>
    </row>
    <row r="55" spans="1:57" s="25" customFormat="1" ht="14.4">
      <c r="A55" s="25" t="s">
        <v>290</v>
      </c>
      <c r="B55" s="53" t="s">
        <v>291</v>
      </c>
      <c r="C55" s="54" t="s">
        <v>162</v>
      </c>
      <c r="D55" s="54" t="s">
        <v>279</v>
      </c>
      <c r="E55" s="25" t="s">
        <v>280</v>
      </c>
      <c r="G55" s="25" t="s">
        <v>292</v>
      </c>
      <c r="H55" s="25" t="s">
        <v>293</v>
      </c>
      <c r="I55" s="25" t="s">
        <v>64</v>
      </c>
      <c r="J55" s="25">
        <v>0</v>
      </c>
      <c r="K55" s="25">
        <v>0</v>
      </c>
      <c r="M55" s="25" t="s">
        <v>187</v>
      </c>
      <c r="N55" s="25" t="s">
        <v>294</v>
      </c>
      <c r="O55" s="25" t="s">
        <v>295</v>
      </c>
      <c r="P55" s="25">
        <v>0</v>
      </c>
      <c r="Q55" s="25" t="s">
        <v>296</v>
      </c>
      <c r="R55" s="118">
        <f t="shared" si="0"/>
        <v>0</v>
      </c>
      <c r="S55" s="55">
        <f t="shared" si="0"/>
        <v>51.408450704225352</v>
      </c>
      <c r="T55" s="55">
        <f t="shared" si="0"/>
        <v>0.1006036217303823</v>
      </c>
      <c r="U55" s="55">
        <f t="shared" si="0"/>
        <v>48.490945674044269</v>
      </c>
      <c r="V55" s="118">
        <v>0</v>
      </c>
      <c r="W55" s="146">
        <v>0</v>
      </c>
      <c r="X55" s="56">
        <v>19</v>
      </c>
      <c r="Y55" s="56">
        <f t="shared" si="26"/>
        <v>78</v>
      </c>
      <c r="Z55" s="56">
        <v>3</v>
      </c>
      <c r="AA55" s="147">
        <v>8</v>
      </c>
      <c r="AB55" s="56">
        <f t="shared" si="20"/>
        <v>45</v>
      </c>
      <c r="AC55" s="119">
        <v>47</v>
      </c>
      <c r="AD55" s="56">
        <v>94</v>
      </c>
      <c r="AE55" s="56">
        <f t="shared" si="21"/>
        <v>5</v>
      </c>
      <c r="AF55" s="119">
        <v>1</v>
      </c>
      <c r="AG55" s="25" t="s">
        <v>262</v>
      </c>
      <c r="AH55" s="57" t="s">
        <v>297</v>
      </c>
      <c r="AI55" s="58"/>
      <c r="AJ55" s="58"/>
      <c r="AN55" s="36"/>
      <c r="AO55" s="36"/>
      <c r="AP55" s="36"/>
      <c r="AQ55" s="234" t="s">
        <v>89</v>
      </c>
      <c r="AR55" s="228"/>
      <c r="AS55" s="212" t="s">
        <v>90</v>
      </c>
      <c r="AT55" s="212" t="s">
        <v>90</v>
      </c>
      <c r="AU55" s="212" t="s">
        <v>90</v>
      </c>
      <c r="AV55" s="213" t="s">
        <v>90</v>
      </c>
      <c r="AW55" s="36">
        <v>1</v>
      </c>
      <c r="AX55" s="36">
        <f t="shared" si="27"/>
        <v>3.3335000000000004</v>
      </c>
      <c r="AY55" s="36">
        <f t="shared" si="23"/>
        <v>3.1189999999999998</v>
      </c>
      <c r="AZ55" s="36">
        <f t="shared" si="25"/>
        <v>2.7228000000000003</v>
      </c>
      <c r="BA55" s="211"/>
      <c r="BB55" s="212">
        <v>0</v>
      </c>
      <c r="BC55" s="212">
        <v>51.1</v>
      </c>
      <c r="BD55" s="212">
        <v>0.1</v>
      </c>
      <c r="BE55" s="213">
        <v>48.2</v>
      </c>
    </row>
    <row r="56" spans="1:57" s="25" customFormat="1" ht="14.4">
      <c r="A56" s="25" t="s">
        <v>298</v>
      </c>
      <c r="B56" s="53" t="s">
        <v>299</v>
      </c>
      <c r="C56" s="54" t="s">
        <v>162</v>
      </c>
      <c r="D56" s="54" t="s">
        <v>60</v>
      </c>
      <c r="E56" s="25" t="s">
        <v>61</v>
      </c>
      <c r="G56" s="25" t="s">
        <v>300</v>
      </c>
      <c r="H56" s="25" t="s">
        <v>301</v>
      </c>
      <c r="J56" s="25">
        <v>0</v>
      </c>
      <c r="K56" s="25">
        <v>0</v>
      </c>
      <c r="M56" s="25" t="s">
        <v>302</v>
      </c>
      <c r="N56" s="25" t="s">
        <v>303</v>
      </c>
      <c r="P56" s="25">
        <v>0</v>
      </c>
      <c r="R56" s="118">
        <f t="shared" si="0"/>
        <v>51.425554382259762</v>
      </c>
      <c r="S56" s="55">
        <f t="shared" si="0"/>
        <v>46.568109820485738</v>
      </c>
      <c r="T56" s="55">
        <f t="shared" si="0"/>
        <v>2.0063357972544873</v>
      </c>
      <c r="U56" s="55">
        <f t="shared" si="0"/>
        <v>0</v>
      </c>
      <c r="V56" s="118">
        <v>14</v>
      </c>
      <c r="W56" s="146">
        <f t="shared" ref="W56:W62" si="28">100 - $V56</f>
        <v>86</v>
      </c>
      <c r="X56" s="56">
        <v>12.8</v>
      </c>
      <c r="Y56" s="56">
        <f t="shared" si="26"/>
        <v>83.9</v>
      </c>
      <c r="Z56" s="56">
        <v>3.3</v>
      </c>
      <c r="AA56" s="147">
        <v>6.5</v>
      </c>
      <c r="AB56" s="56">
        <f t="shared" si="20"/>
        <v>51.2</v>
      </c>
      <c r="AC56" s="119">
        <v>42.3</v>
      </c>
      <c r="AD56" s="56">
        <v>0</v>
      </c>
      <c r="AE56" s="56">
        <v>0</v>
      </c>
      <c r="AF56" s="119">
        <v>0</v>
      </c>
      <c r="AG56" s="25" t="s">
        <v>69</v>
      </c>
      <c r="AH56" s="193" t="s">
        <v>304</v>
      </c>
      <c r="AI56" s="193" t="s">
        <v>305</v>
      </c>
      <c r="AJ56" s="193"/>
      <c r="AN56" s="36"/>
      <c r="AO56" s="36"/>
      <c r="AP56" s="36"/>
      <c r="AQ56" s="234" t="s">
        <v>89</v>
      </c>
      <c r="AR56" s="228"/>
      <c r="AS56" s="212" t="s">
        <v>90</v>
      </c>
      <c r="AT56" s="212" t="s">
        <v>90</v>
      </c>
      <c r="AU56" s="212" t="s">
        <v>90</v>
      </c>
      <c r="AV56" s="213" t="s">
        <v>90</v>
      </c>
      <c r="AW56" s="36">
        <f t="shared" ref="AW56:AW62" si="29">V56*$X$2 + W56*$Y$2</f>
        <v>3.4267999999999996</v>
      </c>
      <c r="AX56" s="36">
        <f t="shared" si="27"/>
        <v>3.2861000000000002</v>
      </c>
      <c r="AY56" s="36">
        <f t="shared" si="23"/>
        <v>3.1218500000000002</v>
      </c>
      <c r="AZ56" s="36">
        <v>1</v>
      </c>
      <c r="BA56" s="211"/>
      <c r="BB56" s="212">
        <v>48.7</v>
      </c>
      <c r="BC56" s="212">
        <v>44.1</v>
      </c>
      <c r="BD56" s="212">
        <v>1.9</v>
      </c>
      <c r="BE56" s="213">
        <v>0</v>
      </c>
    </row>
    <row r="57" spans="1:57" s="25" customFormat="1" ht="14.4">
      <c r="A57" s="25" t="s">
        <v>306</v>
      </c>
      <c r="B57" s="53" t="s">
        <v>307</v>
      </c>
      <c r="C57" s="54" t="s">
        <v>186</v>
      </c>
      <c r="D57" s="54" t="s">
        <v>60</v>
      </c>
      <c r="E57" s="25" t="s">
        <v>61</v>
      </c>
      <c r="G57" s="25" t="s">
        <v>300</v>
      </c>
      <c r="H57" s="25" t="s">
        <v>308</v>
      </c>
      <c r="J57" s="25">
        <v>0</v>
      </c>
      <c r="K57" s="25">
        <v>0</v>
      </c>
      <c r="M57" s="25" t="s">
        <v>302</v>
      </c>
      <c r="N57" s="25" t="s">
        <v>309</v>
      </c>
      <c r="P57" s="25">
        <v>0</v>
      </c>
      <c r="R57" s="118">
        <f t="shared" si="0"/>
        <v>26.119402985074625</v>
      </c>
      <c r="S57" s="55">
        <f t="shared" si="0"/>
        <v>64.054726368159194</v>
      </c>
      <c r="T57" s="55">
        <f t="shared" si="0"/>
        <v>2.4875621890547261</v>
      </c>
      <c r="U57" s="55">
        <f t="shared" si="0"/>
        <v>7.3383084577114426</v>
      </c>
      <c r="V57" s="118">
        <v>4.2</v>
      </c>
      <c r="W57" s="146">
        <f t="shared" si="28"/>
        <v>95.8</v>
      </c>
      <c r="X57" s="56">
        <v>6.4</v>
      </c>
      <c r="Y57" s="56">
        <f t="shared" si="26"/>
        <v>90.5</v>
      </c>
      <c r="Z57" s="56">
        <v>3.1</v>
      </c>
      <c r="AA57" s="147">
        <v>2.8</v>
      </c>
      <c r="AB57" s="56">
        <f t="shared" si="20"/>
        <v>54.1</v>
      </c>
      <c r="AC57" s="119">
        <v>43.1</v>
      </c>
      <c r="AD57" s="56">
        <v>19.399999999999999</v>
      </c>
      <c r="AE57" s="56">
        <f>100 - $AD57 - $AF57</f>
        <v>79</v>
      </c>
      <c r="AF57" s="119">
        <v>1.6</v>
      </c>
      <c r="AG57" s="25" t="s">
        <v>69</v>
      </c>
      <c r="AH57" s="193" t="s">
        <v>310</v>
      </c>
      <c r="AI57" s="194" t="s">
        <v>311</v>
      </c>
      <c r="AJ57" s="194"/>
      <c r="AN57" s="36"/>
      <c r="AO57" s="36"/>
      <c r="AP57" s="36"/>
      <c r="AQ57" s="234" t="s">
        <v>289</v>
      </c>
      <c r="AR57" s="228"/>
      <c r="AS57" s="212" t="s">
        <v>90</v>
      </c>
      <c r="AT57" s="212" t="s">
        <v>90</v>
      </c>
      <c r="AU57" s="212" t="s">
        <v>90</v>
      </c>
      <c r="AV57" s="213" t="s">
        <v>90</v>
      </c>
      <c r="AW57" s="36">
        <f t="shared" si="29"/>
        <v>3.31704</v>
      </c>
      <c r="AX57" s="36">
        <f t="shared" si="27"/>
        <v>3.2387000000000001</v>
      </c>
      <c r="AY57" s="36">
        <f t="shared" si="23"/>
        <v>3.0917000000000003</v>
      </c>
      <c r="AZ57" s="36">
        <f>AD57*$AC$2+AE57*$AD$2+AF57*$AE$2</f>
        <v>2.6403799999999999</v>
      </c>
      <c r="BA57" s="211"/>
      <c r="BB57" s="212">
        <v>21</v>
      </c>
      <c r="BC57" s="212">
        <v>51.5</v>
      </c>
      <c r="BD57" s="212">
        <v>2</v>
      </c>
      <c r="BE57" s="213">
        <v>5.9</v>
      </c>
    </row>
    <row r="58" spans="1:57" s="25" customFormat="1" ht="14.4">
      <c r="A58" s="25" t="s">
        <v>312</v>
      </c>
      <c r="B58" s="53" t="s">
        <v>313</v>
      </c>
      <c r="C58" s="54" t="s">
        <v>186</v>
      </c>
      <c r="D58" s="54" t="s">
        <v>60</v>
      </c>
      <c r="E58" s="25" t="s">
        <v>61</v>
      </c>
      <c r="G58" s="25" t="s">
        <v>300</v>
      </c>
      <c r="H58" s="25" t="s">
        <v>308</v>
      </c>
      <c r="J58" s="25">
        <v>0</v>
      </c>
      <c r="K58" s="25">
        <v>0</v>
      </c>
      <c r="M58" s="25" t="s">
        <v>302</v>
      </c>
      <c r="N58" s="25" t="s">
        <v>314</v>
      </c>
      <c r="P58" s="25">
        <v>0</v>
      </c>
      <c r="R58" s="118">
        <f t="shared" si="0"/>
        <v>24.583333333333332</v>
      </c>
      <c r="S58" s="55">
        <f t="shared" si="0"/>
        <v>53.611111111111107</v>
      </c>
      <c r="T58" s="55">
        <f t="shared" si="0"/>
        <v>0.69444444444444442</v>
      </c>
      <c r="U58" s="55">
        <f t="shared" si="0"/>
        <v>21.111111111111111</v>
      </c>
      <c r="V58" s="118">
        <v>8.3000000000000007</v>
      </c>
      <c r="W58" s="146">
        <f t="shared" si="28"/>
        <v>91.7</v>
      </c>
      <c r="X58" s="56">
        <v>8.1999999999999993</v>
      </c>
      <c r="Y58" s="56">
        <f t="shared" si="26"/>
        <v>90</v>
      </c>
      <c r="Z58" s="56">
        <v>1.8</v>
      </c>
      <c r="AA58" s="147">
        <v>3.5</v>
      </c>
      <c r="AB58" s="56">
        <f t="shared" si="20"/>
        <v>52.2</v>
      </c>
      <c r="AC58" s="119">
        <v>44.3</v>
      </c>
      <c r="AD58" s="56">
        <v>23.8</v>
      </c>
      <c r="AE58" s="56">
        <f>100 - $AD58 - $AF58</f>
        <v>74.400000000000006</v>
      </c>
      <c r="AF58" s="119">
        <v>1.8</v>
      </c>
      <c r="AG58" s="25" t="s">
        <v>69</v>
      </c>
      <c r="AH58" s="193" t="s">
        <v>310</v>
      </c>
      <c r="AI58" s="194" t="s">
        <v>305</v>
      </c>
      <c r="AJ58" s="58"/>
      <c r="AN58" s="36"/>
      <c r="AO58" s="36"/>
      <c r="AP58" s="36"/>
      <c r="AQ58" s="234" t="s">
        <v>89</v>
      </c>
      <c r="AR58" s="228"/>
      <c r="AS58" s="212" t="s">
        <v>90</v>
      </c>
      <c r="AT58" s="212" t="s">
        <v>90</v>
      </c>
      <c r="AU58" s="212" t="s">
        <v>90</v>
      </c>
      <c r="AV58" s="213" t="s">
        <v>90</v>
      </c>
      <c r="AW58" s="36">
        <f t="shared" si="29"/>
        <v>3.3629600000000002</v>
      </c>
      <c r="AX58" s="36">
        <f t="shared" si="27"/>
        <v>3.2561</v>
      </c>
      <c r="AY58" s="36">
        <f t="shared" si="23"/>
        <v>3.09335</v>
      </c>
      <c r="AZ58" s="36">
        <f>AD58*$AC$2+AE58*$AD$2+AF58*$AE$2</f>
        <v>2.6451000000000002</v>
      </c>
      <c r="BA58" s="211"/>
      <c r="BB58" s="212">
        <v>17.7</v>
      </c>
      <c r="BC58" s="212">
        <v>38.6</v>
      </c>
      <c r="BD58" s="212">
        <v>0.5</v>
      </c>
      <c r="BE58" s="213">
        <v>15.2</v>
      </c>
    </row>
    <row r="59" spans="1:57" s="25" customFormat="1" ht="14.4">
      <c r="A59" s="25" t="s">
        <v>315</v>
      </c>
      <c r="B59" s="53" t="s">
        <v>316</v>
      </c>
      <c r="C59" s="54" t="s">
        <v>186</v>
      </c>
      <c r="D59" s="54" t="s">
        <v>60</v>
      </c>
      <c r="E59" s="25" t="s">
        <v>61</v>
      </c>
      <c r="G59" s="25" t="s">
        <v>300</v>
      </c>
      <c r="H59" s="25" t="s">
        <v>301</v>
      </c>
      <c r="J59" s="25">
        <v>0</v>
      </c>
      <c r="K59" s="25">
        <v>0</v>
      </c>
      <c r="M59" s="25" t="s">
        <v>302</v>
      </c>
      <c r="N59" s="25" t="s">
        <v>317</v>
      </c>
      <c r="O59" s="25" t="s">
        <v>318</v>
      </c>
      <c r="P59" s="25">
        <v>0</v>
      </c>
      <c r="R59" s="118">
        <f t="shared" si="0"/>
        <v>83.314020857473921</v>
      </c>
      <c r="S59" s="55">
        <f t="shared" si="0"/>
        <v>11.23986095017381</v>
      </c>
      <c r="T59" s="55">
        <f t="shared" si="0"/>
        <v>5.4461181923522588</v>
      </c>
      <c r="U59" s="55">
        <f t="shared" si="0"/>
        <v>0</v>
      </c>
      <c r="V59" s="118">
        <f>7.59/$R$2/(7.59/$R$2+50.8/$S$2)*100</f>
        <v>7.7335602369528118</v>
      </c>
      <c r="W59" s="146">
        <f t="shared" si="28"/>
        <v>92.266439763047188</v>
      </c>
      <c r="X59" s="56">
        <v>13.7</v>
      </c>
      <c r="Y59" s="56">
        <f t="shared" si="26"/>
        <v>83.7</v>
      </c>
      <c r="Z59" s="56">
        <v>2.6</v>
      </c>
      <c r="AA59" s="147">
        <v>6.48</v>
      </c>
      <c r="AB59" s="56">
        <f t="shared" si="20"/>
        <v>51.419999999999995</v>
      </c>
      <c r="AC59" s="119">
        <v>42.1</v>
      </c>
      <c r="AD59" s="56">
        <v>0</v>
      </c>
      <c r="AE59" s="56">
        <v>0</v>
      </c>
      <c r="AF59" s="119">
        <v>0</v>
      </c>
      <c r="AG59" s="25" t="s">
        <v>69</v>
      </c>
      <c r="AH59" s="194" t="s">
        <v>305</v>
      </c>
      <c r="AI59" s="58"/>
      <c r="AJ59" s="58"/>
      <c r="AN59" s="36"/>
      <c r="AO59" s="36"/>
      <c r="AP59" s="36"/>
      <c r="AQ59" s="234" t="s">
        <v>89</v>
      </c>
      <c r="AR59" s="228"/>
      <c r="AS59" s="212" t="s">
        <v>90</v>
      </c>
      <c r="AT59" s="212" t="s">
        <v>90</v>
      </c>
      <c r="AU59" s="212" t="s">
        <v>90</v>
      </c>
      <c r="AV59" s="213" t="s">
        <v>90</v>
      </c>
      <c r="AW59" s="36">
        <f t="shared" si="29"/>
        <v>3.3566158746538717</v>
      </c>
      <c r="AX59" s="36">
        <f t="shared" si="27"/>
        <v>3.2949500000000005</v>
      </c>
      <c r="AY59" s="36">
        <f t="shared" si="23"/>
        <v>3.1222999999999996</v>
      </c>
      <c r="AZ59" s="36">
        <v>1</v>
      </c>
      <c r="BA59" s="211"/>
      <c r="BB59" s="212">
        <v>71.900000000000006</v>
      </c>
      <c r="BC59" s="212">
        <v>9.6999999999999993</v>
      </c>
      <c r="BD59" s="212">
        <v>4.7</v>
      </c>
      <c r="BE59" s="213">
        <v>0</v>
      </c>
    </row>
    <row r="60" spans="1:57" s="25" customFormat="1" ht="14.4">
      <c r="A60" s="25" t="s">
        <v>319</v>
      </c>
      <c r="B60" s="53" t="s">
        <v>320</v>
      </c>
      <c r="C60" s="54" t="s">
        <v>186</v>
      </c>
      <c r="D60" s="54" t="s">
        <v>60</v>
      </c>
      <c r="E60" s="25" t="s">
        <v>61</v>
      </c>
      <c r="G60" s="25" t="s">
        <v>300</v>
      </c>
      <c r="H60" s="25" t="s">
        <v>321</v>
      </c>
      <c r="J60" s="25">
        <v>0</v>
      </c>
      <c r="K60" s="25">
        <v>0</v>
      </c>
      <c r="M60" s="25" t="s">
        <v>187</v>
      </c>
      <c r="N60" s="25" t="s">
        <v>259</v>
      </c>
      <c r="O60" s="25" t="s">
        <v>322</v>
      </c>
      <c r="P60" s="25">
        <v>0</v>
      </c>
      <c r="R60" s="118">
        <f t="shared" si="0"/>
        <v>31.66855845629966</v>
      </c>
      <c r="S60" s="55">
        <f t="shared" si="0"/>
        <v>43.927355278093081</v>
      </c>
      <c r="T60" s="55">
        <f t="shared" si="0"/>
        <v>8.2860385925085129</v>
      </c>
      <c r="U60" s="55">
        <f t="shared" si="0"/>
        <v>16.118047673098751</v>
      </c>
      <c r="V60" s="118">
        <f>10.2/R$2/(10.2/R$2 + 49.4/S$2)*100</f>
        <v>10.380823729259353</v>
      </c>
      <c r="W60" s="146">
        <f t="shared" si="28"/>
        <v>89.619176270740653</v>
      </c>
      <c r="X60" s="56">
        <v>9.99</v>
      </c>
      <c r="Y60" s="56">
        <f t="shared" si="26"/>
        <v>88.38000000000001</v>
      </c>
      <c r="Z60" s="56">
        <v>1.63</v>
      </c>
      <c r="AA60" s="147">
        <v>4.3899999999999997</v>
      </c>
      <c r="AB60" s="56">
        <f t="shared" si="20"/>
        <v>51.81</v>
      </c>
      <c r="AC60" s="119">
        <v>43.8</v>
      </c>
      <c r="AD60" s="56">
        <v>14.8</v>
      </c>
      <c r="AE60" s="56">
        <f t="shared" ref="AE60:AE66" si="30">100 - $AD60 - $AF60</f>
        <v>80.75</v>
      </c>
      <c r="AF60" s="119">
        <v>4.45</v>
      </c>
      <c r="AG60" s="25" t="s">
        <v>69</v>
      </c>
      <c r="AH60" s="193" t="s">
        <v>305</v>
      </c>
      <c r="AI60" s="193"/>
      <c r="AJ60" s="58"/>
      <c r="AN60" s="36"/>
      <c r="AO60" s="36"/>
      <c r="AP60" s="36"/>
      <c r="AQ60" s="234" t="s">
        <v>89</v>
      </c>
      <c r="AR60" s="228"/>
      <c r="AS60" s="212" t="s">
        <v>90</v>
      </c>
      <c r="AT60" s="212" t="s">
        <v>90</v>
      </c>
      <c r="AU60" s="212" t="s">
        <v>90</v>
      </c>
      <c r="AV60" s="213" t="s">
        <v>90</v>
      </c>
      <c r="AW60" s="36">
        <f t="shared" si="29"/>
        <v>3.3862652257677048</v>
      </c>
      <c r="AX60" s="36">
        <f t="shared" si="27"/>
        <v>3.2700350000000005</v>
      </c>
      <c r="AY60" s="36">
        <f t="shared" si="23"/>
        <v>3.1015249999999996</v>
      </c>
      <c r="AZ60" s="36">
        <f t="shared" ref="AZ60:AZ66" si="31">AD60*$AC$2+AE60*$AD$2+AF60*$AE$2</f>
        <v>2.63361</v>
      </c>
      <c r="BA60" s="211"/>
      <c r="BB60" s="212">
        <v>27.9</v>
      </c>
      <c r="BC60" s="212">
        <v>38.700000000000003</v>
      </c>
      <c r="BD60" s="212">
        <v>7.3</v>
      </c>
      <c r="BE60" s="213">
        <v>14.2</v>
      </c>
    </row>
    <row r="61" spans="1:57" s="25" customFormat="1" ht="14.4">
      <c r="A61" s="25" t="s">
        <v>323</v>
      </c>
      <c r="B61" s="53" t="s">
        <v>324</v>
      </c>
      <c r="C61" s="54" t="s">
        <v>186</v>
      </c>
      <c r="D61" s="54" t="s">
        <v>60</v>
      </c>
      <c r="E61" s="25" t="s">
        <v>61</v>
      </c>
      <c r="G61" s="25" t="s">
        <v>300</v>
      </c>
      <c r="H61" s="25" t="s">
        <v>325</v>
      </c>
      <c r="J61" s="25">
        <v>0</v>
      </c>
      <c r="K61" s="25">
        <v>0</v>
      </c>
      <c r="M61" s="25" t="s">
        <v>302</v>
      </c>
      <c r="N61" s="25" t="s">
        <v>259</v>
      </c>
      <c r="O61" s="25" t="s">
        <v>326</v>
      </c>
      <c r="P61" s="25">
        <v>0</v>
      </c>
      <c r="R61" s="118">
        <f t="shared" si="0"/>
        <v>35.388127853881279</v>
      </c>
      <c r="S61" s="55">
        <f t="shared" si="0"/>
        <v>41.324200913242016</v>
      </c>
      <c r="T61" s="55">
        <f t="shared" si="0"/>
        <v>6.0502283105022832</v>
      </c>
      <c r="U61" s="55">
        <f t="shared" si="0"/>
        <v>17.237442922374431</v>
      </c>
      <c r="V61" s="118">
        <v>10.6</v>
      </c>
      <c r="W61" s="146">
        <f t="shared" si="28"/>
        <v>89.4</v>
      </c>
      <c r="X61" s="56">
        <v>10.1</v>
      </c>
      <c r="Y61" s="56">
        <f t="shared" si="26"/>
        <v>88.2</v>
      </c>
      <c r="Z61" s="56">
        <v>1.7</v>
      </c>
      <c r="AA61" s="147">
        <v>4.5</v>
      </c>
      <c r="AB61" s="56">
        <f t="shared" si="20"/>
        <v>51.7</v>
      </c>
      <c r="AC61" s="119">
        <v>43.8</v>
      </c>
      <c r="AD61" s="56">
        <v>14.4</v>
      </c>
      <c r="AE61" s="56">
        <f t="shared" si="30"/>
        <v>81.3</v>
      </c>
      <c r="AF61" s="119">
        <v>4.3</v>
      </c>
      <c r="AG61" s="25" t="s">
        <v>69</v>
      </c>
      <c r="AH61" s="57" t="s">
        <v>311</v>
      </c>
      <c r="AI61" s="193" t="s">
        <v>327</v>
      </c>
      <c r="AJ61" s="58"/>
      <c r="AN61" s="36"/>
      <c r="AO61" s="36"/>
      <c r="AP61" s="36"/>
      <c r="AQ61" s="234" t="s">
        <v>289</v>
      </c>
      <c r="AR61" s="228"/>
      <c r="AS61" s="212" t="s">
        <v>90</v>
      </c>
      <c r="AT61" s="212" t="s">
        <v>90</v>
      </c>
      <c r="AU61" s="212" t="s">
        <v>90</v>
      </c>
      <c r="AV61" s="213" t="s">
        <v>90</v>
      </c>
      <c r="AW61" s="36">
        <f t="shared" si="29"/>
        <v>3.3887200000000002</v>
      </c>
      <c r="AX61" s="36">
        <f t="shared" si="27"/>
        <v>3.2706500000000003</v>
      </c>
      <c r="AY61" s="36">
        <f t="shared" si="23"/>
        <v>3.1023499999999999</v>
      </c>
      <c r="AZ61" s="36">
        <f t="shared" si="31"/>
        <v>2.6332599999999999</v>
      </c>
      <c r="BA61" s="211"/>
      <c r="BB61" s="212">
        <v>31</v>
      </c>
      <c r="BC61" s="212">
        <v>36.200000000000003</v>
      </c>
      <c r="BD61" s="212">
        <v>5.3</v>
      </c>
      <c r="BE61" s="213">
        <v>15.1</v>
      </c>
    </row>
    <row r="62" spans="1:57" s="25" customFormat="1" ht="14.4">
      <c r="A62" s="25" t="s">
        <v>328</v>
      </c>
      <c r="B62" s="53" t="s">
        <v>329</v>
      </c>
      <c r="C62" s="54" t="s">
        <v>186</v>
      </c>
      <c r="D62" s="54" t="s">
        <v>60</v>
      </c>
      <c r="E62" s="25" t="s">
        <v>61</v>
      </c>
      <c r="G62" s="25" t="s">
        <v>300</v>
      </c>
      <c r="H62" s="25" t="s">
        <v>330</v>
      </c>
      <c r="J62" s="25">
        <v>0</v>
      </c>
      <c r="K62" s="25">
        <v>25</v>
      </c>
      <c r="L62" s="25" t="s">
        <v>64</v>
      </c>
      <c r="M62" s="25" t="s">
        <v>26</v>
      </c>
      <c r="N62" s="25" t="s">
        <v>259</v>
      </c>
      <c r="O62" s="25" t="s">
        <v>331</v>
      </c>
      <c r="P62" s="25">
        <v>0</v>
      </c>
      <c r="Q62" s="25" t="s">
        <v>332</v>
      </c>
      <c r="R62" s="118">
        <f t="shared" si="0"/>
        <v>10.696266397578205</v>
      </c>
      <c r="S62" s="55">
        <f t="shared" si="0"/>
        <v>85.973763874873882</v>
      </c>
      <c r="T62" s="55">
        <f t="shared" si="0"/>
        <v>3.2290615539858729</v>
      </c>
      <c r="U62" s="55">
        <f t="shared" si="0"/>
        <v>0.10090817356205853</v>
      </c>
      <c r="V62" s="118">
        <v>28.8</v>
      </c>
      <c r="W62" s="146">
        <f t="shared" si="28"/>
        <v>71.2</v>
      </c>
      <c r="X62" s="56">
        <v>23.3</v>
      </c>
      <c r="Y62" s="56">
        <f t="shared" si="26"/>
        <v>74.900000000000006</v>
      </c>
      <c r="Z62" s="56">
        <v>1.8</v>
      </c>
      <c r="AA62" s="147">
        <v>9</v>
      </c>
      <c r="AB62" s="56">
        <f t="shared" si="20"/>
        <v>43</v>
      </c>
      <c r="AC62" s="119">
        <v>48</v>
      </c>
      <c r="AD62" s="56">
        <v>91.6</v>
      </c>
      <c r="AE62" s="56">
        <f t="shared" si="30"/>
        <v>8.100000000000005</v>
      </c>
      <c r="AF62" s="119">
        <v>0.3</v>
      </c>
      <c r="AG62" s="25" t="s">
        <v>69</v>
      </c>
      <c r="AH62" s="194" t="s">
        <v>333</v>
      </c>
      <c r="AI62" s="193" t="s">
        <v>334</v>
      </c>
      <c r="AJ62" s="58"/>
      <c r="AN62" s="36"/>
      <c r="AO62" s="36"/>
      <c r="AP62" s="36"/>
      <c r="AQ62" s="234" t="s">
        <v>89</v>
      </c>
      <c r="AR62" s="228"/>
      <c r="AS62" s="212" t="s">
        <v>90</v>
      </c>
      <c r="AT62" s="212" t="s">
        <v>90</v>
      </c>
      <c r="AU62" s="212" t="s">
        <v>90</v>
      </c>
      <c r="AV62" s="213" t="s">
        <v>90</v>
      </c>
      <c r="AW62" s="36">
        <f t="shared" si="29"/>
        <v>3.5925599999999998</v>
      </c>
      <c r="AX62" s="36">
        <f t="shared" si="27"/>
        <v>3.3693500000000003</v>
      </c>
      <c r="AY62" s="36">
        <f t="shared" si="23"/>
        <v>3.1234999999999999</v>
      </c>
      <c r="AZ62" s="36">
        <f t="shared" si="31"/>
        <v>2.7205800000000004</v>
      </c>
      <c r="BA62" s="211"/>
      <c r="BB62" s="212">
        <v>10.6</v>
      </c>
      <c r="BC62" s="212">
        <v>85.2</v>
      </c>
      <c r="BD62" s="212">
        <v>3.2</v>
      </c>
      <c r="BE62" s="213">
        <v>0.1</v>
      </c>
    </row>
    <row r="63" spans="1:57" s="25" customFormat="1" ht="14.4">
      <c r="A63" s="25" t="s">
        <v>335</v>
      </c>
      <c r="B63" s="25" t="s">
        <v>336</v>
      </c>
      <c r="C63" s="54" t="s">
        <v>186</v>
      </c>
      <c r="D63" s="54" t="s">
        <v>60</v>
      </c>
      <c r="E63" s="25" t="s">
        <v>61</v>
      </c>
      <c r="G63" s="54" t="s">
        <v>300</v>
      </c>
      <c r="H63" s="54" t="s">
        <v>337</v>
      </c>
      <c r="J63" s="25">
        <v>0</v>
      </c>
      <c r="K63" s="25">
        <v>125</v>
      </c>
      <c r="L63" s="25" t="s">
        <v>64</v>
      </c>
      <c r="M63" s="25" t="s">
        <v>338</v>
      </c>
      <c r="N63" s="25" t="s">
        <v>339</v>
      </c>
      <c r="O63" s="25" t="s">
        <v>331</v>
      </c>
      <c r="P63" s="25">
        <v>0</v>
      </c>
      <c r="R63" s="118">
        <f t="shared" si="0"/>
        <v>0</v>
      </c>
      <c r="S63" s="55">
        <f t="shared" si="0"/>
        <v>28.000000000000004</v>
      </c>
      <c r="T63" s="55">
        <f t="shared" si="0"/>
        <v>11</v>
      </c>
      <c r="U63" s="55">
        <f t="shared" si="0"/>
        <v>61</v>
      </c>
      <c r="V63" s="147">
        <v>0</v>
      </c>
      <c r="W63" s="146">
        <v>0</v>
      </c>
      <c r="X63" s="56">
        <v>58</v>
      </c>
      <c r="Y63" s="56">
        <f t="shared" si="26"/>
        <v>40.619999999999997</v>
      </c>
      <c r="Z63" s="56">
        <v>1.38</v>
      </c>
      <c r="AA63" s="147">
        <v>24.8</v>
      </c>
      <c r="AB63" s="56">
        <f t="shared" si="20"/>
        <v>31.5</v>
      </c>
      <c r="AC63" s="119">
        <v>43.7</v>
      </c>
      <c r="AD63" s="56">
        <v>95.8</v>
      </c>
      <c r="AE63" s="56">
        <f t="shared" si="30"/>
        <v>3.8000000000000029</v>
      </c>
      <c r="AF63" s="119">
        <v>0.4</v>
      </c>
      <c r="AG63" s="25" t="s">
        <v>69</v>
      </c>
      <c r="AH63" s="194" t="s">
        <v>340</v>
      </c>
      <c r="AI63" s="193" t="s">
        <v>341</v>
      </c>
      <c r="AN63" s="36"/>
      <c r="AO63" s="36"/>
      <c r="AP63" s="36"/>
      <c r="AQ63" s="234" t="s">
        <v>289</v>
      </c>
      <c r="AR63" s="228"/>
      <c r="AS63" s="212" t="s">
        <v>90</v>
      </c>
      <c r="AT63" s="212" t="s">
        <v>90</v>
      </c>
      <c r="AU63" s="212" t="s">
        <v>90</v>
      </c>
      <c r="AV63" s="213" t="s">
        <v>90</v>
      </c>
      <c r="AW63" s="36">
        <v>1</v>
      </c>
      <c r="AX63" s="36">
        <f t="shared" si="27"/>
        <v>3.6308600000000002</v>
      </c>
      <c r="AY63" s="36">
        <f t="shared" si="23"/>
        <v>3.2549000000000001</v>
      </c>
      <c r="AZ63" s="36">
        <f t="shared" si="31"/>
        <v>2.7251400000000001</v>
      </c>
      <c r="BA63" s="211"/>
      <c r="BB63" s="212">
        <v>0</v>
      </c>
      <c r="BC63" s="212">
        <v>28</v>
      </c>
      <c r="BD63" s="212">
        <v>11</v>
      </c>
      <c r="BE63" s="213">
        <v>61</v>
      </c>
    </row>
    <row r="64" spans="1:57" s="25" customFormat="1" ht="14.4">
      <c r="A64" s="25" t="s">
        <v>342</v>
      </c>
      <c r="B64" s="53" t="s">
        <v>321</v>
      </c>
      <c r="C64" s="54" t="s">
        <v>162</v>
      </c>
      <c r="D64" s="54" t="s">
        <v>60</v>
      </c>
      <c r="E64" s="25" t="s">
        <v>61</v>
      </c>
      <c r="G64" s="25" t="s">
        <v>300</v>
      </c>
      <c r="H64" s="25" t="s">
        <v>343</v>
      </c>
      <c r="J64" s="25">
        <v>0</v>
      </c>
      <c r="K64" s="25">
        <v>0</v>
      </c>
      <c r="M64" s="25" t="s">
        <v>302</v>
      </c>
      <c r="N64" s="25" t="s">
        <v>321</v>
      </c>
      <c r="P64" s="25">
        <v>0</v>
      </c>
      <c r="Q64" s="25" t="s">
        <v>344</v>
      </c>
      <c r="R64" s="118">
        <f t="shared" si="0"/>
        <v>30.14354066985646</v>
      </c>
      <c r="S64" s="55">
        <f t="shared" si="0"/>
        <v>49.162679425837325</v>
      </c>
      <c r="T64" s="55">
        <f t="shared" si="0"/>
        <v>2.9904306220095696</v>
      </c>
      <c r="U64" s="55">
        <f t="shared" si="0"/>
        <v>17.703349282296653</v>
      </c>
      <c r="V64" s="118">
        <f>11/R$2/(11/R$2 + 47.06/S$2)*100</f>
        <v>11.592745741766182</v>
      </c>
      <c r="W64" s="146">
        <f>100 - $V64</f>
        <v>88.40725425823382</v>
      </c>
      <c r="X64" s="56">
        <f>7.31/R$2/(7.31/R$2 + 32.71/S$2 + 0.97/T$2)*100</f>
        <v>10.933290399707158</v>
      </c>
      <c r="Y64" s="56">
        <f t="shared" si="26"/>
        <v>87.208015692360163</v>
      </c>
      <c r="Z64" s="56">
        <f>0.97/T$2/(7.31/$R$2 + 32.71/$S$2 + 0.97/$T$2)*100</f>
        <v>1.8586939079326736</v>
      </c>
      <c r="AA64" s="147">
        <f>2.96/R$2/(2.96/$R$2 + 17.23/$S$2 + 20.84/$T$2)*100</f>
        <v>4.9028774395753443</v>
      </c>
      <c r="AB64" s="56">
        <f t="shared" si="20"/>
        <v>50.872954148365181</v>
      </c>
      <c r="AC64" s="119">
        <f>20.84/T$2/(2.96/$R$2 + 17.23/$S$2 + 20.84/$T$2)*100</f>
        <v>44.22416841205947</v>
      </c>
      <c r="AD64" s="56">
        <f>3.31/T$2/(3.31/$T$2+8.81/$U$2+0.69/$V$2)*100</f>
        <v>16.489174031885049</v>
      </c>
      <c r="AE64" s="56">
        <f t="shared" si="30"/>
        <v>79.418342241773317</v>
      </c>
      <c r="AF64" s="119">
        <f>0.69/V$2/(3.31/$T$2+8.81/$U$2+0.69/$V$2)*100</f>
        <v>4.0924837263416221</v>
      </c>
      <c r="AG64" s="25" t="s">
        <v>69</v>
      </c>
      <c r="AH64" s="194" t="s">
        <v>345</v>
      </c>
      <c r="AI64" s="193" t="s">
        <v>305</v>
      </c>
      <c r="AJ64" s="58"/>
      <c r="AN64" s="36"/>
      <c r="AO64" s="36"/>
      <c r="AP64" s="36"/>
      <c r="AQ64" s="234" t="s">
        <v>89</v>
      </c>
      <c r="AR64" s="228"/>
      <c r="AS64" s="212" t="s">
        <v>90</v>
      </c>
      <c r="AT64" s="212" t="s">
        <v>90</v>
      </c>
      <c r="AU64" s="212" t="s">
        <v>90</v>
      </c>
      <c r="AV64" s="213" t="s">
        <v>90</v>
      </c>
      <c r="AW64" s="36">
        <f>V64*$X$2 + W64*$Y$2</f>
        <v>3.3998387523077813</v>
      </c>
      <c r="AX64" s="36">
        <f t="shared" si="27"/>
        <v>3.2764235962740056</v>
      </c>
      <c r="AY64" s="36">
        <f t="shared" si="23"/>
        <v>3.1040990755606366</v>
      </c>
      <c r="AZ64" s="36">
        <f t="shared" si="31"/>
        <v>2.6356826011992682</v>
      </c>
      <c r="BA64" s="211"/>
      <c r="BB64" s="212">
        <v>25.2</v>
      </c>
      <c r="BC64" s="212">
        <v>41.1</v>
      </c>
      <c r="BD64" s="212">
        <v>2.5</v>
      </c>
      <c r="BE64" s="213">
        <v>14.8</v>
      </c>
    </row>
    <row r="65" spans="1:57" s="25" customFormat="1">
      <c r="A65" s="25" t="s">
        <v>346</v>
      </c>
      <c r="B65" s="53" t="s">
        <v>347</v>
      </c>
      <c r="C65" s="54" t="s">
        <v>93</v>
      </c>
      <c r="D65" s="54" t="s">
        <v>60</v>
      </c>
      <c r="E65" s="25" t="s">
        <v>61</v>
      </c>
      <c r="G65" s="25" t="s">
        <v>300</v>
      </c>
      <c r="H65" s="25" t="s">
        <v>348</v>
      </c>
      <c r="J65" s="25">
        <v>0</v>
      </c>
      <c r="K65" s="25">
        <v>45</v>
      </c>
      <c r="L65" s="25" t="s">
        <v>64</v>
      </c>
      <c r="M65" s="25" t="s">
        <v>65</v>
      </c>
      <c r="N65" s="25" t="s">
        <v>339</v>
      </c>
      <c r="O65" s="25" t="s">
        <v>95</v>
      </c>
      <c r="P65" s="25">
        <v>631</v>
      </c>
      <c r="Q65" s="25" t="s">
        <v>349</v>
      </c>
      <c r="R65" s="118">
        <f t="shared" si="0"/>
        <v>0</v>
      </c>
      <c r="S65" s="55">
        <f t="shared" si="0"/>
        <v>28.000000000000004</v>
      </c>
      <c r="T65" s="55">
        <f t="shared" si="0"/>
        <v>11</v>
      </c>
      <c r="U65" s="55">
        <f t="shared" si="0"/>
        <v>61</v>
      </c>
      <c r="V65" s="147">
        <v>0</v>
      </c>
      <c r="W65" s="146">
        <v>0</v>
      </c>
      <c r="X65" s="56">
        <v>58</v>
      </c>
      <c r="Y65" s="56">
        <f t="shared" si="26"/>
        <v>40.619999999999997</v>
      </c>
      <c r="Z65" s="56">
        <v>1.38</v>
      </c>
      <c r="AA65" s="147">
        <v>24.8</v>
      </c>
      <c r="AB65" s="56">
        <f t="shared" si="20"/>
        <v>31.5</v>
      </c>
      <c r="AC65" s="119">
        <v>43.7</v>
      </c>
      <c r="AD65" s="56">
        <v>95.8</v>
      </c>
      <c r="AE65" s="56">
        <f t="shared" si="30"/>
        <v>3.8000000000000029</v>
      </c>
      <c r="AF65" s="119">
        <v>0.4</v>
      </c>
      <c r="AG65" s="25" t="s">
        <v>69</v>
      </c>
      <c r="AH65" s="194" t="s">
        <v>340</v>
      </c>
      <c r="AI65" s="193" t="s">
        <v>341</v>
      </c>
      <c r="AJ65" s="193"/>
      <c r="AN65" s="36"/>
      <c r="AO65" s="36"/>
      <c r="AP65" s="36"/>
      <c r="AQ65" s="234" t="s">
        <v>289</v>
      </c>
      <c r="AR65" s="229"/>
      <c r="AS65" s="212" t="s">
        <v>90</v>
      </c>
      <c r="AT65" s="212" t="s">
        <v>90</v>
      </c>
      <c r="AU65" s="212" t="s">
        <v>90</v>
      </c>
      <c r="AV65" s="213" t="s">
        <v>90</v>
      </c>
      <c r="AW65" s="36">
        <v>1</v>
      </c>
      <c r="AX65" s="36">
        <f t="shared" si="27"/>
        <v>3.6308600000000002</v>
      </c>
      <c r="AY65" s="36">
        <f t="shared" si="23"/>
        <v>3.2549000000000001</v>
      </c>
      <c r="AZ65" s="36">
        <f t="shared" si="31"/>
        <v>2.7251400000000001</v>
      </c>
      <c r="BA65" s="211"/>
      <c r="BB65" s="212">
        <v>0</v>
      </c>
      <c r="BC65" s="212">
        <v>28</v>
      </c>
      <c r="BD65" s="212">
        <v>11</v>
      </c>
      <c r="BE65" s="213">
        <v>61</v>
      </c>
    </row>
    <row r="66" spans="1:57" s="25" customFormat="1" ht="14.4">
      <c r="A66" s="25" t="s">
        <v>350</v>
      </c>
      <c r="B66" s="53" t="s">
        <v>351</v>
      </c>
      <c r="C66" s="54" t="s">
        <v>352</v>
      </c>
      <c r="D66" s="54" t="s">
        <v>60</v>
      </c>
      <c r="E66" s="25" t="s">
        <v>280</v>
      </c>
      <c r="G66" s="25" t="s">
        <v>300</v>
      </c>
      <c r="H66" s="25" t="s">
        <v>353</v>
      </c>
      <c r="J66" s="25">
        <v>0</v>
      </c>
      <c r="K66" s="25">
        <v>45</v>
      </c>
      <c r="L66" s="25" t="s">
        <v>64</v>
      </c>
      <c r="M66" s="25" t="s">
        <v>108</v>
      </c>
      <c r="N66" s="25" t="s">
        <v>354</v>
      </c>
      <c r="O66" s="25" t="s">
        <v>355</v>
      </c>
      <c r="P66" s="25">
        <v>0</v>
      </c>
      <c r="Q66" s="25" t="s">
        <v>356</v>
      </c>
      <c r="R66" s="118">
        <f t="shared" si="0"/>
        <v>17.559523809523814</v>
      </c>
      <c r="S66" s="55">
        <f t="shared" si="0"/>
        <v>59.970238095238102</v>
      </c>
      <c r="T66" s="55">
        <f t="shared" si="0"/>
        <v>7.4404761904761916</v>
      </c>
      <c r="U66" s="55">
        <f t="shared" si="0"/>
        <v>15.029761904761907</v>
      </c>
      <c r="V66" s="118">
        <v>6.3</v>
      </c>
      <c r="W66" s="146">
        <f t="shared" ref="W66:W84" si="32">100 - $V66</f>
        <v>93.7</v>
      </c>
      <c r="X66" s="56">
        <v>8</v>
      </c>
      <c r="Y66" s="56">
        <f t="shared" si="26"/>
        <v>90.5</v>
      </c>
      <c r="Z66" s="56">
        <v>1.5</v>
      </c>
      <c r="AA66" s="147">
        <v>3.4</v>
      </c>
      <c r="AB66" s="56">
        <f t="shared" si="20"/>
        <v>51.199999999999996</v>
      </c>
      <c r="AC66" s="119">
        <v>45.4</v>
      </c>
      <c r="AD66" s="56">
        <v>12.9</v>
      </c>
      <c r="AE66" s="56">
        <f t="shared" si="30"/>
        <v>81.199999999999989</v>
      </c>
      <c r="AF66" s="119">
        <v>5.9</v>
      </c>
      <c r="AG66" s="25" t="s">
        <v>69</v>
      </c>
      <c r="AH66" s="194" t="s">
        <v>304</v>
      </c>
      <c r="AI66" s="193" t="s">
        <v>357</v>
      </c>
      <c r="AJ66" s="58"/>
      <c r="AN66" s="36"/>
      <c r="AO66" s="36"/>
      <c r="AP66" s="36"/>
      <c r="AQ66" s="234" t="s">
        <v>89</v>
      </c>
      <c r="AR66" s="228"/>
      <c r="AS66" s="212" t="s">
        <v>90</v>
      </c>
      <c r="AT66" s="212" t="s">
        <v>90</v>
      </c>
      <c r="AU66" s="212" t="s">
        <v>90</v>
      </c>
      <c r="AV66" s="213" t="s">
        <v>90</v>
      </c>
      <c r="AW66" s="36">
        <f t="shared" ref="AW66:AW84" si="33">V66*$X$2 + W66*$Y$2</f>
        <v>3.34056</v>
      </c>
      <c r="AX66" s="36">
        <f t="shared" si="27"/>
        <v>3.2554999999999996</v>
      </c>
      <c r="AY66" s="36">
        <f t="shared" si="23"/>
        <v>3.0892999999999997</v>
      </c>
      <c r="AZ66" s="36">
        <f t="shared" si="31"/>
        <v>2.6306500000000002</v>
      </c>
      <c r="BA66" s="211"/>
      <c r="BB66" s="212">
        <v>11.8</v>
      </c>
      <c r="BC66" s="212">
        <v>40.299999999999997</v>
      </c>
      <c r="BD66" s="212">
        <v>5</v>
      </c>
      <c r="BE66" s="213">
        <v>10.1</v>
      </c>
    </row>
    <row r="67" spans="1:57" s="25" customFormat="1" ht="14.4">
      <c r="A67" s="25" t="s">
        <v>358</v>
      </c>
      <c r="B67" s="53" t="s">
        <v>359</v>
      </c>
      <c r="C67" s="54" t="s">
        <v>360</v>
      </c>
      <c r="D67" s="54" t="s">
        <v>60</v>
      </c>
      <c r="E67" s="25" t="s">
        <v>280</v>
      </c>
      <c r="G67" s="25" t="s">
        <v>300</v>
      </c>
      <c r="H67" s="25" t="s">
        <v>361</v>
      </c>
      <c r="M67" s="25" t="s">
        <v>187</v>
      </c>
      <c r="N67" s="25" t="s">
        <v>303</v>
      </c>
      <c r="O67" s="25" t="s">
        <v>95</v>
      </c>
      <c r="P67" s="25">
        <v>0</v>
      </c>
      <c r="R67" s="118">
        <f t="shared" si="0"/>
        <v>51.425554382259762</v>
      </c>
      <c r="S67" s="55">
        <f t="shared" si="0"/>
        <v>46.568109820485738</v>
      </c>
      <c r="T67" s="55">
        <f t="shared" si="0"/>
        <v>2.0063357972544873</v>
      </c>
      <c r="U67" s="55">
        <f t="shared" ref="U67:U100" si="34">BE67/SUMIF($BB67:$BE67, "&lt;&gt;#VALUE!")*100</f>
        <v>0</v>
      </c>
      <c r="V67" s="118">
        <v>14</v>
      </c>
      <c r="W67" s="146">
        <f t="shared" si="32"/>
        <v>86</v>
      </c>
      <c r="X67" s="56">
        <v>12.8</v>
      </c>
      <c r="Y67" s="56">
        <f t="shared" si="26"/>
        <v>83.9</v>
      </c>
      <c r="Z67" s="56">
        <v>3.3</v>
      </c>
      <c r="AA67" s="147">
        <v>6.5</v>
      </c>
      <c r="AB67" s="56">
        <f t="shared" si="20"/>
        <v>51.2</v>
      </c>
      <c r="AC67" s="119">
        <v>42.3</v>
      </c>
      <c r="AD67" s="56">
        <v>0</v>
      </c>
      <c r="AE67" s="56">
        <v>0</v>
      </c>
      <c r="AF67" s="119">
        <v>0</v>
      </c>
      <c r="AG67" s="25" t="s">
        <v>69</v>
      </c>
      <c r="AH67" s="193" t="s">
        <v>304</v>
      </c>
      <c r="AI67" s="193" t="s">
        <v>305</v>
      </c>
      <c r="AJ67" s="194"/>
      <c r="AN67" s="36"/>
      <c r="AO67" s="36"/>
      <c r="AP67" s="36"/>
      <c r="AQ67" s="234" t="s">
        <v>89</v>
      </c>
      <c r="AR67" s="228"/>
      <c r="AS67" s="212" t="s">
        <v>90</v>
      </c>
      <c r="AT67" s="212" t="s">
        <v>90</v>
      </c>
      <c r="AU67" s="212" t="s">
        <v>90</v>
      </c>
      <c r="AV67" s="213" t="s">
        <v>90</v>
      </c>
      <c r="AW67" s="36">
        <f t="shared" si="33"/>
        <v>3.4267999999999996</v>
      </c>
      <c r="AX67" s="36">
        <f t="shared" si="27"/>
        <v>3.2861000000000002</v>
      </c>
      <c r="AY67" s="36">
        <f t="shared" si="23"/>
        <v>3.1218500000000002</v>
      </c>
      <c r="AZ67" s="36">
        <v>1</v>
      </c>
      <c r="BA67" s="211"/>
      <c r="BB67" s="212">
        <v>48.7</v>
      </c>
      <c r="BC67" s="212">
        <v>44.1</v>
      </c>
      <c r="BD67" s="212">
        <v>1.9</v>
      </c>
      <c r="BE67" s="213">
        <v>0</v>
      </c>
    </row>
    <row r="68" spans="1:57" s="25" customFormat="1" ht="14.4">
      <c r="A68" s="25" t="s">
        <v>362</v>
      </c>
      <c r="B68" s="53" t="s">
        <v>363</v>
      </c>
      <c r="C68" s="54" t="s">
        <v>360</v>
      </c>
      <c r="D68" s="54" t="s">
        <v>60</v>
      </c>
      <c r="E68" s="25" t="s">
        <v>280</v>
      </c>
      <c r="G68" s="25" t="s">
        <v>300</v>
      </c>
      <c r="H68" s="25" t="s">
        <v>361</v>
      </c>
      <c r="J68" s="25">
        <v>0</v>
      </c>
      <c r="K68" s="25">
        <v>125</v>
      </c>
      <c r="L68" s="25" t="s">
        <v>64</v>
      </c>
      <c r="M68" s="25" t="s">
        <v>65</v>
      </c>
      <c r="N68" s="25" t="s">
        <v>303</v>
      </c>
      <c r="O68" s="25" t="s">
        <v>95</v>
      </c>
      <c r="P68" s="25">
        <v>0</v>
      </c>
      <c r="R68" s="118">
        <f t="shared" ref="R68:T100" si="35">BB68/SUMIF($BB68:$BE68, "&lt;&gt;#VALUE!")*100</f>
        <v>51.425554382259762</v>
      </c>
      <c r="S68" s="55">
        <f t="shared" si="35"/>
        <v>46.568109820485738</v>
      </c>
      <c r="T68" s="55">
        <f t="shared" si="35"/>
        <v>2.0063357972544873</v>
      </c>
      <c r="U68" s="55">
        <f t="shared" si="34"/>
        <v>0</v>
      </c>
      <c r="V68" s="118">
        <v>14</v>
      </c>
      <c r="W68" s="146">
        <f t="shared" si="32"/>
        <v>86</v>
      </c>
      <c r="X68" s="56">
        <v>12.8</v>
      </c>
      <c r="Y68" s="56">
        <f t="shared" si="26"/>
        <v>83.9</v>
      </c>
      <c r="Z68" s="56">
        <v>3.3</v>
      </c>
      <c r="AA68" s="147">
        <v>6.5</v>
      </c>
      <c r="AB68" s="56">
        <f t="shared" ref="AB68:AB99" si="36">100 - $AA68 - $AC68</f>
        <v>51.2</v>
      </c>
      <c r="AC68" s="119">
        <v>42.3</v>
      </c>
      <c r="AD68" s="56">
        <v>0</v>
      </c>
      <c r="AE68" s="56">
        <v>0</v>
      </c>
      <c r="AF68" s="119">
        <v>0</v>
      </c>
      <c r="AG68" s="25" t="s">
        <v>69</v>
      </c>
      <c r="AH68" s="193" t="s">
        <v>304</v>
      </c>
      <c r="AI68" s="193" t="s">
        <v>305</v>
      </c>
      <c r="AJ68" s="193"/>
      <c r="AN68" s="36"/>
      <c r="AO68" s="36"/>
      <c r="AP68" s="36"/>
      <c r="AQ68" s="234" t="s">
        <v>89</v>
      </c>
      <c r="AR68" s="228"/>
      <c r="AS68" s="212" t="s">
        <v>90</v>
      </c>
      <c r="AT68" s="212" t="s">
        <v>90</v>
      </c>
      <c r="AU68" s="212" t="s">
        <v>90</v>
      </c>
      <c r="AV68" s="213" t="s">
        <v>90</v>
      </c>
      <c r="AW68" s="36">
        <f t="shared" si="33"/>
        <v>3.4267999999999996</v>
      </c>
      <c r="AX68" s="36">
        <f t="shared" si="27"/>
        <v>3.2861000000000002</v>
      </c>
      <c r="AY68" s="36">
        <f t="shared" ref="AY68:AY92" si="37">AA68*$Z$2+AB68*$AA$2+AC68*$AB$2</f>
        <v>3.1218500000000002</v>
      </c>
      <c r="AZ68" s="36">
        <v>1</v>
      </c>
      <c r="BA68" s="211"/>
      <c r="BB68" s="212">
        <v>48.7</v>
      </c>
      <c r="BC68" s="212">
        <v>44.1</v>
      </c>
      <c r="BD68" s="212">
        <v>1.9</v>
      </c>
      <c r="BE68" s="213">
        <v>0</v>
      </c>
    </row>
    <row r="69" spans="1:57" s="25" customFormat="1" ht="14.4">
      <c r="A69" s="25" t="s">
        <v>364</v>
      </c>
      <c r="B69" s="53" t="s">
        <v>365</v>
      </c>
      <c r="C69" s="54" t="s">
        <v>360</v>
      </c>
      <c r="D69" s="54" t="s">
        <v>60</v>
      </c>
      <c r="E69" s="25" t="s">
        <v>280</v>
      </c>
      <c r="G69" s="25" t="s">
        <v>300</v>
      </c>
      <c r="H69" s="25" t="s">
        <v>353</v>
      </c>
      <c r="M69" s="25" t="s">
        <v>366</v>
      </c>
      <c r="N69" s="25" t="s">
        <v>367</v>
      </c>
      <c r="O69" s="25" t="s">
        <v>95</v>
      </c>
      <c r="P69" s="25">
        <v>0</v>
      </c>
      <c r="R69" s="118">
        <f t="shared" si="35"/>
        <v>17.559523809523814</v>
      </c>
      <c r="S69" s="55">
        <f t="shared" si="35"/>
        <v>59.970238095238102</v>
      </c>
      <c r="T69" s="55">
        <f t="shared" si="35"/>
        <v>7.4404761904761916</v>
      </c>
      <c r="U69" s="55">
        <f t="shared" si="34"/>
        <v>15.029761904761907</v>
      </c>
      <c r="V69" s="118">
        <v>6.3</v>
      </c>
      <c r="W69" s="146">
        <f t="shared" si="32"/>
        <v>93.7</v>
      </c>
      <c r="X69" s="56">
        <v>8</v>
      </c>
      <c r="Y69" s="56">
        <f t="shared" si="26"/>
        <v>90.5</v>
      </c>
      <c r="Z69" s="56">
        <v>1.5</v>
      </c>
      <c r="AA69" s="147">
        <v>3.4</v>
      </c>
      <c r="AB69" s="56">
        <f t="shared" si="36"/>
        <v>51.199999999999996</v>
      </c>
      <c r="AC69" s="119">
        <v>45.4</v>
      </c>
      <c r="AD69" s="56">
        <v>12.9</v>
      </c>
      <c r="AE69" s="56">
        <f t="shared" ref="AE69:AE75" si="38">100 - $AD69 - $AF69</f>
        <v>81.199999999999989</v>
      </c>
      <c r="AF69" s="119">
        <v>5.9</v>
      </c>
      <c r="AG69" s="25" t="s">
        <v>262</v>
      </c>
      <c r="AH69" s="194" t="s">
        <v>304</v>
      </c>
      <c r="AI69" s="193" t="s">
        <v>357</v>
      </c>
      <c r="AJ69" s="58"/>
      <c r="AN69" s="36"/>
      <c r="AO69" s="36"/>
      <c r="AP69" s="36"/>
      <c r="AQ69" s="234" t="s">
        <v>89</v>
      </c>
      <c r="AR69" s="228"/>
      <c r="AS69" s="212" t="s">
        <v>90</v>
      </c>
      <c r="AT69" s="212" t="s">
        <v>90</v>
      </c>
      <c r="AU69" s="212" t="s">
        <v>90</v>
      </c>
      <c r="AV69" s="213" t="s">
        <v>90</v>
      </c>
      <c r="AW69" s="36">
        <f t="shared" si="33"/>
        <v>3.34056</v>
      </c>
      <c r="AX69" s="36">
        <f t="shared" si="27"/>
        <v>3.2554999999999996</v>
      </c>
      <c r="AY69" s="36">
        <f t="shared" si="37"/>
        <v>3.0892999999999997</v>
      </c>
      <c r="AZ69" s="36">
        <f t="shared" ref="AZ69:AZ75" si="39">AD69*$AC$2+AE69*$AD$2+AF69*$AE$2</f>
        <v>2.6306500000000002</v>
      </c>
      <c r="BA69" s="211"/>
      <c r="BB69" s="212">
        <v>11.8</v>
      </c>
      <c r="BC69" s="212">
        <v>40.299999999999997</v>
      </c>
      <c r="BD69" s="212">
        <v>5</v>
      </c>
      <c r="BE69" s="213">
        <v>10.1</v>
      </c>
    </row>
    <row r="70" spans="1:57" s="25" customFormat="1" ht="14.4">
      <c r="A70" s="25" t="s">
        <v>368</v>
      </c>
      <c r="B70" s="53" t="s">
        <v>369</v>
      </c>
      <c r="C70" s="54" t="s">
        <v>360</v>
      </c>
      <c r="D70" s="54" t="s">
        <v>60</v>
      </c>
      <c r="E70" s="25" t="s">
        <v>280</v>
      </c>
      <c r="G70" s="25" t="s">
        <v>300</v>
      </c>
      <c r="H70" s="25" t="s">
        <v>353</v>
      </c>
      <c r="J70" s="25">
        <v>0</v>
      </c>
      <c r="K70" s="25">
        <v>125</v>
      </c>
      <c r="L70" s="25" t="s">
        <v>64</v>
      </c>
      <c r="M70" s="25" t="s">
        <v>65</v>
      </c>
      <c r="N70" s="25" t="s">
        <v>367</v>
      </c>
      <c r="O70" s="25" t="s">
        <v>95</v>
      </c>
      <c r="P70" s="25">
        <v>0</v>
      </c>
      <c r="R70" s="118">
        <f t="shared" si="35"/>
        <v>17.559523809523814</v>
      </c>
      <c r="S70" s="55">
        <f t="shared" si="35"/>
        <v>59.970238095238102</v>
      </c>
      <c r="T70" s="55">
        <f t="shared" si="35"/>
        <v>7.4404761904761916</v>
      </c>
      <c r="U70" s="55">
        <f t="shared" si="34"/>
        <v>15.029761904761907</v>
      </c>
      <c r="V70" s="118">
        <v>6.3</v>
      </c>
      <c r="W70" s="146">
        <f t="shared" si="32"/>
        <v>93.7</v>
      </c>
      <c r="X70" s="56">
        <v>8</v>
      </c>
      <c r="Y70" s="56">
        <f t="shared" si="26"/>
        <v>90.5</v>
      </c>
      <c r="Z70" s="56">
        <v>1.5</v>
      </c>
      <c r="AA70" s="147">
        <v>3.4</v>
      </c>
      <c r="AB70" s="56">
        <f t="shared" si="36"/>
        <v>51.199999999999996</v>
      </c>
      <c r="AC70" s="119">
        <v>45.4</v>
      </c>
      <c r="AD70" s="56">
        <v>12.9</v>
      </c>
      <c r="AE70" s="56">
        <f t="shared" si="38"/>
        <v>81.199999999999989</v>
      </c>
      <c r="AF70" s="119">
        <v>5.9</v>
      </c>
      <c r="AG70" s="25" t="s">
        <v>69</v>
      </c>
      <c r="AH70" s="194" t="s">
        <v>304</v>
      </c>
      <c r="AI70" s="193" t="s">
        <v>357</v>
      </c>
      <c r="AJ70" s="58"/>
      <c r="AN70" s="36"/>
      <c r="AO70" s="36"/>
      <c r="AP70" s="36"/>
      <c r="AQ70" s="234" t="s">
        <v>89</v>
      </c>
      <c r="AR70" s="228"/>
      <c r="AS70" s="212" t="s">
        <v>90</v>
      </c>
      <c r="AT70" s="212" t="s">
        <v>90</v>
      </c>
      <c r="AU70" s="212" t="s">
        <v>90</v>
      </c>
      <c r="AV70" s="213" t="s">
        <v>90</v>
      </c>
      <c r="AW70" s="36">
        <f t="shared" si="33"/>
        <v>3.34056</v>
      </c>
      <c r="AX70" s="36">
        <f t="shared" si="27"/>
        <v>3.2554999999999996</v>
      </c>
      <c r="AY70" s="36">
        <f t="shared" si="37"/>
        <v>3.0892999999999997</v>
      </c>
      <c r="AZ70" s="36">
        <f t="shared" si="39"/>
        <v>2.6306500000000002</v>
      </c>
      <c r="BA70" s="211"/>
      <c r="BB70" s="212">
        <v>11.8</v>
      </c>
      <c r="BC70" s="212">
        <v>40.299999999999997</v>
      </c>
      <c r="BD70" s="212">
        <v>5</v>
      </c>
      <c r="BE70" s="213">
        <v>10.1</v>
      </c>
    </row>
    <row r="71" spans="1:57" s="25" customFormat="1" ht="14.4">
      <c r="A71" s="25" t="s">
        <v>370</v>
      </c>
      <c r="B71" s="53" t="s">
        <v>371</v>
      </c>
      <c r="C71" s="54" t="s">
        <v>360</v>
      </c>
      <c r="D71" s="54" t="s">
        <v>60</v>
      </c>
      <c r="E71" s="25" t="s">
        <v>280</v>
      </c>
      <c r="G71" s="25" t="s">
        <v>300</v>
      </c>
      <c r="H71" s="25" t="s">
        <v>372</v>
      </c>
      <c r="M71" s="25" t="s">
        <v>366</v>
      </c>
      <c r="N71" s="25" t="s">
        <v>373</v>
      </c>
      <c r="O71" s="25" t="s">
        <v>95</v>
      </c>
      <c r="P71" s="25">
        <v>0</v>
      </c>
      <c r="R71" s="118">
        <f t="shared" si="35"/>
        <v>22.155688622754493</v>
      </c>
      <c r="S71" s="55">
        <f t="shared" si="35"/>
        <v>44.910179640718567</v>
      </c>
      <c r="T71" s="55">
        <f t="shared" si="35"/>
        <v>7.7844311377245514</v>
      </c>
      <c r="U71" s="55">
        <f t="shared" si="34"/>
        <v>25.149700598802401</v>
      </c>
      <c r="V71" s="118">
        <v>4.3</v>
      </c>
      <c r="W71" s="146">
        <f t="shared" si="32"/>
        <v>95.7</v>
      </c>
      <c r="X71" s="56">
        <v>6.7</v>
      </c>
      <c r="Y71" s="56">
        <f t="shared" si="26"/>
        <v>91.7</v>
      </c>
      <c r="Z71" s="56">
        <v>1.6</v>
      </c>
      <c r="AA71" s="147">
        <v>2.8</v>
      </c>
      <c r="AB71" s="56">
        <f t="shared" si="36"/>
        <v>51.400000000000006</v>
      </c>
      <c r="AC71" s="119">
        <v>45.8</v>
      </c>
      <c r="AD71" s="56">
        <v>5.0999999999999996</v>
      </c>
      <c r="AE71" s="56">
        <f t="shared" si="38"/>
        <v>90</v>
      </c>
      <c r="AF71" s="119">
        <v>4.9000000000000004</v>
      </c>
      <c r="AG71" s="25" t="s">
        <v>262</v>
      </c>
      <c r="AH71" s="194" t="s">
        <v>357</v>
      </c>
      <c r="AI71" s="58"/>
      <c r="AJ71" s="58"/>
      <c r="AN71" s="36"/>
      <c r="AO71" s="36"/>
      <c r="AP71" s="36"/>
      <c r="AQ71" s="234" t="s">
        <v>89</v>
      </c>
      <c r="AR71" s="228"/>
      <c r="AS71" s="212" t="s">
        <v>90</v>
      </c>
      <c r="AT71" s="212" t="s">
        <v>90</v>
      </c>
      <c r="AU71" s="212" t="s">
        <v>90</v>
      </c>
      <c r="AV71" s="213" t="s">
        <v>90</v>
      </c>
      <c r="AW71" s="36">
        <f t="shared" si="33"/>
        <v>3.3181599999999998</v>
      </c>
      <c r="AX71" s="36">
        <f t="shared" si="27"/>
        <v>3.2454499999999999</v>
      </c>
      <c r="AY71" s="36">
        <f t="shared" si="37"/>
        <v>3.0836000000000001</v>
      </c>
      <c r="AZ71" s="36">
        <f t="shared" si="39"/>
        <v>2.6226700000000003</v>
      </c>
      <c r="BA71" s="211"/>
      <c r="BB71" s="212">
        <v>3.7</v>
      </c>
      <c r="BC71" s="212">
        <v>7.5</v>
      </c>
      <c r="BD71" s="212">
        <v>1.3</v>
      </c>
      <c r="BE71" s="213">
        <v>4.2</v>
      </c>
    </row>
    <row r="72" spans="1:57" s="25" customFormat="1" ht="14.4">
      <c r="A72" s="25" t="s">
        <v>374</v>
      </c>
      <c r="B72" s="53" t="s">
        <v>375</v>
      </c>
      <c r="C72" s="54" t="s">
        <v>360</v>
      </c>
      <c r="D72" s="54" t="s">
        <v>60</v>
      </c>
      <c r="E72" s="25" t="s">
        <v>280</v>
      </c>
      <c r="G72" s="25" t="s">
        <v>300</v>
      </c>
      <c r="H72" s="25" t="s">
        <v>372</v>
      </c>
      <c r="J72" s="25">
        <v>0</v>
      </c>
      <c r="K72" s="25">
        <v>125</v>
      </c>
      <c r="L72" s="25" t="s">
        <v>64</v>
      </c>
      <c r="M72" s="25" t="s">
        <v>65</v>
      </c>
      <c r="N72" s="25" t="s">
        <v>373</v>
      </c>
      <c r="O72" s="25" t="s">
        <v>95</v>
      </c>
      <c r="P72" s="25">
        <v>0</v>
      </c>
      <c r="R72" s="118">
        <f t="shared" si="35"/>
        <v>22.155688622754493</v>
      </c>
      <c r="S72" s="55">
        <f t="shared" si="35"/>
        <v>44.910179640718567</v>
      </c>
      <c r="T72" s="55">
        <f t="shared" si="35"/>
        <v>7.7844311377245514</v>
      </c>
      <c r="U72" s="55">
        <f t="shared" si="34"/>
        <v>25.149700598802401</v>
      </c>
      <c r="V72" s="118">
        <v>4.3</v>
      </c>
      <c r="W72" s="146">
        <f t="shared" si="32"/>
        <v>95.7</v>
      </c>
      <c r="X72" s="56">
        <v>6.7</v>
      </c>
      <c r="Y72" s="56">
        <f t="shared" si="26"/>
        <v>91.7</v>
      </c>
      <c r="Z72" s="56">
        <v>1.6</v>
      </c>
      <c r="AA72" s="147">
        <v>2.8</v>
      </c>
      <c r="AB72" s="56">
        <f t="shared" si="36"/>
        <v>51.400000000000006</v>
      </c>
      <c r="AC72" s="119">
        <v>45.8</v>
      </c>
      <c r="AD72" s="56">
        <v>5.0999999999999996</v>
      </c>
      <c r="AE72" s="56">
        <f t="shared" si="38"/>
        <v>90</v>
      </c>
      <c r="AF72" s="119">
        <v>4.9000000000000004</v>
      </c>
      <c r="AG72" s="25" t="s">
        <v>69</v>
      </c>
      <c r="AH72" s="194" t="s">
        <v>357</v>
      </c>
      <c r="AI72" s="58"/>
      <c r="AJ72" s="58"/>
      <c r="AN72" s="36"/>
      <c r="AO72" s="36"/>
      <c r="AP72" s="36"/>
      <c r="AQ72" s="234" t="s">
        <v>89</v>
      </c>
      <c r="AR72" s="228"/>
      <c r="AS72" s="212" t="s">
        <v>90</v>
      </c>
      <c r="AT72" s="212" t="s">
        <v>90</v>
      </c>
      <c r="AU72" s="212" t="s">
        <v>90</v>
      </c>
      <c r="AV72" s="213" t="s">
        <v>90</v>
      </c>
      <c r="AW72" s="36">
        <f t="shared" si="33"/>
        <v>3.3181599999999998</v>
      </c>
      <c r="AX72" s="36">
        <f t="shared" si="27"/>
        <v>3.2454499999999999</v>
      </c>
      <c r="AY72" s="36">
        <f t="shared" si="37"/>
        <v>3.0836000000000001</v>
      </c>
      <c r="AZ72" s="36">
        <f t="shared" si="39"/>
        <v>2.6226700000000003</v>
      </c>
      <c r="BA72" s="211"/>
      <c r="BB72" s="212">
        <v>3.7</v>
      </c>
      <c r="BC72" s="212">
        <v>7.5</v>
      </c>
      <c r="BD72" s="212">
        <v>1.3</v>
      </c>
      <c r="BE72" s="213">
        <v>4.2</v>
      </c>
    </row>
    <row r="73" spans="1:57" s="25" customFormat="1" ht="14.4">
      <c r="A73" s="25" t="s">
        <v>376</v>
      </c>
      <c r="B73" s="54" t="s">
        <v>377</v>
      </c>
      <c r="C73" s="54" t="s">
        <v>378</v>
      </c>
      <c r="D73" s="54" t="s">
        <v>60</v>
      </c>
      <c r="E73" s="25" t="s">
        <v>61</v>
      </c>
      <c r="G73" s="25" t="s">
        <v>300</v>
      </c>
      <c r="H73" s="25" t="s">
        <v>379</v>
      </c>
      <c r="J73" s="25">
        <v>0</v>
      </c>
      <c r="K73" s="25">
        <v>0</v>
      </c>
      <c r="M73" s="25" t="s">
        <v>187</v>
      </c>
      <c r="N73" s="25" t="s">
        <v>339</v>
      </c>
      <c r="O73" s="25" t="s">
        <v>380</v>
      </c>
      <c r="P73" s="25">
        <v>0</v>
      </c>
      <c r="Q73" s="25" t="s">
        <v>381</v>
      </c>
      <c r="R73" s="118">
        <f t="shared" si="35"/>
        <v>10.696266397578205</v>
      </c>
      <c r="S73" s="55">
        <f t="shared" si="35"/>
        <v>85.973763874873882</v>
      </c>
      <c r="T73" s="55">
        <f t="shared" si="35"/>
        <v>3.2290615539858729</v>
      </c>
      <c r="U73" s="55">
        <f t="shared" si="34"/>
        <v>0.10090817356205853</v>
      </c>
      <c r="V73" s="118">
        <v>28.8</v>
      </c>
      <c r="W73" s="146">
        <f t="shared" si="32"/>
        <v>71.2</v>
      </c>
      <c r="X73" s="56">
        <v>23.3</v>
      </c>
      <c r="Y73" s="56">
        <f t="shared" si="26"/>
        <v>74.900000000000006</v>
      </c>
      <c r="Z73" s="56">
        <v>1.8</v>
      </c>
      <c r="AA73" s="147">
        <v>9</v>
      </c>
      <c r="AB73" s="56">
        <f t="shared" si="36"/>
        <v>43</v>
      </c>
      <c r="AC73" s="119">
        <v>48</v>
      </c>
      <c r="AD73" s="56">
        <v>91.6</v>
      </c>
      <c r="AE73" s="56">
        <f t="shared" si="38"/>
        <v>8.100000000000005</v>
      </c>
      <c r="AF73" s="119">
        <v>0.3</v>
      </c>
      <c r="AG73" s="25" t="s">
        <v>69</v>
      </c>
      <c r="AH73" s="194" t="s">
        <v>333</v>
      </c>
      <c r="AI73" s="193" t="s">
        <v>334</v>
      </c>
      <c r="AJ73" s="58"/>
      <c r="AN73" s="36"/>
      <c r="AO73" s="36"/>
      <c r="AP73" s="36"/>
      <c r="AQ73" s="234" t="s">
        <v>89</v>
      </c>
      <c r="AR73" s="228"/>
      <c r="AS73" s="212" t="s">
        <v>90</v>
      </c>
      <c r="AT73" s="212" t="s">
        <v>90</v>
      </c>
      <c r="AU73" s="212" t="s">
        <v>90</v>
      </c>
      <c r="AV73" s="213" t="s">
        <v>90</v>
      </c>
      <c r="AW73" s="36">
        <f t="shared" si="33"/>
        <v>3.5925599999999998</v>
      </c>
      <c r="AX73" s="36">
        <f t="shared" si="27"/>
        <v>3.3693500000000003</v>
      </c>
      <c r="AY73" s="36">
        <f t="shared" si="37"/>
        <v>3.1234999999999999</v>
      </c>
      <c r="AZ73" s="36">
        <f t="shared" si="39"/>
        <v>2.7205800000000004</v>
      </c>
      <c r="BA73" s="211"/>
      <c r="BB73" s="212">
        <v>10.6</v>
      </c>
      <c r="BC73" s="212">
        <v>85.2</v>
      </c>
      <c r="BD73" s="212">
        <v>3.2</v>
      </c>
      <c r="BE73" s="213">
        <v>0.1</v>
      </c>
    </row>
    <row r="74" spans="1:57" s="25" customFormat="1" ht="14.4">
      <c r="A74" s="25" t="s">
        <v>382</v>
      </c>
      <c r="B74" s="53" t="s">
        <v>383</v>
      </c>
      <c r="C74" s="54" t="s">
        <v>378</v>
      </c>
      <c r="D74" s="54" t="s">
        <v>60</v>
      </c>
      <c r="E74" s="25" t="s">
        <v>280</v>
      </c>
      <c r="G74" s="25" t="s">
        <v>300</v>
      </c>
      <c r="H74" s="25" t="s">
        <v>379</v>
      </c>
      <c r="J74" s="25">
        <v>0</v>
      </c>
      <c r="K74" s="25">
        <v>45</v>
      </c>
      <c r="L74" s="25" t="s">
        <v>64</v>
      </c>
      <c r="M74" s="25" t="s">
        <v>65</v>
      </c>
      <c r="N74" s="25" t="s">
        <v>339</v>
      </c>
      <c r="O74" s="25" t="s">
        <v>384</v>
      </c>
      <c r="P74" s="25">
        <v>0</v>
      </c>
      <c r="Q74" s="25" t="s">
        <v>381</v>
      </c>
      <c r="R74" s="118">
        <f t="shared" si="35"/>
        <v>10.696266397578205</v>
      </c>
      <c r="S74" s="55">
        <f t="shared" si="35"/>
        <v>85.973763874873882</v>
      </c>
      <c r="T74" s="55">
        <f t="shared" si="35"/>
        <v>3.2290615539858729</v>
      </c>
      <c r="U74" s="55">
        <f t="shared" si="34"/>
        <v>0.10090817356205853</v>
      </c>
      <c r="V74" s="118">
        <v>28.8</v>
      </c>
      <c r="W74" s="146">
        <f t="shared" si="32"/>
        <v>71.2</v>
      </c>
      <c r="X74" s="56">
        <v>23.3</v>
      </c>
      <c r="Y74" s="56">
        <f t="shared" si="26"/>
        <v>74.900000000000006</v>
      </c>
      <c r="Z74" s="56">
        <v>1.8</v>
      </c>
      <c r="AA74" s="147">
        <v>9</v>
      </c>
      <c r="AB74" s="56">
        <f t="shared" si="36"/>
        <v>43</v>
      </c>
      <c r="AC74" s="119">
        <v>48</v>
      </c>
      <c r="AD74" s="56">
        <v>91.6</v>
      </c>
      <c r="AE74" s="56">
        <f t="shared" si="38"/>
        <v>8.100000000000005</v>
      </c>
      <c r="AF74" s="119">
        <v>0.3</v>
      </c>
      <c r="AG74" s="25" t="s">
        <v>69</v>
      </c>
      <c r="AH74" s="194" t="s">
        <v>333</v>
      </c>
      <c r="AI74" s="193" t="s">
        <v>334</v>
      </c>
      <c r="AJ74" s="58"/>
      <c r="AN74" s="36"/>
      <c r="AO74" s="36"/>
      <c r="AP74" s="36"/>
      <c r="AQ74" s="234" t="s">
        <v>89</v>
      </c>
      <c r="AR74" s="228"/>
      <c r="AS74" s="212" t="s">
        <v>90</v>
      </c>
      <c r="AT74" s="212" t="s">
        <v>90</v>
      </c>
      <c r="AU74" s="212" t="s">
        <v>90</v>
      </c>
      <c r="AV74" s="213" t="s">
        <v>90</v>
      </c>
      <c r="AW74" s="36">
        <f t="shared" si="33"/>
        <v>3.5925599999999998</v>
      </c>
      <c r="AX74" s="36">
        <f t="shared" si="27"/>
        <v>3.3693500000000003</v>
      </c>
      <c r="AY74" s="36">
        <f t="shared" si="37"/>
        <v>3.1234999999999999</v>
      </c>
      <c r="AZ74" s="36">
        <f t="shared" si="39"/>
        <v>2.7205800000000004</v>
      </c>
      <c r="BA74" s="211"/>
      <c r="BB74" s="212">
        <v>10.6</v>
      </c>
      <c r="BC74" s="212">
        <v>85.2</v>
      </c>
      <c r="BD74" s="212">
        <v>3.2</v>
      </c>
      <c r="BE74" s="213">
        <v>0.1</v>
      </c>
    </row>
    <row r="75" spans="1:57" s="25" customFormat="1" ht="14.4">
      <c r="A75" s="25" t="s">
        <v>385</v>
      </c>
      <c r="B75" s="53" t="s">
        <v>386</v>
      </c>
      <c r="C75" s="54" t="s">
        <v>378</v>
      </c>
      <c r="D75" s="54" t="s">
        <v>60</v>
      </c>
      <c r="E75" s="25" t="s">
        <v>61</v>
      </c>
      <c r="G75" s="25" t="s">
        <v>300</v>
      </c>
      <c r="H75" s="25" t="s">
        <v>379</v>
      </c>
      <c r="J75" s="25">
        <v>0</v>
      </c>
      <c r="K75" s="25">
        <v>1000</v>
      </c>
      <c r="L75" s="25" t="s">
        <v>64</v>
      </c>
      <c r="M75" s="25" t="s">
        <v>387</v>
      </c>
      <c r="N75" s="25" t="s">
        <v>339</v>
      </c>
      <c r="O75" s="25" t="s">
        <v>384</v>
      </c>
      <c r="P75" s="25">
        <v>0</v>
      </c>
      <c r="Q75" s="25" t="s">
        <v>381</v>
      </c>
      <c r="R75" s="118">
        <f t="shared" si="35"/>
        <v>10.696266397578205</v>
      </c>
      <c r="S75" s="55">
        <f t="shared" si="35"/>
        <v>85.973763874873882</v>
      </c>
      <c r="T75" s="55">
        <f t="shared" si="35"/>
        <v>3.2290615539858729</v>
      </c>
      <c r="U75" s="55">
        <f t="shared" si="34"/>
        <v>0.10090817356205853</v>
      </c>
      <c r="V75" s="118">
        <v>28.8</v>
      </c>
      <c r="W75" s="146">
        <f t="shared" si="32"/>
        <v>71.2</v>
      </c>
      <c r="X75" s="56">
        <v>23.3</v>
      </c>
      <c r="Y75" s="56">
        <f t="shared" si="26"/>
        <v>74.900000000000006</v>
      </c>
      <c r="Z75" s="56">
        <v>1.8</v>
      </c>
      <c r="AA75" s="147">
        <v>9</v>
      </c>
      <c r="AB75" s="56">
        <f t="shared" si="36"/>
        <v>43</v>
      </c>
      <c r="AC75" s="119">
        <v>48</v>
      </c>
      <c r="AD75" s="56">
        <v>91.6</v>
      </c>
      <c r="AE75" s="56">
        <f t="shared" si="38"/>
        <v>8.100000000000005</v>
      </c>
      <c r="AF75" s="119">
        <v>0.3</v>
      </c>
      <c r="AG75" s="25" t="s">
        <v>69</v>
      </c>
      <c r="AH75" s="194" t="s">
        <v>333</v>
      </c>
      <c r="AI75" s="193" t="s">
        <v>334</v>
      </c>
      <c r="AJ75" s="58"/>
      <c r="AN75" s="36"/>
      <c r="AO75" s="36"/>
      <c r="AP75" s="36"/>
      <c r="AQ75" s="234" t="s">
        <v>89</v>
      </c>
      <c r="AR75" s="228"/>
      <c r="AS75" s="212" t="s">
        <v>90</v>
      </c>
      <c r="AT75" s="212" t="s">
        <v>90</v>
      </c>
      <c r="AU75" s="212" t="s">
        <v>90</v>
      </c>
      <c r="AV75" s="213" t="s">
        <v>90</v>
      </c>
      <c r="AW75" s="36">
        <f t="shared" si="33"/>
        <v>3.5925599999999998</v>
      </c>
      <c r="AX75" s="36">
        <f t="shared" si="27"/>
        <v>3.3693500000000003</v>
      </c>
      <c r="AY75" s="36">
        <f t="shared" si="37"/>
        <v>3.1234999999999999</v>
      </c>
      <c r="AZ75" s="36">
        <f t="shared" si="39"/>
        <v>2.7205800000000004</v>
      </c>
      <c r="BA75" s="211"/>
      <c r="BB75" s="212">
        <v>10.6</v>
      </c>
      <c r="BC75" s="212">
        <v>85.2</v>
      </c>
      <c r="BD75" s="212">
        <v>3.2</v>
      </c>
      <c r="BE75" s="213">
        <v>0.1</v>
      </c>
    </row>
    <row r="76" spans="1:57" s="25" customFormat="1" ht="14.4">
      <c r="A76" s="25" t="s">
        <v>388</v>
      </c>
      <c r="B76" s="54" t="s">
        <v>389</v>
      </c>
      <c r="C76" s="54" t="s">
        <v>378</v>
      </c>
      <c r="D76" s="54" t="s">
        <v>60</v>
      </c>
      <c r="E76" s="25" t="s">
        <v>61</v>
      </c>
      <c r="G76" s="25" t="s">
        <v>300</v>
      </c>
      <c r="H76" s="25" t="s">
        <v>379</v>
      </c>
      <c r="J76" s="25">
        <v>0</v>
      </c>
      <c r="K76" s="25">
        <v>0</v>
      </c>
      <c r="M76" s="25" t="s">
        <v>187</v>
      </c>
      <c r="N76" s="25" t="s">
        <v>390</v>
      </c>
      <c r="O76" s="25" t="s">
        <v>380</v>
      </c>
      <c r="P76" s="25">
        <v>0</v>
      </c>
      <c r="Q76" s="25" t="s">
        <v>381</v>
      </c>
      <c r="R76" s="118">
        <f t="shared" si="35"/>
        <v>94.105480868665964</v>
      </c>
      <c r="S76" s="55">
        <f t="shared" si="35"/>
        <v>5.1706308169596689</v>
      </c>
      <c r="T76" s="55">
        <f t="shared" si="35"/>
        <v>0.72388831437435364</v>
      </c>
      <c r="U76" s="55">
        <f t="shared" si="34"/>
        <v>0</v>
      </c>
      <c r="V76" s="118">
        <v>26.3</v>
      </c>
      <c r="W76" s="146">
        <f t="shared" si="32"/>
        <v>73.7</v>
      </c>
      <c r="X76" s="56">
        <v>22.1</v>
      </c>
      <c r="Y76" s="56">
        <f t="shared" si="26"/>
        <v>74.7</v>
      </c>
      <c r="Z76" s="56">
        <v>3.2</v>
      </c>
      <c r="AA76" s="147">
        <v>9.1999999999999993</v>
      </c>
      <c r="AB76" s="56">
        <f t="shared" si="36"/>
        <v>47.4</v>
      </c>
      <c r="AC76" s="119">
        <v>43.4</v>
      </c>
      <c r="AD76" s="56">
        <v>0</v>
      </c>
      <c r="AE76" s="56">
        <v>0</v>
      </c>
      <c r="AF76" s="119">
        <v>0</v>
      </c>
      <c r="AG76" s="25" t="s">
        <v>69</v>
      </c>
      <c r="AH76" s="57" t="s">
        <v>333</v>
      </c>
      <c r="AI76" s="58"/>
      <c r="AJ76" s="58"/>
      <c r="AN76" s="36"/>
      <c r="AO76" s="36"/>
      <c r="AP76" s="36"/>
      <c r="AQ76" s="234" t="s">
        <v>89</v>
      </c>
      <c r="AR76" s="228"/>
      <c r="AS76" s="212" t="s">
        <v>90</v>
      </c>
      <c r="AT76" s="212" t="s">
        <v>90</v>
      </c>
      <c r="AU76" s="212" t="s">
        <v>90</v>
      </c>
      <c r="AV76" s="213" t="s">
        <v>90</v>
      </c>
      <c r="AW76" s="36">
        <f t="shared" si="33"/>
        <v>3.5645600000000002</v>
      </c>
      <c r="AX76" s="36">
        <f t="shared" si="27"/>
        <v>3.35615</v>
      </c>
      <c r="AY76" s="36">
        <f t="shared" si="37"/>
        <v>3.1387999999999998</v>
      </c>
      <c r="AZ76" s="36">
        <v>1</v>
      </c>
      <c r="BA76" s="211"/>
      <c r="BB76" s="212">
        <v>91</v>
      </c>
      <c r="BC76" s="212">
        <v>5</v>
      </c>
      <c r="BD76" s="212">
        <v>0.7</v>
      </c>
      <c r="BE76" s="213">
        <v>0</v>
      </c>
    </row>
    <row r="77" spans="1:57" s="25" customFormat="1" ht="14.4">
      <c r="A77" s="25" t="s">
        <v>391</v>
      </c>
      <c r="B77" s="53" t="s">
        <v>392</v>
      </c>
      <c r="C77" s="54" t="s">
        <v>378</v>
      </c>
      <c r="D77" s="54" t="s">
        <v>60</v>
      </c>
      <c r="E77" s="25" t="s">
        <v>280</v>
      </c>
      <c r="G77" s="25" t="s">
        <v>300</v>
      </c>
      <c r="H77" s="25" t="s">
        <v>379</v>
      </c>
      <c r="J77" s="25">
        <v>0</v>
      </c>
      <c r="K77" s="25">
        <v>45</v>
      </c>
      <c r="L77" s="25" t="s">
        <v>64</v>
      </c>
      <c r="M77" s="25" t="s">
        <v>65</v>
      </c>
      <c r="N77" s="25" t="s">
        <v>390</v>
      </c>
      <c r="O77" s="25" t="s">
        <v>384</v>
      </c>
      <c r="P77" s="25">
        <v>0</v>
      </c>
      <c r="Q77" s="25" t="s">
        <v>381</v>
      </c>
      <c r="R77" s="118">
        <f t="shared" si="35"/>
        <v>94.105480868665964</v>
      </c>
      <c r="S77" s="55">
        <f t="shared" si="35"/>
        <v>5.1706308169596689</v>
      </c>
      <c r="T77" s="55">
        <f t="shared" si="35"/>
        <v>0.72388831437435364</v>
      </c>
      <c r="U77" s="55">
        <f t="shared" si="34"/>
        <v>0</v>
      </c>
      <c r="V77" s="118">
        <v>26.3</v>
      </c>
      <c r="W77" s="146">
        <f t="shared" si="32"/>
        <v>73.7</v>
      </c>
      <c r="X77" s="56">
        <v>22.1</v>
      </c>
      <c r="Y77" s="56">
        <f t="shared" si="26"/>
        <v>74.7</v>
      </c>
      <c r="Z77" s="56">
        <v>3.2</v>
      </c>
      <c r="AA77" s="147">
        <v>9.1999999999999993</v>
      </c>
      <c r="AB77" s="56">
        <f t="shared" si="36"/>
        <v>47.4</v>
      </c>
      <c r="AC77" s="119">
        <v>43.4</v>
      </c>
      <c r="AD77" s="56">
        <v>0</v>
      </c>
      <c r="AE77" s="56">
        <v>0</v>
      </c>
      <c r="AF77" s="119">
        <v>0</v>
      </c>
      <c r="AG77" s="25" t="s">
        <v>69</v>
      </c>
      <c r="AH77" s="57" t="s">
        <v>333</v>
      </c>
      <c r="AI77" s="58"/>
      <c r="AJ77" s="58"/>
      <c r="AN77" s="36"/>
      <c r="AO77" s="36"/>
      <c r="AP77" s="36"/>
      <c r="AQ77" s="234" t="s">
        <v>89</v>
      </c>
      <c r="AR77" s="228"/>
      <c r="AS77" s="212" t="s">
        <v>90</v>
      </c>
      <c r="AT77" s="212" t="s">
        <v>90</v>
      </c>
      <c r="AU77" s="212" t="s">
        <v>90</v>
      </c>
      <c r="AV77" s="213" t="s">
        <v>90</v>
      </c>
      <c r="AW77" s="36">
        <f t="shared" si="33"/>
        <v>3.5645600000000002</v>
      </c>
      <c r="AX77" s="36">
        <f t="shared" si="27"/>
        <v>3.35615</v>
      </c>
      <c r="AY77" s="36">
        <f t="shared" si="37"/>
        <v>3.1387999999999998</v>
      </c>
      <c r="AZ77" s="36">
        <v>1</v>
      </c>
      <c r="BA77" s="211"/>
      <c r="BB77" s="212">
        <v>91</v>
      </c>
      <c r="BC77" s="212">
        <v>5</v>
      </c>
      <c r="BD77" s="212">
        <v>0.7</v>
      </c>
      <c r="BE77" s="213">
        <v>0</v>
      </c>
    </row>
    <row r="78" spans="1:57" s="25" customFormat="1">
      <c r="A78" s="25" t="s">
        <v>393</v>
      </c>
      <c r="B78" s="53" t="s">
        <v>394</v>
      </c>
      <c r="C78" s="54" t="s">
        <v>378</v>
      </c>
      <c r="D78" s="54" t="s">
        <v>60</v>
      </c>
      <c r="E78" s="25" t="s">
        <v>61</v>
      </c>
      <c r="G78" s="25" t="s">
        <v>300</v>
      </c>
      <c r="H78" s="25" t="s">
        <v>379</v>
      </c>
      <c r="J78" s="25">
        <v>0</v>
      </c>
      <c r="K78" s="25">
        <v>1000</v>
      </c>
      <c r="L78" s="25" t="s">
        <v>64</v>
      </c>
      <c r="M78" s="25" t="s">
        <v>387</v>
      </c>
      <c r="N78" s="25" t="s">
        <v>390</v>
      </c>
      <c r="O78" s="25" t="s">
        <v>384</v>
      </c>
      <c r="P78" s="25">
        <v>0</v>
      </c>
      <c r="Q78" s="25" t="s">
        <v>381</v>
      </c>
      <c r="R78" s="118">
        <f t="shared" si="35"/>
        <v>94.105480868665964</v>
      </c>
      <c r="S78" s="55">
        <f t="shared" si="35"/>
        <v>5.1706308169596689</v>
      </c>
      <c r="T78" s="55">
        <f t="shared" si="35"/>
        <v>0.72388831437435364</v>
      </c>
      <c r="U78" s="55">
        <f t="shared" si="34"/>
        <v>0</v>
      </c>
      <c r="V78" s="118">
        <v>26.3</v>
      </c>
      <c r="W78" s="146">
        <f t="shared" si="32"/>
        <v>73.7</v>
      </c>
      <c r="X78" s="56">
        <v>22.1</v>
      </c>
      <c r="Y78" s="56">
        <f t="shared" si="26"/>
        <v>74.7</v>
      </c>
      <c r="Z78" s="56">
        <v>3.2</v>
      </c>
      <c r="AA78" s="147">
        <v>9.1999999999999993</v>
      </c>
      <c r="AB78" s="56">
        <f t="shared" si="36"/>
        <v>47.4</v>
      </c>
      <c r="AC78" s="119">
        <v>43.4</v>
      </c>
      <c r="AD78" s="56">
        <v>0</v>
      </c>
      <c r="AE78" s="56">
        <v>0</v>
      </c>
      <c r="AF78" s="119">
        <v>0</v>
      </c>
      <c r="AG78" s="25" t="s">
        <v>69</v>
      </c>
      <c r="AH78" s="57" t="s">
        <v>333</v>
      </c>
      <c r="AI78" s="58"/>
      <c r="AJ78" s="58"/>
      <c r="AN78" s="36"/>
      <c r="AO78" s="36"/>
      <c r="AP78" s="36"/>
      <c r="AQ78" s="234" t="s">
        <v>89</v>
      </c>
      <c r="AR78" s="229"/>
      <c r="AS78" s="212" t="s">
        <v>90</v>
      </c>
      <c r="AT78" s="212" t="s">
        <v>90</v>
      </c>
      <c r="AU78" s="212" t="s">
        <v>90</v>
      </c>
      <c r="AV78" s="213" t="s">
        <v>90</v>
      </c>
      <c r="AW78" s="36">
        <f t="shared" si="33"/>
        <v>3.5645600000000002</v>
      </c>
      <c r="AX78" s="36">
        <f t="shared" si="27"/>
        <v>3.35615</v>
      </c>
      <c r="AY78" s="36">
        <f t="shared" si="37"/>
        <v>3.1387999999999998</v>
      </c>
      <c r="AZ78" s="36">
        <v>1</v>
      </c>
      <c r="BA78" s="211"/>
      <c r="BB78" s="212">
        <v>91</v>
      </c>
      <c r="BC78" s="212">
        <v>5</v>
      </c>
      <c r="BD78" s="212">
        <v>0.7</v>
      </c>
      <c r="BE78" s="213">
        <v>0</v>
      </c>
    </row>
    <row r="79" spans="1:57" s="25" customFormat="1" ht="14.4">
      <c r="A79" s="25" t="s">
        <v>395</v>
      </c>
      <c r="B79" s="53" t="s">
        <v>396</v>
      </c>
      <c r="C79" s="54" t="s">
        <v>106</v>
      </c>
      <c r="D79" s="54" t="s">
        <v>60</v>
      </c>
      <c r="E79" s="25" t="s">
        <v>61</v>
      </c>
      <c r="G79" s="25" t="s">
        <v>300</v>
      </c>
      <c r="H79" s="25" t="s">
        <v>343</v>
      </c>
      <c r="J79" s="25">
        <v>0</v>
      </c>
      <c r="K79" s="25">
        <v>0</v>
      </c>
      <c r="M79" s="25" t="s">
        <v>187</v>
      </c>
      <c r="N79" s="25" t="s">
        <v>259</v>
      </c>
      <c r="O79" s="25" t="s">
        <v>397</v>
      </c>
      <c r="P79" s="25">
        <v>0</v>
      </c>
      <c r="R79" s="118">
        <f t="shared" si="35"/>
        <v>35.388127853881279</v>
      </c>
      <c r="S79" s="55">
        <f t="shared" si="35"/>
        <v>41.324200913242016</v>
      </c>
      <c r="T79" s="55">
        <f t="shared" si="35"/>
        <v>6.0502283105022832</v>
      </c>
      <c r="U79" s="55">
        <f t="shared" si="34"/>
        <v>17.237442922374431</v>
      </c>
      <c r="V79" s="118">
        <v>10.6</v>
      </c>
      <c r="W79" s="146">
        <f t="shared" si="32"/>
        <v>89.4</v>
      </c>
      <c r="X79" s="56">
        <v>10.1</v>
      </c>
      <c r="Y79" s="56">
        <f t="shared" si="26"/>
        <v>88.2</v>
      </c>
      <c r="Z79" s="56">
        <v>1.7</v>
      </c>
      <c r="AA79" s="147">
        <v>4.5</v>
      </c>
      <c r="AB79" s="56">
        <f t="shared" si="36"/>
        <v>51.7</v>
      </c>
      <c r="AC79" s="119">
        <v>43.8</v>
      </c>
      <c r="AD79" s="56">
        <v>14.4</v>
      </c>
      <c r="AE79" s="56">
        <f t="shared" ref="AE79:AE110" si="40">100 - $AD79 - $AF79</f>
        <v>81.3</v>
      </c>
      <c r="AF79" s="119">
        <v>4.3</v>
      </c>
      <c r="AG79" s="25" t="s">
        <v>69</v>
      </c>
      <c r="AH79" s="57" t="s">
        <v>311</v>
      </c>
      <c r="AI79" s="193" t="s">
        <v>327</v>
      </c>
      <c r="AJ79" s="58"/>
      <c r="AN79" s="36"/>
      <c r="AO79" s="36"/>
      <c r="AP79" s="36"/>
      <c r="AQ79" s="234" t="s">
        <v>289</v>
      </c>
      <c r="AR79" s="228"/>
      <c r="AS79" s="212" t="s">
        <v>90</v>
      </c>
      <c r="AT79" s="212" t="s">
        <v>90</v>
      </c>
      <c r="AU79" s="212" t="s">
        <v>90</v>
      </c>
      <c r="AV79" s="213" t="s">
        <v>90</v>
      </c>
      <c r="AW79" s="36">
        <f t="shared" si="33"/>
        <v>3.3887200000000002</v>
      </c>
      <c r="AX79" s="36">
        <f t="shared" si="27"/>
        <v>3.2706500000000003</v>
      </c>
      <c r="AY79" s="36">
        <f t="shared" si="37"/>
        <v>3.1023499999999999</v>
      </c>
      <c r="AZ79" s="36">
        <f t="shared" ref="AZ79:AZ84" si="41">AD79*$AC$2+AE79*$AD$2+AF79*$AE$2</f>
        <v>2.6332599999999999</v>
      </c>
      <c r="BA79" s="211"/>
      <c r="BB79" s="212">
        <v>31</v>
      </c>
      <c r="BC79" s="212">
        <v>36.200000000000003</v>
      </c>
      <c r="BD79" s="212">
        <v>5.3</v>
      </c>
      <c r="BE79" s="213">
        <v>15.1</v>
      </c>
    </row>
    <row r="80" spans="1:57" s="25" customFormat="1" ht="14.4">
      <c r="A80" s="25" t="s">
        <v>398</v>
      </c>
      <c r="B80" s="53" t="s">
        <v>321</v>
      </c>
      <c r="C80" s="54" t="s">
        <v>106</v>
      </c>
      <c r="D80" s="54" t="s">
        <v>60</v>
      </c>
      <c r="E80" s="25" t="s">
        <v>61</v>
      </c>
      <c r="G80" s="25" t="s">
        <v>300</v>
      </c>
      <c r="H80" s="25" t="s">
        <v>343</v>
      </c>
      <c r="J80" s="25">
        <v>0</v>
      </c>
      <c r="K80" s="25">
        <v>0</v>
      </c>
      <c r="M80" s="25" t="s">
        <v>187</v>
      </c>
      <c r="N80" s="25" t="s">
        <v>399</v>
      </c>
      <c r="O80" s="25" t="s">
        <v>400</v>
      </c>
      <c r="P80" s="25">
        <v>0</v>
      </c>
      <c r="R80" s="118">
        <f t="shared" si="35"/>
        <v>30.14354066985646</v>
      </c>
      <c r="S80" s="55">
        <f t="shared" si="35"/>
        <v>49.162679425837325</v>
      </c>
      <c r="T80" s="55">
        <f t="shared" si="35"/>
        <v>2.9904306220095696</v>
      </c>
      <c r="U80" s="55">
        <f t="shared" si="34"/>
        <v>17.703349282296653</v>
      </c>
      <c r="V80" s="118">
        <f>11/R$2/(11/R$2 + 47.06/S$2)*100</f>
        <v>11.592745741766182</v>
      </c>
      <c r="W80" s="146">
        <f t="shared" si="32"/>
        <v>88.40725425823382</v>
      </c>
      <c r="X80" s="56">
        <f>7.31/R$2/(7.31/R$2 + 32.71/S$2 + 0.97/T$2)*100</f>
        <v>10.933290399707158</v>
      </c>
      <c r="Y80" s="56">
        <f t="shared" si="26"/>
        <v>87.208015692360163</v>
      </c>
      <c r="Z80" s="56">
        <f>0.97/T$2/(7.31/$R$2 + 32.71/$S$2 + 0.97/$T$2)*100</f>
        <v>1.8586939079326736</v>
      </c>
      <c r="AA80" s="147">
        <f>2.96/R$2/(2.96/$R$2 + 17.23/$S$2 + 20.84/$T$2)*100</f>
        <v>4.9028774395753443</v>
      </c>
      <c r="AB80" s="56">
        <f t="shared" si="36"/>
        <v>50.872954148365181</v>
      </c>
      <c r="AC80" s="119">
        <f>20.84/T$2/(2.96/$R$2 + 17.23/$S$2 + 20.84/$T$2)*100</f>
        <v>44.22416841205947</v>
      </c>
      <c r="AD80" s="56">
        <f>3.31/T$2/(3.31/$T$2+8.81/$U$2+0.69/$V$2)*100</f>
        <v>16.489174031885049</v>
      </c>
      <c r="AE80" s="56">
        <f t="shared" si="40"/>
        <v>79.418342241773317</v>
      </c>
      <c r="AF80" s="119">
        <f>0.69/V$2/(3.31/$T$2+8.81/$U$2+0.69/$V$2)*100</f>
        <v>4.0924837263416221</v>
      </c>
      <c r="AG80" s="25" t="s">
        <v>69</v>
      </c>
      <c r="AH80" s="194" t="s">
        <v>345</v>
      </c>
      <c r="AI80" s="193" t="s">
        <v>305</v>
      </c>
      <c r="AJ80" s="58"/>
      <c r="AN80" s="36"/>
      <c r="AO80" s="36"/>
      <c r="AP80" s="36"/>
      <c r="AQ80" s="234" t="s">
        <v>89</v>
      </c>
      <c r="AR80" s="228"/>
      <c r="AS80" s="212" t="s">
        <v>90</v>
      </c>
      <c r="AT80" s="212" t="s">
        <v>90</v>
      </c>
      <c r="AU80" s="212" t="s">
        <v>90</v>
      </c>
      <c r="AV80" s="213" t="s">
        <v>90</v>
      </c>
      <c r="AW80" s="36">
        <f t="shared" si="33"/>
        <v>3.3998387523077813</v>
      </c>
      <c r="AX80" s="36">
        <f t="shared" si="27"/>
        <v>3.2764235962740056</v>
      </c>
      <c r="AY80" s="36">
        <f t="shared" si="37"/>
        <v>3.1040990755606366</v>
      </c>
      <c r="AZ80" s="36">
        <f t="shared" si="41"/>
        <v>2.6356826011992682</v>
      </c>
      <c r="BA80" s="211"/>
      <c r="BB80" s="212">
        <v>25.2</v>
      </c>
      <c r="BC80" s="212">
        <v>41.1</v>
      </c>
      <c r="BD80" s="212">
        <v>2.5</v>
      </c>
      <c r="BE80" s="213">
        <v>14.8</v>
      </c>
    </row>
    <row r="81" spans="1:59" s="25" customFormat="1" ht="14.4">
      <c r="A81" s="25" t="s">
        <v>401</v>
      </c>
      <c r="B81" s="53" t="s">
        <v>396</v>
      </c>
      <c r="C81" s="54" t="s">
        <v>106</v>
      </c>
      <c r="D81" s="54" t="s">
        <v>60</v>
      </c>
      <c r="E81" s="25" t="s">
        <v>61</v>
      </c>
      <c r="G81" s="25" t="s">
        <v>300</v>
      </c>
      <c r="H81" s="25" t="s">
        <v>402</v>
      </c>
      <c r="J81" s="25">
        <v>0</v>
      </c>
      <c r="K81" s="25">
        <v>125</v>
      </c>
      <c r="L81" s="25" t="s">
        <v>64</v>
      </c>
      <c r="M81" s="25" t="s">
        <v>108</v>
      </c>
      <c r="N81" s="25" t="s">
        <v>259</v>
      </c>
      <c r="O81" s="25" t="s">
        <v>403</v>
      </c>
      <c r="P81" s="25">
        <v>0</v>
      </c>
      <c r="R81" s="118">
        <f t="shared" si="35"/>
        <v>35.388127853881279</v>
      </c>
      <c r="S81" s="55">
        <f t="shared" si="35"/>
        <v>41.324200913242016</v>
      </c>
      <c r="T81" s="55">
        <f t="shared" si="35"/>
        <v>6.0502283105022832</v>
      </c>
      <c r="U81" s="55">
        <f t="shared" si="34"/>
        <v>17.237442922374431</v>
      </c>
      <c r="V81" s="118">
        <v>10.6</v>
      </c>
      <c r="W81" s="146">
        <f t="shared" si="32"/>
        <v>89.4</v>
      </c>
      <c r="X81" s="56">
        <v>10.1</v>
      </c>
      <c r="Y81" s="56">
        <f t="shared" si="26"/>
        <v>88.2</v>
      </c>
      <c r="Z81" s="56">
        <v>1.7</v>
      </c>
      <c r="AA81" s="147">
        <v>4.5</v>
      </c>
      <c r="AB81" s="56">
        <f t="shared" si="36"/>
        <v>51.7</v>
      </c>
      <c r="AC81" s="119">
        <v>43.8</v>
      </c>
      <c r="AD81" s="56">
        <v>14.4</v>
      </c>
      <c r="AE81" s="56">
        <f t="shared" si="40"/>
        <v>81.3</v>
      </c>
      <c r="AF81" s="119">
        <v>4.3</v>
      </c>
      <c r="AG81" s="25" t="s">
        <v>69</v>
      </c>
      <c r="AH81" s="57" t="s">
        <v>311</v>
      </c>
      <c r="AI81" s="193" t="s">
        <v>327</v>
      </c>
      <c r="AJ81" s="58"/>
      <c r="AN81" s="36"/>
      <c r="AO81" s="36"/>
      <c r="AP81" s="36"/>
      <c r="AQ81" s="234" t="s">
        <v>289</v>
      </c>
      <c r="AR81" s="228"/>
      <c r="AS81" s="212" t="s">
        <v>90</v>
      </c>
      <c r="AT81" s="212" t="s">
        <v>90</v>
      </c>
      <c r="AU81" s="212" t="s">
        <v>90</v>
      </c>
      <c r="AV81" s="213" t="s">
        <v>90</v>
      </c>
      <c r="AW81" s="36">
        <f t="shared" si="33"/>
        <v>3.3887200000000002</v>
      </c>
      <c r="AX81" s="36">
        <f t="shared" si="27"/>
        <v>3.2706500000000003</v>
      </c>
      <c r="AY81" s="36">
        <f t="shared" si="37"/>
        <v>3.1023499999999999</v>
      </c>
      <c r="AZ81" s="36">
        <f t="shared" si="41"/>
        <v>2.6332599999999999</v>
      </c>
      <c r="BA81" s="211"/>
      <c r="BB81" s="212">
        <v>31</v>
      </c>
      <c r="BC81" s="212">
        <v>36.200000000000003</v>
      </c>
      <c r="BD81" s="212">
        <v>5.3</v>
      </c>
      <c r="BE81" s="213">
        <v>15.1</v>
      </c>
    </row>
    <row r="82" spans="1:59" s="25" customFormat="1" ht="14.4">
      <c r="A82" s="25" t="s">
        <v>404</v>
      </c>
      <c r="B82" s="53" t="s">
        <v>405</v>
      </c>
      <c r="C82" s="54" t="s">
        <v>106</v>
      </c>
      <c r="D82" s="54" t="s">
        <v>60</v>
      </c>
      <c r="E82" s="25" t="s">
        <v>61</v>
      </c>
      <c r="G82" s="25" t="s">
        <v>300</v>
      </c>
      <c r="H82" s="25" t="s">
        <v>402</v>
      </c>
      <c r="J82" s="25">
        <v>0</v>
      </c>
      <c r="K82" s="25">
        <v>125</v>
      </c>
      <c r="L82" s="25" t="s">
        <v>64</v>
      </c>
      <c r="M82" s="25" t="s">
        <v>108</v>
      </c>
      <c r="N82" s="25" t="s">
        <v>259</v>
      </c>
      <c r="O82" s="25" t="s">
        <v>403</v>
      </c>
      <c r="P82" s="25">
        <v>0</v>
      </c>
      <c r="R82" s="118">
        <f t="shared" si="35"/>
        <v>26.119402985074625</v>
      </c>
      <c r="S82" s="55">
        <f t="shared" si="35"/>
        <v>64.054726368159194</v>
      </c>
      <c r="T82" s="55">
        <f t="shared" si="35"/>
        <v>2.4875621890547261</v>
      </c>
      <c r="U82" s="55">
        <f t="shared" si="34"/>
        <v>7.3383084577114426</v>
      </c>
      <c r="V82" s="118">
        <v>4.2</v>
      </c>
      <c r="W82" s="146">
        <f t="shared" si="32"/>
        <v>95.8</v>
      </c>
      <c r="X82" s="56">
        <v>6.4</v>
      </c>
      <c r="Y82" s="56">
        <f t="shared" si="26"/>
        <v>90.5</v>
      </c>
      <c r="Z82" s="56">
        <v>3.1</v>
      </c>
      <c r="AA82" s="147">
        <v>2.8</v>
      </c>
      <c r="AB82" s="56">
        <f t="shared" si="36"/>
        <v>54.1</v>
      </c>
      <c r="AC82" s="119">
        <v>43.1</v>
      </c>
      <c r="AD82" s="56">
        <v>19.399999999999999</v>
      </c>
      <c r="AE82" s="56">
        <f t="shared" si="40"/>
        <v>79</v>
      </c>
      <c r="AF82" s="119">
        <v>1.6</v>
      </c>
      <c r="AG82" s="25" t="s">
        <v>69</v>
      </c>
      <c r="AH82" s="194" t="s">
        <v>311</v>
      </c>
      <c r="AI82" s="193" t="s">
        <v>310</v>
      </c>
      <c r="AJ82" s="58"/>
      <c r="AN82" s="36"/>
      <c r="AO82" s="36"/>
      <c r="AP82" s="36"/>
      <c r="AQ82" s="234" t="s">
        <v>289</v>
      </c>
      <c r="AR82" s="228"/>
      <c r="AS82" s="212" t="s">
        <v>90</v>
      </c>
      <c r="AT82" s="212" t="s">
        <v>90</v>
      </c>
      <c r="AU82" s="212" t="s">
        <v>90</v>
      </c>
      <c r="AV82" s="213" t="s">
        <v>90</v>
      </c>
      <c r="AW82" s="36">
        <f t="shared" si="33"/>
        <v>3.31704</v>
      </c>
      <c r="AX82" s="36">
        <f t="shared" si="27"/>
        <v>3.2387000000000001</v>
      </c>
      <c r="AY82" s="36">
        <f t="shared" si="37"/>
        <v>3.0917000000000003</v>
      </c>
      <c r="AZ82" s="36">
        <f t="shared" si="41"/>
        <v>2.6403799999999999</v>
      </c>
      <c r="BA82" s="211"/>
      <c r="BB82" s="212">
        <v>21</v>
      </c>
      <c r="BC82" s="212">
        <v>51.5</v>
      </c>
      <c r="BD82" s="212">
        <v>2</v>
      </c>
      <c r="BE82" s="213">
        <v>5.9</v>
      </c>
    </row>
    <row r="83" spans="1:59" s="25" customFormat="1" ht="14.4">
      <c r="A83" s="25" t="s">
        <v>406</v>
      </c>
      <c r="B83" s="53" t="s">
        <v>407</v>
      </c>
      <c r="C83" s="54" t="s">
        <v>106</v>
      </c>
      <c r="D83" s="54" t="s">
        <v>60</v>
      </c>
      <c r="E83" s="25" t="s">
        <v>61</v>
      </c>
      <c r="G83" s="25" t="s">
        <v>300</v>
      </c>
      <c r="H83" s="25" t="s">
        <v>408</v>
      </c>
      <c r="J83" s="25">
        <v>0</v>
      </c>
      <c r="K83" s="25">
        <v>125</v>
      </c>
      <c r="L83" s="25" t="s">
        <v>64</v>
      </c>
      <c r="M83" s="25" t="s">
        <v>108</v>
      </c>
      <c r="N83" s="25" t="s">
        <v>409</v>
      </c>
      <c r="O83" s="25" t="s">
        <v>403</v>
      </c>
      <c r="P83" s="25">
        <v>0</v>
      </c>
      <c r="Q83" s="25" t="s">
        <v>410</v>
      </c>
      <c r="R83" s="118">
        <f t="shared" si="35"/>
        <v>24.583333333333332</v>
      </c>
      <c r="S83" s="55">
        <f t="shared" si="35"/>
        <v>53.611111111111107</v>
      </c>
      <c r="T83" s="55">
        <f t="shared" si="35"/>
        <v>0.69444444444444442</v>
      </c>
      <c r="U83" s="55">
        <f t="shared" si="34"/>
        <v>21.111111111111111</v>
      </c>
      <c r="V83" s="118">
        <v>8.3000000000000007</v>
      </c>
      <c r="W83" s="146">
        <f t="shared" si="32"/>
        <v>91.7</v>
      </c>
      <c r="X83" s="56">
        <v>8.1999999999999993</v>
      </c>
      <c r="Y83" s="56">
        <f t="shared" si="26"/>
        <v>90</v>
      </c>
      <c r="Z83" s="56">
        <v>1.8</v>
      </c>
      <c r="AA83" s="147">
        <v>3.5</v>
      </c>
      <c r="AB83" s="56">
        <f t="shared" si="36"/>
        <v>52.2</v>
      </c>
      <c r="AC83" s="119">
        <v>44.3</v>
      </c>
      <c r="AD83" s="56">
        <v>23.8</v>
      </c>
      <c r="AE83" s="56">
        <f t="shared" si="40"/>
        <v>74.400000000000006</v>
      </c>
      <c r="AF83" s="119">
        <v>1.8</v>
      </c>
      <c r="AG83" s="25" t="s">
        <v>69</v>
      </c>
      <c r="AH83" s="194" t="s">
        <v>310</v>
      </c>
      <c r="AI83" s="194" t="s">
        <v>305</v>
      </c>
      <c r="AJ83" s="58"/>
      <c r="AN83" s="36"/>
      <c r="AO83" s="36"/>
      <c r="AP83" s="36"/>
      <c r="AQ83" s="234" t="s">
        <v>89</v>
      </c>
      <c r="AR83" s="228"/>
      <c r="AS83" s="212" t="s">
        <v>90</v>
      </c>
      <c r="AT83" s="212" t="s">
        <v>90</v>
      </c>
      <c r="AU83" s="212" t="s">
        <v>90</v>
      </c>
      <c r="AV83" s="213" t="s">
        <v>90</v>
      </c>
      <c r="AW83" s="36">
        <f t="shared" si="33"/>
        <v>3.3629600000000002</v>
      </c>
      <c r="AX83" s="36">
        <f t="shared" si="27"/>
        <v>3.2561</v>
      </c>
      <c r="AY83" s="36">
        <f t="shared" si="37"/>
        <v>3.09335</v>
      </c>
      <c r="AZ83" s="36">
        <f t="shared" si="41"/>
        <v>2.6451000000000002</v>
      </c>
      <c r="BA83" s="211"/>
      <c r="BB83" s="212">
        <v>17.7</v>
      </c>
      <c r="BC83" s="212">
        <v>38.6</v>
      </c>
      <c r="BD83" s="212">
        <v>0.5</v>
      </c>
      <c r="BE83" s="213">
        <v>15.2</v>
      </c>
    </row>
    <row r="84" spans="1:59" s="25" customFormat="1" ht="14.4">
      <c r="A84" s="25" t="s">
        <v>411</v>
      </c>
      <c r="B84" s="53" t="s">
        <v>321</v>
      </c>
      <c r="C84" s="54" t="s">
        <v>106</v>
      </c>
      <c r="D84" s="54" t="s">
        <v>60</v>
      </c>
      <c r="E84" s="25" t="s">
        <v>61</v>
      </c>
      <c r="G84" s="25" t="s">
        <v>300</v>
      </c>
      <c r="H84" s="25" t="s">
        <v>402</v>
      </c>
      <c r="J84" s="25">
        <v>0</v>
      </c>
      <c r="K84" s="25">
        <v>125</v>
      </c>
      <c r="L84" s="25" t="s">
        <v>64</v>
      </c>
      <c r="M84" s="25" t="s">
        <v>108</v>
      </c>
      <c r="N84" s="25" t="s">
        <v>412</v>
      </c>
      <c r="O84" s="25" t="s">
        <v>413</v>
      </c>
      <c r="P84" s="25">
        <v>0</v>
      </c>
      <c r="R84" s="118">
        <f t="shared" si="35"/>
        <v>30.14354066985646</v>
      </c>
      <c r="S84" s="55">
        <f t="shared" si="35"/>
        <v>49.162679425837325</v>
      </c>
      <c r="T84" s="55">
        <f t="shared" si="35"/>
        <v>2.9904306220095696</v>
      </c>
      <c r="U84" s="55">
        <f t="shared" si="34"/>
        <v>17.703349282296653</v>
      </c>
      <c r="V84" s="118">
        <f>11/R$2/(11/R$2 + 47.06/S$2)*100</f>
        <v>11.592745741766182</v>
      </c>
      <c r="W84" s="146">
        <f t="shared" si="32"/>
        <v>88.40725425823382</v>
      </c>
      <c r="X84" s="56">
        <f>7.31/R$2/(7.31/R$2 + 32.71/S$2 + 0.97/T$2)*100</f>
        <v>10.933290399707158</v>
      </c>
      <c r="Y84" s="56">
        <f t="shared" si="26"/>
        <v>87.208015692360163</v>
      </c>
      <c r="Z84" s="56">
        <f>0.97/T$2/(7.31/$R$2 + 32.71/$S$2 + 0.97/$T$2)*100</f>
        <v>1.8586939079326736</v>
      </c>
      <c r="AA84" s="147">
        <f>2.96/R$2/(2.96/$R$2 + 17.23/$S$2 + 20.84/$T$2)*100</f>
        <v>4.9028774395753443</v>
      </c>
      <c r="AB84" s="56">
        <f t="shared" si="36"/>
        <v>50.872954148365181</v>
      </c>
      <c r="AC84" s="119">
        <f>20.84/T$2/(2.96/$R$2 + 17.23/$S$2 + 20.84/$T$2)*100</f>
        <v>44.22416841205947</v>
      </c>
      <c r="AD84" s="56">
        <f>3.31/T$2/(3.31/$T$2+8.81/$U$2+0.69/$V$2)*100</f>
        <v>16.489174031885049</v>
      </c>
      <c r="AE84" s="56">
        <f t="shared" si="40"/>
        <v>79.418342241773317</v>
      </c>
      <c r="AF84" s="119">
        <f>0.69/V$2/(3.31/$T$2+8.81/$U$2+0.69/$V$2)*100</f>
        <v>4.0924837263416221</v>
      </c>
      <c r="AG84" s="25" t="s">
        <v>69</v>
      </c>
      <c r="AH84" s="194" t="s">
        <v>345</v>
      </c>
      <c r="AI84" s="194" t="s">
        <v>305</v>
      </c>
      <c r="AJ84" s="58"/>
      <c r="AN84" s="36"/>
      <c r="AO84" s="36"/>
      <c r="AP84" s="36"/>
      <c r="AQ84" s="234" t="s">
        <v>89</v>
      </c>
      <c r="AR84" s="228"/>
      <c r="AS84" s="212" t="s">
        <v>90</v>
      </c>
      <c r="AT84" s="212" t="s">
        <v>90</v>
      </c>
      <c r="AU84" s="212" t="s">
        <v>90</v>
      </c>
      <c r="AV84" s="213" t="s">
        <v>90</v>
      </c>
      <c r="AW84" s="36">
        <f t="shared" si="33"/>
        <v>3.3998387523077813</v>
      </c>
      <c r="AX84" s="36">
        <f t="shared" si="27"/>
        <v>3.2764235962740056</v>
      </c>
      <c r="AY84" s="36">
        <f t="shared" si="37"/>
        <v>3.1040990755606366</v>
      </c>
      <c r="AZ84" s="36">
        <f t="shared" si="41"/>
        <v>2.6356826011992682</v>
      </c>
      <c r="BA84" s="211"/>
      <c r="BB84" s="212">
        <v>25.2</v>
      </c>
      <c r="BC84" s="212">
        <v>41.1</v>
      </c>
      <c r="BD84" s="212">
        <v>2.5</v>
      </c>
      <c r="BE84" s="213">
        <v>14.8</v>
      </c>
    </row>
    <row r="85" spans="1:59" s="26" customFormat="1">
      <c r="A85" s="26" t="s">
        <v>414</v>
      </c>
      <c r="B85" s="59" t="s">
        <v>415</v>
      </c>
      <c r="C85" s="60" t="s">
        <v>162</v>
      </c>
      <c r="D85" s="60" t="s">
        <v>279</v>
      </c>
      <c r="E85" s="26" t="s">
        <v>280</v>
      </c>
      <c r="G85" s="26" t="s">
        <v>281</v>
      </c>
      <c r="H85" s="26" t="s">
        <v>416</v>
      </c>
      <c r="J85" s="26">
        <v>0</v>
      </c>
      <c r="K85" s="26">
        <v>500</v>
      </c>
      <c r="L85" s="26" t="s">
        <v>64</v>
      </c>
      <c r="M85" s="26" t="s">
        <v>26</v>
      </c>
      <c r="N85" s="26" t="s">
        <v>284</v>
      </c>
      <c r="O85" s="26" t="s">
        <v>417</v>
      </c>
      <c r="P85" s="26">
        <v>0</v>
      </c>
      <c r="Q85" s="26" t="s">
        <v>418</v>
      </c>
      <c r="R85" s="120">
        <f t="shared" si="35"/>
        <v>0</v>
      </c>
      <c r="S85" s="203">
        <f t="shared" si="35"/>
        <v>1.25</v>
      </c>
      <c r="T85" s="203">
        <f t="shared" si="35"/>
        <v>0.25</v>
      </c>
      <c r="U85" s="203">
        <f t="shared" si="34"/>
        <v>98.5</v>
      </c>
      <c r="V85" s="120">
        <v>0</v>
      </c>
      <c r="W85" s="148">
        <v>0</v>
      </c>
      <c r="X85" s="61">
        <v>33</v>
      </c>
      <c r="Y85" s="61">
        <f t="shared" si="26"/>
        <v>65</v>
      </c>
      <c r="Z85" s="61">
        <v>2</v>
      </c>
      <c r="AA85" s="149">
        <v>16</v>
      </c>
      <c r="AB85" s="61">
        <f t="shared" si="36"/>
        <v>41</v>
      </c>
      <c r="AC85" s="121">
        <v>43</v>
      </c>
      <c r="AD85" s="61">
        <v>97.5</v>
      </c>
      <c r="AE85" s="61" t="e">
        <f t="shared" si="40"/>
        <v>#VALUE!</v>
      </c>
      <c r="AF85" s="121" t="s">
        <v>158</v>
      </c>
      <c r="AG85" s="26" t="s">
        <v>69</v>
      </c>
      <c r="AH85" s="62" t="s">
        <v>419</v>
      </c>
      <c r="AI85" s="63"/>
      <c r="AJ85" s="63"/>
      <c r="AN85" s="35"/>
      <c r="AO85" s="35"/>
      <c r="AP85" s="35"/>
      <c r="AQ85" s="235" t="s">
        <v>89</v>
      </c>
      <c r="AR85" s="217"/>
      <c r="AS85" s="26" t="s">
        <v>90</v>
      </c>
      <c r="AT85" s="26" t="s">
        <v>90</v>
      </c>
      <c r="AU85" s="26" t="s">
        <v>90</v>
      </c>
      <c r="AV85" s="216" t="s">
        <v>90</v>
      </c>
      <c r="AW85" s="35">
        <v>1</v>
      </c>
      <c r="AX85" s="35">
        <f t="shared" si="27"/>
        <v>3.4415</v>
      </c>
      <c r="AY85" s="35">
        <f t="shared" si="37"/>
        <v>3.1909999999999998</v>
      </c>
      <c r="AZ85" s="35">
        <f>AD85*$AC$2+(98-AD85)*$AD$2+2*$AE$2</f>
        <v>2.7260500000000003</v>
      </c>
      <c r="BA85" s="215"/>
      <c r="BB85" s="26">
        <v>0</v>
      </c>
      <c r="BC85" s="26">
        <v>1.25</v>
      </c>
      <c r="BD85" s="26">
        <v>0.25</v>
      </c>
      <c r="BE85" s="216">
        <v>98.5</v>
      </c>
    </row>
    <row r="86" spans="1:59" s="26" customFormat="1">
      <c r="A86" s="26" t="s">
        <v>420</v>
      </c>
      <c r="B86" s="59" t="s">
        <v>421</v>
      </c>
      <c r="C86" s="60" t="s">
        <v>162</v>
      </c>
      <c r="D86" s="60" t="s">
        <v>279</v>
      </c>
      <c r="E86" s="26" t="s">
        <v>280</v>
      </c>
      <c r="G86" s="26" t="s">
        <v>281</v>
      </c>
      <c r="H86" s="26" t="s">
        <v>416</v>
      </c>
      <c r="J86" s="26">
        <v>45</v>
      </c>
      <c r="K86" s="26">
        <v>75</v>
      </c>
      <c r="L86" s="26" t="s">
        <v>64</v>
      </c>
      <c r="M86" s="26" t="s">
        <v>26</v>
      </c>
      <c r="N86" s="26" t="s">
        <v>284</v>
      </c>
      <c r="O86" s="26" t="s">
        <v>285</v>
      </c>
      <c r="P86" s="26">
        <v>0</v>
      </c>
      <c r="Q86" s="26" t="s">
        <v>422</v>
      </c>
      <c r="R86" s="120">
        <f t="shared" si="35"/>
        <v>0</v>
      </c>
      <c r="S86" s="203">
        <f t="shared" si="35"/>
        <v>1.25</v>
      </c>
      <c r="T86" s="203">
        <f t="shared" si="35"/>
        <v>0.25</v>
      </c>
      <c r="U86" s="203">
        <f t="shared" si="34"/>
        <v>98.5</v>
      </c>
      <c r="V86" s="120">
        <v>0</v>
      </c>
      <c r="W86" s="148">
        <v>0</v>
      </c>
      <c r="X86" s="61">
        <v>33</v>
      </c>
      <c r="Y86" s="61">
        <f t="shared" si="26"/>
        <v>65</v>
      </c>
      <c r="Z86" s="61">
        <v>2</v>
      </c>
      <c r="AA86" s="149">
        <v>16</v>
      </c>
      <c r="AB86" s="61">
        <f t="shared" si="36"/>
        <v>41</v>
      </c>
      <c r="AC86" s="121">
        <v>43</v>
      </c>
      <c r="AD86" s="61">
        <v>97.5</v>
      </c>
      <c r="AE86" s="61" t="e">
        <f t="shared" si="40"/>
        <v>#VALUE!</v>
      </c>
      <c r="AF86" s="121" t="s">
        <v>158</v>
      </c>
      <c r="AG86" s="26" t="s">
        <v>69</v>
      </c>
      <c r="AH86" s="62" t="s">
        <v>419</v>
      </c>
      <c r="AI86" s="63"/>
      <c r="AJ86" s="63"/>
      <c r="AN86" s="35"/>
      <c r="AO86" s="35"/>
      <c r="AP86" s="35"/>
      <c r="AQ86" s="235" t="s">
        <v>89</v>
      </c>
      <c r="AR86" s="217"/>
      <c r="AS86" s="26" t="s">
        <v>90</v>
      </c>
      <c r="AT86" s="26" t="s">
        <v>90</v>
      </c>
      <c r="AU86" s="26" t="s">
        <v>90</v>
      </c>
      <c r="AV86" s="216" t="s">
        <v>90</v>
      </c>
      <c r="AW86" s="35">
        <v>1</v>
      </c>
      <c r="AX86" s="35">
        <f t="shared" si="27"/>
        <v>3.4415</v>
      </c>
      <c r="AY86" s="35">
        <f t="shared" si="37"/>
        <v>3.1909999999999998</v>
      </c>
      <c r="AZ86" s="35">
        <f>AD86*$AC$2+(98-AD86)*$AD$2+2*$AE$2</f>
        <v>2.7260500000000003</v>
      </c>
      <c r="BA86" s="215"/>
      <c r="BB86" s="26">
        <v>0</v>
      </c>
      <c r="BC86" s="26">
        <v>1.25</v>
      </c>
      <c r="BD86" s="26">
        <v>0.25</v>
      </c>
      <c r="BE86" s="216">
        <v>98.5</v>
      </c>
    </row>
    <row r="87" spans="1:59" s="26" customFormat="1">
      <c r="A87" s="26" t="s">
        <v>423</v>
      </c>
      <c r="B87" s="59" t="s">
        <v>424</v>
      </c>
      <c r="C87" s="60" t="s">
        <v>162</v>
      </c>
      <c r="D87" s="60" t="s">
        <v>279</v>
      </c>
      <c r="E87" s="26" t="s">
        <v>280</v>
      </c>
      <c r="G87" s="26" t="s">
        <v>281</v>
      </c>
      <c r="H87" s="26" t="s">
        <v>416</v>
      </c>
      <c r="J87" s="26">
        <v>0</v>
      </c>
      <c r="K87" s="26">
        <v>2000</v>
      </c>
      <c r="L87" s="26" t="s">
        <v>64</v>
      </c>
      <c r="M87" s="26" t="s">
        <v>26</v>
      </c>
      <c r="N87" s="26" t="s">
        <v>284</v>
      </c>
      <c r="O87" s="26" t="s">
        <v>417</v>
      </c>
      <c r="P87" s="26">
        <v>0</v>
      </c>
      <c r="Q87" s="26" t="s">
        <v>418</v>
      </c>
      <c r="R87" s="120">
        <f t="shared" si="35"/>
        <v>0</v>
      </c>
      <c r="S87" s="203">
        <f t="shared" si="35"/>
        <v>1.25</v>
      </c>
      <c r="T87" s="203">
        <f t="shared" si="35"/>
        <v>0.25</v>
      </c>
      <c r="U87" s="203">
        <f t="shared" si="34"/>
        <v>98.5</v>
      </c>
      <c r="V87" s="120">
        <v>0</v>
      </c>
      <c r="W87" s="148">
        <v>0</v>
      </c>
      <c r="X87" s="61">
        <v>37</v>
      </c>
      <c r="Y87" s="61">
        <f t="shared" si="26"/>
        <v>60</v>
      </c>
      <c r="Z87" s="61">
        <v>3</v>
      </c>
      <c r="AA87" s="149">
        <v>16</v>
      </c>
      <c r="AB87" s="61">
        <f t="shared" si="36"/>
        <v>40</v>
      </c>
      <c r="AC87" s="121">
        <v>44</v>
      </c>
      <c r="AD87" s="61">
        <f>(95+98)/2</f>
        <v>96.5</v>
      </c>
      <c r="AE87" s="61" t="e">
        <f t="shared" si="40"/>
        <v>#VALUE!</v>
      </c>
      <c r="AF87" s="121" t="s">
        <v>158</v>
      </c>
      <c r="AG87" s="26" t="s">
        <v>425</v>
      </c>
      <c r="AH87" s="62" t="s">
        <v>426</v>
      </c>
      <c r="AI87" s="63"/>
      <c r="AJ87" s="63"/>
      <c r="AN87" s="35"/>
      <c r="AO87" s="34"/>
      <c r="AP87" s="34"/>
      <c r="AQ87" s="235" t="s">
        <v>89</v>
      </c>
      <c r="AR87" s="217"/>
      <c r="AS87" s="26" t="s">
        <v>90</v>
      </c>
      <c r="AT87" s="26" t="s">
        <v>90</v>
      </c>
      <c r="AU87" s="26" t="s">
        <v>90</v>
      </c>
      <c r="AV87" s="216" t="s">
        <v>90</v>
      </c>
      <c r="AW87" s="35">
        <v>1</v>
      </c>
      <c r="AX87" s="35">
        <f t="shared" si="27"/>
        <v>3.4685000000000001</v>
      </c>
      <c r="AY87" s="35">
        <f t="shared" si="37"/>
        <v>3.1879999999999997</v>
      </c>
      <c r="AZ87" s="35">
        <f>AD87*$AC$2+(98-AD87)*$AD$2+2*$AE$2</f>
        <v>2.7249500000000002</v>
      </c>
      <c r="BA87" s="215"/>
      <c r="BB87" s="26">
        <v>0</v>
      </c>
      <c r="BC87" s="26">
        <v>1.25</v>
      </c>
      <c r="BD87" s="26">
        <v>0.25</v>
      </c>
      <c r="BE87" s="216">
        <v>98.5</v>
      </c>
    </row>
    <row r="88" spans="1:59" s="26" customFormat="1">
      <c r="A88" s="26" t="s">
        <v>427</v>
      </c>
      <c r="B88" s="59" t="s">
        <v>428</v>
      </c>
      <c r="C88" s="60" t="s">
        <v>162</v>
      </c>
      <c r="D88" s="60" t="s">
        <v>279</v>
      </c>
      <c r="E88" s="26" t="s">
        <v>280</v>
      </c>
      <c r="G88" s="26" t="s">
        <v>281</v>
      </c>
      <c r="H88" s="26" t="s">
        <v>416</v>
      </c>
      <c r="J88" s="26">
        <v>0</v>
      </c>
      <c r="K88" s="26">
        <v>45</v>
      </c>
      <c r="L88" s="26" t="s">
        <v>64</v>
      </c>
      <c r="M88" s="26" t="s">
        <v>26</v>
      </c>
      <c r="N88" s="26" t="s">
        <v>284</v>
      </c>
      <c r="O88" s="26" t="s">
        <v>285</v>
      </c>
      <c r="P88" s="26">
        <v>0</v>
      </c>
      <c r="Q88" s="26" t="s">
        <v>429</v>
      </c>
      <c r="R88" s="120">
        <f t="shared" si="35"/>
        <v>0</v>
      </c>
      <c r="S88" s="203">
        <f t="shared" si="35"/>
        <v>1.25</v>
      </c>
      <c r="T88" s="203">
        <f t="shared" si="35"/>
        <v>0.25</v>
      </c>
      <c r="U88" s="203">
        <f t="shared" si="34"/>
        <v>98.5</v>
      </c>
      <c r="V88" s="120">
        <v>0</v>
      </c>
      <c r="W88" s="148">
        <v>0</v>
      </c>
      <c r="X88" s="61">
        <v>33</v>
      </c>
      <c r="Y88" s="61">
        <f t="shared" si="26"/>
        <v>65</v>
      </c>
      <c r="Z88" s="61">
        <v>2</v>
      </c>
      <c r="AA88" s="149">
        <v>16</v>
      </c>
      <c r="AB88" s="61">
        <f t="shared" si="36"/>
        <v>41</v>
      </c>
      <c r="AC88" s="121">
        <v>43</v>
      </c>
      <c r="AD88" s="61">
        <v>97.5</v>
      </c>
      <c r="AE88" s="61" t="e">
        <f t="shared" si="40"/>
        <v>#VALUE!</v>
      </c>
      <c r="AF88" s="121" t="s">
        <v>158</v>
      </c>
      <c r="AG88" s="26" t="s">
        <v>69</v>
      </c>
      <c r="AH88" s="62" t="s">
        <v>419</v>
      </c>
      <c r="AI88" s="63"/>
      <c r="AJ88" s="63"/>
      <c r="AN88" s="35"/>
      <c r="AO88" s="34"/>
      <c r="AP88" s="34"/>
      <c r="AQ88" s="235" t="s">
        <v>89</v>
      </c>
      <c r="AR88" s="217"/>
      <c r="AS88" s="26" t="s">
        <v>90</v>
      </c>
      <c r="AT88" s="26" t="s">
        <v>90</v>
      </c>
      <c r="AU88" s="26" t="s">
        <v>90</v>
      </c>
      <c r="AV88" s="216" t="s">
        <v>90</v>
      </c>
      <c r="AW88" s="35">
        <v>1</v>
      </c>
      <c r="AX88" s="35">
        <f t="shared" si="27"/>
        <v>3.4415</v>
      </c>
      <c r="AY88" s="35">
        <f t="shared" si="37"/>
        <v>3.1909999999999998</v>
      </c>
      <c r="AZ88" s="35">
        <f>AD88*$AC$2+(98-AD88)*$AD$2+2*$AE$2</f>
        <v>2.7260500000000003</v>
      </c>
      <c r="BA88" s="215"/>
      <c r="BB88" s="26">
        <v>0</v>
      </c>
      <c r="BC88" s="26">
        <v>1.25</v>
      </c>
      <c r="BD88" s="26">
        <v>0.25</v>
      </c>
      <c r="BE88" s="216">
        <v>98.5</v>
      </c>
    </row>
    <row r="89" spans="1:59" s="27" customFormat="1">
      <c r="A89" s="26" t="s">
        <v>430</v>
      </c>
      <c r="B89" s="59" t="s">
        <v>431</v>
      </c>
      <c r="C89" s="60" t="s">
        <v>162</v>
      </c>
      <c r="D89" s="60" t="s">
        <v>279</v>
      </c>
      <c r="E89" s="26" t="s">
        <v>280</v>
      </c>
      <c r="F89" s="26"/>
      <c r="G89" s="26" t="s">
        <v>281</v>
      </c>
      <c r="H89" s="26" t="s">
        <v>416</v>
      </c>
      <c r="I89" s="26"/>
      <c r="J89" s="26">
        <v>45</v>
      </c>
      <c r="K89" s="26">
        <v>75</v>
      </c>
      <c r="L89" s="26" t="s">
        <v>64</v>
      </c>
      <c r="M89" s="26" t="s">
        <v>26</v>
      </c>
      <c r="N89" s="26" t="s">
        <v>284</v>
      </c>
      <c r="O89" s="26" t="s">
        <v>285</v>
      </c>
      <c r="P89" s="26">
        <v>0</v>
      </c>
      <c r="Q89" s="26" t="s">
        <v>432</v>
      </c>
      <c r="R89" s="120">
        <f t="shared" si="35"/>
        <v>0</v>
      </c>
      <c r="S89" s="203">
        <f t="shared" si="35"/>
        <v>1.25</v>
      </c>
      <c r="T89" s="203">
        <f t="shared" si="35"/>
        <v>0.25</v>
      </c>
      <c r="U89" s="203">
        <f t="shared" si="34"/>
        <v>98.5</v>
      </c>
      <c r="V89" s="120">
        <v>0</v>
      </c>
      <c r="W89" s="148">
        <v>0</v>
      </c>
      <c r="X89" s="61">
        <v>33</v>
      </c>
      <c r="Y89" s="61">
        <f t="shared" si="26"/>
        <v>65</v>
      </c>
      <c r="Z89" s="61">
        <v>2</v>
      </c>
      <c r="AA89" s="149">
        <v>16</v>
      </c>
      <c r="AB89" s="61">
        <f t="shared" si="36"/>
        <v>41</v>
      </c>
      <c r="AC89" s="121">
        <v>43</v>
      </c>
      <c r="AD89" s="61">
        <v>97.5</v>
      </c>
      <c r="AE89" s="61" t="e">
        <f t="shared" si="40"/>
        <v>#VALUE!</v>
      </c>
      <c r="AF89" s="121" t="s">
        <v>158</v>
      </c>
      <c r="AG89" s="26" t="s">
        <v>69</v>
      </c>
      <c r="AH89" s="62" t="s">
        <v>419</v>
      </c>
      <c r="AI89" s="63"/>
      <c r="AJ89" s="63"/>
      <c r="AK89" s="26"/>
      <c r="AL89" s="26"/>
      <c r="AM89" s="26"/>
      <c r="AN89" s="35"/>
      <c r="AO89" s="34"/>
      <c r="AP89" s="34"/>
      <c r="AQ89" s="235" t="s">
        <v>89</v>
      </c>
      <c r="AR89" s="217"/>
      <c r="AS89" s="26" t="s">
        <v>90</v>
      </c>
      <c r="AT89" s="26" t="s">
        <v>90</v>
      </c>
      <c r="AU89" s="26" t="s">
        <v>90</v>
      </c>
      <c r="AV89" s="216" t="s">
        <v>90</v>
      </c>
      <c r="AW89" s="35">
        <v>1</v>
      </c>
      <c r="AX89" s="35">
        <f t="shared" si="27"/>
        <v>3.4415</v>
      </c>
      <c r="AY89" s="35">
        <f t="shared" si="37"/>
        <v>3.1909999999999998</v>
      </c>
      <c r="AZ89" s="35">
        <f>AD89*$AC$2+(98-AD89)*$AD$2+2*$AE$2</f>
        <v>2.7260500000000003</v>
      </c>
      <c r="BA89" s="217"/>
      <c r="BB89" s="26">
        <v>0</v>
      </c>
      <c r="BC89" s="26">
        <v>1.25</v>
      </c>
      <c r="BD89" s="26">
        <v>0.25</v>
      </c>
      <c r="BE89" s="216">
        <v>98.5</v>
      </c>
      <c r="BG89" s="26"/>
    </row>
    <row r="90" spans="1:59" s="27" customFormat="1">
      <c r="A90" s="26" t="s">
        <v>433</v>
      </c>
      <c r="B90" s="59" t="s">
        <v>434</v>
      </c>
      <c r="C90" s="60" t="s">
        <v>186</v>
      </c>
      <c r="D90" s="60" t="s">
        <v>60</v>
      </c>
      <c r="E90" s="26" t="s">
        <v>61</v>
      </c>
      <c r="F90" s="26"/>
      <c r="G90" s="26" t="s">
        <v>300</v>
      </c>
      <c r="H90" s="26" t="s">
        <v>301</v>
      </c>
      <c r="I90" s="26"/>
      <c r="J90" s="26">
        <v>0</v>
      </c>
      <c r="K90" s="26">
        <v>0</v>
      </c>
      <c r="L90" s="26"/>
      <c r="M90" s="26" t="s">
        <v>302</v>
      </c>
      <c r="N90" s="26" t="s">
        <v>317</v>
      </c>
      <c r="O90" s="26" t="s">
        <v>318</v>
      </c>
      <c r="P90" s="26">
        <v>0</v>
      </c>
      <c r="Q90" s="26"/>
      <c r="R90" s="120">
        <f t="shared" si="35"/>
        <v>63.919821826280611</v>
      </c>
      <c r="S90" s="203">
        <f t="shared" si="35"/>
        <v>35.634743875278389</v>
      </c>
      <c r="T90" s="203">
        <f t="shared" si="35"/>
        <v>0.22271714922048996</v>
      </c>
      <c r="U90" s="203">
        <f t="shared" si="34"/>
        <v>0.22271714922048996</v>
      </c>
      <c r="V90" s="120">
        <f>11/$R$2/(11/$R$2+48/$S$2)*100</f>
        <v>11.391582833486133</v>
      </c>
      <c r="W90" s="148">
        <f t="shared" ref="W90:W130" si="42">100 - $V90</f>
        <v>88.608417166513874</v>
      </c>
      <c r="X90" s="61">
        <v>12.1</v>
      </c>
      <c r="Y90" s="61">
        <f t="shared" si="26"/>
        <v>85.320000000000007</v>
      </c>
      <c r="Z90" s="61">
        <v>2.58</v>
      </c>
      <c r="AA90" s="149">
        <v>5.25</v>
      </c>
      <c r="AB90" s="61">
        <f t="shared" si="36"/>
        <v>50.95</v>
      </c>
      <c r="AC90" s="121">
        <v>43.8</v>
      </c>
      <c r="AD90" s="61" t="s">
        <v>158</v>
      </c>
      <c r="AE90" s="61" t="e">
        <f t="shared" si="40"/>
        <v>#VALUE!</v>
      </c>
      <c r="AF90" s="121" t="s">
        <v>158</v>
      </c>
      <c r="AG90" s="26" t="s">
        <v>69</v>
      </c>
      <c r="AH90" s="195" t="s">
        <v>305</v>
      </c>
      <c r="AI90" s="63"/>
      <c r="AJ90" s="63"/>
      <c r="AK90" s="26"/>
      <c r="AL90" s="26"/>
      <c r="AM90" s="26"/>
      <c r="AN90" s="35"/>
      <c r="AO90" s="34"/>
      <c r="AP90" s="34"/>
      <c r="AQ90" s="235" t="s">
        <v>89</v>
      </c>
      <c r="AR90" s="217"/>
      <c r="AS90" s="26" t="s">
        <v>90</v>
      </c>
      <c r="AT90" s="26" t="s">
        <v>90</v>
      </c>
      <c r="AU90" s="26" t="s">
        <v>90</v>
      </c>
      <c r="AV90" s="216" t="s">
        <v>90</v>
      </c>
      <c r="AW90" s="35">
        <f t="shared" ref="AW90:AW120" si="43">V90*$X$2 + W90*$Y$2</f>
        <v>3.397585727735045</v>
      </c>
      <c r="AX90" s="35">
        <f t="shared" si="27"/>
        <v>3.28301</v>
      </c>
      <c r="AY90" s="35">
        <f t="shared" si="37"/>
        <v>3.1079749999999997</v>
      </c>
      <c r="AZ90" s="35">
        <f>20*$AC$2+78*$AD$2+2*$AE$2</f>
        <v>2.6408</v>
      </c>
      <c r="BA90" s="217"/>
      <c r="BB90" s="26">
        <v>57.4</v>
      </c>
      <c r="BC90" s="26">
        <v>32</v>
      </c>
      <c r="BD90" s="26">
        <v>0.2</v>
      </c>
      <c r="BE90" s="216">
        <v>0.2</v>
      </c>
      <c r="BG90" s="26"/>
    </row>
    <row r="91" spans="1:59" s="27" customFormat="1">
      <c r="A91" s="26" t="s">
        <v>435</v>
      </c>
      <c r="B91" s="59" t="s">
        <v>436</v>
      </c>
      <c r="C91" s="60" t="s">
        <v>186</v>
      </c>
      <c r="D91" s="60" t="s">
        <v>60</v>
      </c>
      <c r="E91" s="26" t="s">
        <v>61</v>
      </c>
      <c r="F91" s="26"/>
      <c r="G91" s="26" t="s">
        <v>300</v>
      </c>
      <c r="H91" s="26" t="s">
        <v>437</v>
      </c>
      <c r="I91" s="26"/>
      <c r="J91" s="26">
        <v>0</v>
      </c>
      <c r="K91" s="26">
        <v>0</v>
      </c>
      <c r="L91" s="26"/>
      <c r="M91" s="26" t="s">
        <v>187</v>
      </c>
      <c r="N91" s="26" t="s">
        <v>438</v>
      </c>
      <c r="O91" s="26" t="s">
        <v>439</v>
      </c>
      <c r="P91" s="26">
        <v>0</v>
      </c>
      <c r="Q91" s="26" t="s">
        <v>440</v>
      </c>
      <c r="R91" s="120">
        <f t="shared" si="35"/>
        <v>81.538461538461533</v>
      </c>
      <c r="S91" s="203">
        <f t="shared" si="35"/>
        <v>0</v>
      </c>
      <c r="T91" s="203">
        <f t="shared" si="35"/>
        <v>7.6923076923076925</v>
      </c>
      <c r="U91" s="203">
        <f t="shared" si="34"/>
        <v>10.76923076923077</v>
      </c>
      <c r="V91" s="149">
        <f>27.7/$R$2/(27.7/$R$2 + 34.2/$S$2)*100</f>
        <v>31.241788129774466</v>
      </c>
      <c r="W91" s="148">
        <f t="shared" si="42"/>
        <v>68.758211870225537</v>
      </c>
      <c r="X91" s="61">
        <v>0</v>
      </c>
      <c r="Y91" s="61">
        <v>0</v>
      </c>
      <c r="Z91" s="61">
        <v>0</v>
      </c>
      <c r="AA91" s="149">
        <f>8.25/$R$2/(8.25/$R$2 + 16.1/$S$2 + 18.55/$T$2)*100</f>
        <v>13.588170644800407</v>
      </c>
      <c r="AB91" s="61">
        <f t="shared" si="36"/>
        <v>47.268875822720503</v>
      </c>
      <c r="AC91" s="121">
        <f>18.55/$T$2/(8.25/$R$2 + 16.1/$S$2 + 18.55/$T$2)*100</f>
        <v>39.142953532479083</v>
      </c>
      <c r="AD91" s="61" t="s">
        <v>158</v>
      </c>
      <c r="AE91" s="61" t="e">
        <f t="shared" si="40"/>
        <v>#VALUE!</v>
      </c>
      <c r="AF91" s="121" t="s">
        <v>158</v>
      </c>
      <c r="AG91" s="26" t="s">
        <v>441</v>
      </c>
      <c r="AH91" s="195" t="s">
        <v>442</v>
      </c>
      <c r="AI91" s="63"/>
      <c r="AJ91" s="63"/>
      <c r="AK91" s="26"/>
      <c r="AL91" s="26"/>
      <c r="AM91" s="26"/>
      <c r="AN91" s="35"/>
      <c r="AO91" s="34"/>
      <c r="AP91" s="34"/>
      <c r="AQ91" s="235" t="s">
        <v>89</v>
      </c>
      <c r="AR91" s="217"/>
      <c r="AS91" s="26" t="s">
        <v>90</v>
      </c>
      <c r="AT91" s="26" t="s">
        <v>90</v>
      </c>
      <c r="AU91" s="26" t="s">
        <v>90</v>
      </c>
      <c r="AV91" s="216" t="s">
        <v>90</v>
      </c>
      <c r="AW91" s="35">
        <f t="shared" si="43"/>
        <v>3.6199080270534738</v>
      </c>
      <c r="AX91" s="35">
        <v>1</v>
      </c>
      <c r="AY91" s="35">
        <f t="shared" si="37"/>
        <v>3.1844824192385657</v>
      </c>
      <c r="AZ91" s="35">
        <f>20*$AC$2+78*$AD$2+2*$AE$2</f>
        <v>2.6408</v>
      </c>
      <c r="BA91" s="217"/>
      <c r="BB91" s="26">
        <v>79.5</v>
      </c>
      <c r="BC91" s="26">
        <v>0</v>
      </c>
      <c r="BD91" s="26">
        <v>7.5</v>
      </c>
      <c r="BE91" s="216">
        <v>10.5</v>
      </c>
      <c r="BG91" s="26"/>
    </row>
    <row r="92" spans="1:59" s="27" customFormat="1">
      <c r="A92" s="26" t="s">
        <v>443</v>
      </c>
      <c r="B92" s="59" t="s">
        <v>444</v>
      </c>
      <c r="C92" s="60" t="s">
        <v>186</v>
      </c>
      <c r="D92" s="60" t="s">
        <v>60</v>
      </c>
      <c r="E92" s="26" t="s">
        <v>61</v>
      </c>
      <c r="F92" s="26"/>
      <c r="G92" s="26" t="s">
        <v>300</v>
      </c>
      <c r="H92" s="26" t="s">
        <v>437</v>
      </c>
      <c r="I92" s="26"/>
      <c r="J92" s="26">
        <v>0</v>
      </c>
      <c r="K92" s="26">
        <v>45</v>
      </c>
      <c r="L92" s="26" t="s">
        <v>445</v>
      </c>
      <c r="M92" s="26" t="s">
        <v>446</v>
      </c>
      <c r="N92" s="26" t="s">
        <v>438</v>
      </c>
      <c r="O92" s="26" t="s">
        <v>439</v>
      </c>
      <c r="P92" s="26">
        <v>0</v>
      </c>
      <c r="Q92" s="26" t="s">
        <v>447</v>
      </c>
      <c r="R92" s="120">
        <f t="shared" si="35"/>
        <v>81.538461538461533</v>
      </c>
      <c r="S92" s="203">
        <f t="shared" si="35"/>
        <v>0</v>
      </c>
      <c r="T92" s="203">
        <f t="shared" si="35"/>
        <v>7.6923076923076925</v>
      </c>
      <c r="U92" s="203">
        <f t="shared" si="34"/>
        <v>10.76923076923077</v>
      </c>
      <c r="V92" s="149">
        <f>27.7/$R$2/(27.7/$R$2 + 34.2/$S$2)*100</f>
        <v>31.241788129774466</v>
      </c>
      <c r="W92" s="148">
        <f t="shared" si="42"/>
        <v>68.758211870225537</v>
      </c>
      <c r="X92" s="61">
        <v>0</v>
      </c>
      <c r="Y92" s="61">
        <v>0</v>
      </c>
      <c r="Z92" s="61">
        <v>0</v>
      </c>
      <c r="AA92" s="149">
        <f>8.25/$R$2/(8.25/$R$2 + 16.1/$S$2 + 18.55/$T$2)*100</f>
        <v>13.588170644800407</v>
      </c>
      <c r="AB92" s="61">
        <f t="shared" si="36"/>
        <v>47.268875822720503</v>
      </c>
      <c r="AC92" s="121">
        <f>18.55/$T$2/(8.25/$R$2 + 16.1/$S$2 + 18.55/$T$2)*100</f>
        <v>39.142953532479083</v>
      </c>
      <c r="AD92" s="61" t="s">
        <v>158</v>
      </c>
      <c r="AE92" s="61" t="e">
        <f t="shared" si="40"/>
        <v>#VALUE!</v>
      </c>
      <c r="AF92" s="121" t="s">
        <v>158</v>
      </c>
      <c r="AG92" s="26" t="s">
        <v>448</v>
      </c>
      <c r="AH92" s="195" t="s">
        <v>442</v>
      </c>
      <c r="AI92" s="63"/>
      <c r="AJ92" s="63"/>
      <c r="AK92" s="26"/>
      <c r="AL92" s="26"/>
      <c r="AM92" s="26"/>
      <c r="AN92" s="35"/>
      <c r="AO92" s="34"/>
      <c r="AP92" s="34"/>
      <c r="AQ92" s="235" t="s">
        <v>89</v>
      </c>
      <c r="AR92" s="217"/>
      <c r="AS92" s="26" t="s">
        <v>90</v>
      </c>
      <c r="AT92" s="26" t="s">
        <v>90</v>
      </c>
      <c r="AU92" s="26" t="s">
        <v>90</v>
      </c>
      <c r="AV92" s="216" t="s">
        <v>90</v>
      </c>
      <c r="AW92" s="35">
        <f t="shared" si="43"/>
        <v>3.6199080270534738</v>
      </c>
      <c r="AX92" s="35">
        <v>1</v>
      </c>
      <c r="AY92" s="35">
        <f t="shared" si="37"/>
        <v>3.1844824192385657</v>
      </c>
      <c r="AZ92" s="35">
        <f>20*$AC$2+78*$AD$2+2*$AE$2</f>
        <v>2.6408</v>
      </c>
      <c r="BA92" s="217"/>
      <c r="BB92" s="26">
        <v>79.5</v>
      </c>
      <c r="BC92" s="26">
        <v>0</v>
      </c>
      <c r="BD92" s="26">
        <v>7.5</v>
      </c>
      <c r="BE92" s="216">
        <v>10.5</v>
      </c>
      <c r="BG92" s="26"/>
    </row>
    <row r="93" spans="1:59" s="167" customFormat="1" ht="14.4">
      <c r="A93" s="23" t="s">
        <v>449</v>
      </c>
      <c r="B93" s="64" t="s">
        <v>450</v>
      </c>
      <c r="C93" s="65" t="s">
        <v>93</v>
      </c>
      <c r="D93" s="65" t="s">
        <v>60</v>
      </c>
      <c r="E93" s="23" t="s">
        <v>61</v>
      </c>
      <c r="F93" s="23"/>
      <c r="G93" s="23" t="s">
        <v>62</v>
      </c>
      <c r="H93" s="23" t="s">
        <v>177</v>
      </c>
      <c r="I93" s="23"/>
      <c r="J93" s="23">
        <v>0</v>
      </c>
      <c r="K93" s="23">
        <v>150</v>
      </c>
      <c r="L93" s="23" t="s">
        <v>64</v>
      </c>
      <c r="M93" s="23" t="s">
        <v>65</v>
      </c>
      <c r="N93" s="23" t="s">
        <v>451</v>
      </c>
      <c r="O93" s="23" t="s">
        <v>95</v>
      </c>
      <c r="P93" s="23">
        <v>0</v>
      </c>
      <c r="Q93" s="23" t="s">
        <v>96</v>
      </c>
      <c r="R93" s="122">
        <f t="shared" si="35"/>
        <v>51.802393392276549</v>
      </c>
      <c r="S93" s="204">
        <f t="shared" si="35"/>
        <v>25.567793117476551</v>
      </c>
      <c r="T93" s="204">
        <f t="shared" si="35"/>
        <v>8.6083764362258002</v>
      </c>
      <c r="U93" s="204">
        <f t="shared" si="34"/>
        <v>14.021437054021099</v>
      </c>
      <c r="V93" s="122">
        <v>26.5</v>
      </c>
      <c r="W93" s="150">
        <f t="shared" si="42"/>
        <v>73.5</v>
      </c>
      <c r="X93" s="66">
        <f>14.5/R$2/(14.5/$R$2 + 28/$S$2 + 0.98/$T$2)*100</f>
        <v>22.081103672603827</v>
      </c>
      <c r="Y93" s="66">
        <f t="shared" ref="Y93:Y124" si="44">100 - $X93 - $Z93</f>
        <v>76.006924516993905</v>
      </c>
      <c r="Z93" s="66">
        <f>0.98/T$2/(14.5/$R$2 + 28/$S$2 + 0.98/$T$2)*100</f>
        <v>1.9119718104022707</v>
      </c>
      <c r="AA93" s="151" t="s">
        <v>158</v>
      </c>
      <c r="AB93" s="66" t="e">
        <f t="shared" si="36"/>
        <v>#VALUE!</v>
      </c>
      <c r="AC93" s="123" t="s">
        <v>158</v>
      </c>
      <c r="AD93" s="66" t="s">
        <v>158</v>
      </c>
      <c r="AE93" s="66" t="e">
        <f t="shared" si="40"/>
        <v>#VALUE!</v>
      </c>
      <c r="AF93" s="123" t="s">
        <v>158</v>
      </c>
      <c r="AG93" s="23" t="s">
        <v>69</v>
      </c>
      <c r="AH93" s="196" t="s">
        <v>70</v>
      </c>
      <c r="AI93" s="67"/>
      <c r="AJ93" s="67"/>
      <c r="AK93" s="23"/>
      <c r="AL93" s="23"/>
      <c r="AM93" s="23"/>
      <c r="AN93" s="24"/>
      <c r="AO93" s="166"/>
      <c r="AP93" s="166"/>
      <c r="AQ93" s="236" t="s">
        <v>73</v>
      </c>
      <c r="AR93" s="230"/>
      <c r="AS93" s="23">
        <v>49.9</v>
      </c>
      <c r="AT93" s="23">
        <v>23.2</v>
      </c>
      <c r="AU93" s="23">
        <v>7.3</v>
      </c>
      <c r="AV93" s="219">
        <v>10</v>
      </c>
      <c r="AW93" s="24">
        <f t="shared" si="43"/>
        <v>3.5667999999999997</v>
      </c>
      <c r="AX93" s="24">
        <f t="shared" ref="AX93:AX124" si="45">X93*$Z$2+Y93*$AA$2+Z93*$AB$2</f>
        <v>3.3598723621133222</v>
      </c>
      <c r="AY93" s="24">
        <f t="shared" ref="AY93:AY109" si="46">10*$Z$2+45*$AA$2+45*$AB$2</f>
        <v>3.1399999999999997</v>
      </c>
      <c r="AZ93" s="24">
        <f>20*$AC$2+78*$AD$2+2*$AE$2</f>
        <v>2.6408</v>
      </c>
      <c r="BA93" s="218"/>
      <c r="BB93" s="23">
        <f t="shared" ref="BB93:BB123" si="47">AS93/AW93</f>
        <v>13.990131210048222</v>
      </c>
      <c r="BC93" s="23">
        <f t="shared" ref="BC93:BC123" si="48">AT93/AX93</f>
        <v>6.9050242091361644</v>
      </c>
      <c r="BD93" s="23">
        <f t="shared" ref="BD93:BD123" si="49">AU93/AY93</f>
        <v>2.3248407643312103</v>
      </c>
      <c r="BE93" s="219">
        <f t="shared" ref="BE93:BE123" si="50">AV93/AZ93</f>
        <v>3.78673129354741</v>
      </c>
      <c r="BG93" s="23"/>
    </row>
    <row r="94" spans="1:59" s="167" customFormat="1" ht="14.4">
      <c r="A94" s="23" t="s">
        <v>452</v>
      </c>
      <c r="B94" s="64" t="s">
        <v>453</v>
      </c>
      <c r="C94" s="65" t="s">
        <v>93</v>
      </c>
      <c r="D94" s="65" t="s">
        <v>60</v>
      </c>
      <c r="E94" s="23" t="s">
        <v>61</v>
      </c>
      <c r="F94" s="23"/>
      <c r="G94" s="23" t="s">
        <v>62</v>
      </c>
      <c r="H94" s="23" t="s">
        <v>147</v>
      </c>
      <c r="I94" s="23"/>
      <c r="J94" s="23">
        <v>0</v>
      </c>
      <c r="K94" s="23">
        <v>150</v>
      </c>
      <c r="L94" s="23" t="s">
        <v>64</v>
      </c>
      <c r="M94" s="23" t="s">
        <v>65</v>
      </c>
      <c r="N94" s="23" t="s">
        <v>219</v>
      </c>
      <c r="O94" s="23" t="s">
        <v>95</v>
      </c>
      <c r="P94" s="23">
        <v>0</v>
      </c>
      <c r="Q94" s="23" t="s">
        <v>454</v>
      </c>
      <c r="R94" s="122">
        <f t="shared" si="35"/>
        <v>48.728510560879322</v>
      </c>
      <c r="S94" s="204">
        <f t="shared" si="35"/>
        <v>29.061975658525668</v>
      </c>
      <c r="T94" s="204">
        <f t="shared" si="35"/>
        <v>8.4297499789744954</v>
      </c>
      <c r="U94" s="204">
        <f t="shared" si="34"/>
        <v>13.77976380162051</v>
      </c>
      <c r="V94" s="122">
        <v>24</v>
      </c>
      <c r="W94" s="150">
        <f t="shared" si="42"/>
        <v>76</v>
      </c>
      <c r="X94" s="66">
        <v>20.6</v>
      </c>
      <c r="Y94" s="66">
        <f t="shared" si="44"/>
        <v>77.400000000000006</v>
      </c>
      <c r="Z94" s="66">
        <v>2</v>
      </c>
      <c r="AA94" s="151" t="s">
        <v>158</v>
      </c>
      <c r="AB94" s="66" t="e">
        <f t="shared" si="36"/>
        <v>#VALUE!</v>
      </c>
      <c r="AC94" s="123" t="s">
        <v>158</v>
      </c>
      <c r="AD94" s="66">
        <v>10</v>
      </c>
      <c r="AE94" s="66">
        <f t="shared" si="40"/>
        <v>83.5</v>
      </c>
      <c r="AF94" s="123">
        <v>6.5</v>
      </c>
      <c r="AG94" s="23" t="s">
        <v>69</v>
      </c>
      <c r="AH94" s="196" t="s">
        <v>70</v>
      </c>
      <c r="AI94" s="197" t="s">
        <v>455</v>
      </c>
      <c r="AJ94" s="67"/>
      <c r="AK94" s="23"/>
      <c r="AL94" s="23"/>
      <c r="AM94" s="23"/>
      <c r="AN94" s="24"/>
      <c r="AO94" s="166"/>
      <c r="AP94" s="166"/>
      <c r="AQ94" s="236" t="s">
        <v>73</v>
      </c>
      <c r="AR94" s="230"/>
      <c r="AS94" s="23">
        <v>44.3</v>
      </c>
      <c r="AT94" s="23">
        <v>25</v>
      </c>
      <c r="AU94" s="23">
        <v>6.8</v>
      </c>
      <c r="AV94" s="219">
        <v>9.3000000000000007</v>
      </c>
      <c r="AW94" s="24">
        <f t="shared" si="43"/>
        <v>3.5387999999999997</v>
      </c>
      <c r="AX94" s="24">
        <f t="shared" si="45"/>
        <v>3.3485000000000005</v>
      </c>
      <c r="AY94" s="24">
        <f t="shared" si="46"/>
        <v>3.1399999999999997</v>
      </c>
      <c r="AZ94" s="24">
        <f>AD94*$AC$2+AE94*$AD$2+AF94*$AE$2</f>
        <v>2.6271</v>
      </c>
      <c r="BA94" s="218"/>
      <c r="BB94" s="23">
        <f t="shared" si="47"/>
        <v>12.518367808296597</v>
      </c>
      <c r="BC94" s="23">
        <f t="shared" si="48"/>
        <v>7.4660295654770783</v>
      </c>
      <c r="BD94" s="23">
        <f t="shared" si="49"/>
        <v>2.1656050955414012</v>
      </c>
      <c r="BE94" s="219">
        <f t="shared" si="50"/>
        <v>3.5400251227589359</v>
      </c>
      <c r="BG94" s="23"/>
    </row>
    <row r="95" spans="1:59" s="167" customFormat="1" ht="14.4">
      <c r="A95" s="23" t="s">
        <v>456</v>
      </c>
      <c r="B95" s="64" t="s">
        <v>457</v>
      </c>
      <c r="C95" s="65" t="s">
        <v>93</v>
      </c>
      <c r="D95" s="65" t="s">
        <v>60</v>
      </c>
      <c r="E95" s="23" t="s">
        <v>61</v>
      </c>
      <c r="F95" s="23"/>
      <c r="G95" s="23" t="s">
        <v>62</v>
      </c>
      <c r="H95" s="23" t="s">
        <v>147</v>
      </c>
      <c r="I95" s="23"/>
      <c r="J95" s="23">
        <v>0</v>
      </c>
      <c r="K95" s="23">
        <v>150</v>
      </c>
      <c r="L95" s="23" t="s">
        <v>64</v>
      </c>
      <c r="M95" s="23" t="s">
        <v>65</v>
      </c>
      <c r="N95" s="23" t="s">
        <v>458</v>
      </c>
      <c r="O95" s="23" t="s">
        <v>95</v>
      </c>
      <c r="P95" s="23">
        <v>683</v>
      </c>
      <c r="Q95" s="23" t="s">
        <v>459</v>
      </c>
      <c r="R95" s="122">
        <f t="shared" si="35"/>
        <v>43.186924668548308</v>
      </c>
      <c r="S95" s="204">
        <f t="shared" si="35"/>
        <v>29.35553524479408</v>
      </c>
      <c r="T95" s="204">
        <f t="shared" si="35"/>
        <v>9.0581104057287849</v>
      </c>
      <c r="U95" s="204">
        <f t="shared" si="34"/>
        <v>18.399429680928815</v>
      </c>
      <c r="V95" s="151">
        <v>24.1</v>
      </c>
      <c r="W95" s="150">
        <f t="shared" si="42"/>
        <v>75.900000000000006</v>
      </c>
      <c r="X95" s="66">
        <f>13.7/$R$2/(13.7/$R$2 + 29/$S$2 + 0.72/$T$2)*100</f>
        <v>20.658521576159778</v>
      </c>
      <c r="Y95" s="66">
        <f t="shared" si="44"/>
        <v>77.95052111147082</v>
      </c>
      <c r="Z95" s="66">
        <f>0.72/$T$2/(13.7/$R$2 + 29/$S$2 + 0.72/$T$2)*100</f>
        <v>1.390957312369393</v>
      </c>
      <c r="AA95" s="151" t="s">
        <v>158</v>
      </c>
      <c r="AB95" s="66" t="e">
        <f t="shared" si="36"/>
        <v>#VALUE!</v>
      </c>
      <c r="AC95" s="123" t="s">
        <v>158</v>
      </c>
      <c r="AD95" s="66" t="s">
        <v>158</v>
      </c>
      <c r="AE95" s="66" t="e">
        <f t="shared" si="40"/>
        <v>#VALUE!</v>
      </c>
      <c r="AF95" s="123" t="s">
        <v>158</v>
      </c>
      <c r="AG95" s="23" t="s">
        <v>69</v>
      </c>
      <c r="AH95" s="196" t="s">
        <v>70</v>
      </c>
      <c r="AI95" s="67"/>
      <c r="AJ95" s="67"/>
      <c r="AK95" s="23"/>
      <c r="AL95" s="23"/>
      <c r="AM95" s="23"/>
      <c r="AN95" s="24"/>
      <c r="AO95" s="166"/>
      <c r="AP95" s="166"/>
      <c r="AQ95" s="236" t="s">
        <v>73</v>
      </c>
      <c r="AR95" s="230"/>
      <c r="AS95" s="23">
        <v>38.700000000000003</v>
      </c>
      <c r="AT95" s="23">
        <v>24.9</v>
      </c>
      <c r="AU95" s="23">
        <v>7.2</v>
      </c>
      <c r="AV95" s="219">
        <v>12.3</v>
      </c>
      <c r="AW95" s="24">
        <f t="shared" si="43"/>
        <v>3.5399200000000004</v>
      </c>
      <c r="AX95" s="24">
        <f t="shared" si="45"/>
        <v>3.3507660398840899</v>
      </c>
      <c r="AY95" s="24">
        <f t="shared" si="46"/>
        <v>3.1399999999999997</v>
      </c>
      <c r="AZ95" s="24">
        <f t="shared" ref="AZ95:AZ108" si="51">20*$AC$2+78*$AD$2+2*$AE$2</f>
        <v>2.6408</v>
      </c>
      <c r="BA95" s="218"/>
      <c r="BB95" s="23">
        <f t="shared" si="47"/>
        <v>10.932450450857646</v>
      </c>
      <c r="BC95" s="23">
        <f t="shared" si="48"/>
        <v>7.4311365531391571</v>
      </c>
      <c r="BD95" s="23">
        <f t="shared" si="49"/>
        <v>2.2929936305732488</v>
      </c>
      <c r="BE95" s="219">
        <f t="shared" si="50"/>
        <v>4.6576794910633144</v>
      </c>
      <c r="BG95" s="23"/>
    </row>
    <row r="96" spans="1:59" s="167" customFormat="1" ht="14.4">
      <c r="A96" s="23" t="s">
        <v>460</v>
      </c>
      <c r="B96" s="64" t="s">
        <v>461</v>
      </c>
      <c r="C96" s="65" t="s">
        <v>186</v>
      </c>
      <c r="D96" s="65" t="s">
        <v>60</v>
      </c>
      <c r="E96" s="23" t="s">
        <v>61</v>
      </c>
      <c r="F96" s="23"/>
      <c r="G96" s="23" t="s">
        <v>62</v>
      </c>
      <c r="H96" s="23" t="s">
        <v>177</v>
      </c>
      <c r="I96" s="23"/>
      <c r="J96" s="23">
        <v>125</v>
      </c>
      <c r="K96" s="23">
        <v>500</v>
      </c>
      <c r="L96" s="23" t="s">
        <v>64</v>
      </c>
      <c r="M96" s="23" t="s">
        <v>65</v>
      </c>
      <c r="N96" s="23" t="s">
        <v>462</v>
      </c>
      <c r="O96" s="23" t="s">
        <v>189</v>
      </c>
      <c r="P96" s="23">
        <v>0</v>
      </c>
      <c r="Q96" s="23" t="s">
        <v>463</v>
      </c>
      <c r="R96" s="122">
        <f t="shared" si="35"/>
        <v>51.802393392276549</v>
      </c>
      <c r="S96" s="204">
        <f t="shared" si="35"/>
        <v>25.567793117476551</v>
      </c>
      <c r="T96" s="204">
        <f t="shared" si="35"/>
        <v>8.6083764362258002</v>
      </c>
      <c r="U96" s="204">
        <f t="shared" si="34"/>
        <v>14.021437054021099</v>
      </c>
      <c r="V96" s="122">
        <v>26.5</v>
      </c>
      <c r="W96" s="150">
        <f t="shared" si="42"/>
        <v>73.5</v>
      </c>
      <c r="X96" s="66">
        <f>14.5/R$2/(14.5/$R$2 + 28/$S$2 + 0.98/$T$2)*100</f>
        <v>22.081103672603827</v>
      </c>
      <c r="Y96" s="66">
        <f t="shared" si="44"/>
        <v>76.006924516993905</v>
      </c>
      <c r="Z96" s="66">
        <f>0.98/T$2/(14.5/$R$2 + 28/$S$2 + 0.98/$T$2)*100</f>
        <v>1.9119718104022707</v>
      </c>
      <c r="AA96" s="151" t="s">
        <v>158</v>
      </c>
      <c r="AB96" s="66" t="e">
        <f t="shared" si="36"/>
        <v>#VALUE!</v>
      </c>
      <c r="AC96" s="123" t="s">
        <v>158</v>
      </c>
      <c r="AD96" s="66" t="s">
        <v>158</v>
      </c>
      <c r="AE96" s="66" t="e">
        <f t="shared" si="40"/>
        <v>#VALUE!</v>
      </c>
      <c r="AF96" s="123" t="s">
        <v>158</v>
      </c>
      <c r="AG96" s="23" t="s">
        <v>69</v>
      </c>
      <c r="AH96" s="196" t="s">
        <v>70</v>
      </c>
      <c r="AI96" s="67"/>
      <c r="AJ96" s="67"/>
      <c r="AK96" s="23"/>
      <c r="AL96" s="23"/>
      <c r="AM96" s="23"/>
      <c r="AN96" s="24"/>
      <c r="AO96" s="24"/>
      <c r="AP96" s="24"/>
      <c r="AQ96" s="236" t="s">
        <v>73</v>
      </c>
      <c r="AR96" s="230"/>
      <c r="AS96" s="23">
        <v>49.9</v>
      </c>
      <c r="AT96" s="23">
        <v>23.2</v>
      </c>
      <c r="AU96" s="23">
        <v>7.3</v>
      </c>
      <c r="AV96" s="219">
        <v>10</v>
      </c>
      <c r="AW96" s="24">
        <f t="shared" si="43"/>
        <v>3.5667999999999997</v>
      </c>
      <c r="AX96" s="24">
        <f t="shared" si="45"/>
        <v>3.3598723621133222</v>
      </c>
      <c r="AY96" s="24">
        <f t="shared" si="46"/>
        <v>3.1399999999999997</v>
      </c>
      <c r="AZ96" s="24">
        <f t="shared" si="51"/>
        <v>2.6408</v>
      </c>
      <c r="BA96" s="218"/>
      <c r="BB96" s="23">
        <f t="shared" si="47"/>
        <v>13.990131210048222</v>
      </c>
      <c r="BC96" s="23">
        <f t="shared" si="48"/>
        <v>6.9050242091361644</v>
      </c>
      <c r="BD96" s="23">
        <f t="shared" si="49"/>
        <v>2.3248407643312103</v>
      </c>
      <c r="BE96" s="219">
        <f t="shared" si="50"/>
        <v>3.78673129354741</v>
      </c>
      <c r="BG96" s="23"/>
    </row>
    <row r="97" spans="1:59" s="167" customFormat="1" ht="14.4">
      <c r="A97" s="23" t="s">
        <v>464</v>
      </c>
      <c r="B97" s="64" t="s">
        <v>465</v>
      </c>
      <c r="C97" s="65" t="s">
        <v>186</v>
      </c>
      <c r="D97" s="65" t="s">
        <v>60</v>
      </c>
      <c r="E97" s="23" t="s">
        <v>61</v>
      </c>
      <c r="F97" s="23"/>
      <c r="G97" s="23" t="s">
        <v>62</v>
      </c>
      <c r="H97" s="23" t="s">
        <v>177</v>
      </c>
      <c r="I97" s="23"/>
      <c r="J97" s="23">
        <v>0</v>
      </c>
      <c r="K97" s="23">
        <v>125</v>
      </c>
      <c r="L97" s="23" t="s">
        <v>64</v>
      </c>
      <c r="M97" s="23" t="s">
        <v>65</v>
      </c>
      <c r="N97" s="23" t="s">
        <v>462</v>
      </c>
      <c r="O97" s="23" t="s">
        <v>189</v>
      </c>
      <c r="P97" s="23">
        <v>0</v>
      </c>
      <c r="Q97" s="23" t="s">
        <v>463</v>
      </c>
      <c r="R97" s="122">
        <f t="shared" si="35"/>
        <v>51.802393392276549</v>
      </c>
      <c r="S97" s="204">
        <f t="shared" si="35"/>
        <v>25.567793117476551</v>
      </c>
      <c r="T97" s="204">
        <f t="shared" si="35"/>
        <v>8.6083764362258002</v>
      </c>
      <c r="U97" s="204">
        <f t="shared" si="34"/>
        <v>14.021437054021099</v>
      </c>
      <c r="V97" s="122">
        <v>26.5</v>
      </c>
      <c r="W97" s="150">
        <f t="shared" si="42"/>
        <v>73.5</v>
      </c>
      <c r="X97" s="66">
        <f>14.5/R$2/(14.5/$R$2 + 28/$S$2 + 0.98/$T$2)*100</f>
        <v>22.081103672603827</v>
      </c>
      <c r="Y97" s="66">
        <f t="shared" si="44"/>
        <v>76.006924516993905</v>
      </c>
      <c r="Z97" s="66">
        <f>0.98/T$2/(14.5/$R$2 + 28/$S$2 + 0.98/$T$2)*100</f>
        <v>1.9119718104022707</v>
      </c>
      <c r="AA97" s="151" t="s">
        <v>158</v>
      </c>
      <c r="AB97" s="66" t="e">
        <f t="shared" si="36"/>
        <v>#VALUE!</v>
      </c>
      <c r="AC97" s="123" t="s">
        <v>158</v>
      </c>
      <c r="AD97" s="66" t="s">
        <v>158</v>
      </c>
      <c r="AE97" s="66" t="e">
        <f t="shared" si="40"/>
        <v>#VALUE!</v>
      </c>
      <c r="AF97" s="123" t="s">
        <v>158</v>
      </c>
      <c r="AG97" s="68" t="s">
        <v>69</v>
      </c>
      <c r="AH97" s="196" t="s">
        <v>70</v>
      </c>
      <c r="AI97" s="67"/>
      <c r="AJ97" s="67"/>
      <c r="AK97" s="23"/>
      <c r="AL97" s="23"/>
      <c r="AM97" s="23"/>
      <c r="AN97" s="24"/>
      <c r="AO97" s="24"/>
      <c r="AP97" s="24"/>
      <c r="AQ97" s="236" t="s">
        <v>73</v>
      </c>
      <c r="AR97" s="230"/>
      <c r="AS97" s="23">
        <v>49.9</v>
      </c>
      <c r="AT97" s="23">
        <v>23.2</v>
      </c>
      <c r="AU97" s="23">
        <v>7.3</v>
      </c>
      <c r="AV97" s="219">
        <v>10</v>
      </c>
      <c r="AW97" s="24">
        <f t="shared" si="43"/>
        <v>3.5667999999999997</v>
      </c>
      <c r="AX97" s="24">
        <f t="shared" si="45"/>
        <v>3.3598723621133222</v>
      </c>
      <c r="AY97" s="24">
        <f t="shared" si="46"/>
        <v>3.1399999999999997</v>
      </c>
      <c r="AZ97" s="24">
        <f t="shared" si="51"/>
        <v>2.6408</v>
      </c>
      <c r="BA97" s="218"/>
      <c r="BB97" s="23">
        <f t="shared" si="47"/>
        <v>13.990131210048222</v>
      </c>
      <c r="BC97" s="23">
        <f t="shared" si="48"/>
        <v>6.9050242091361644</v>
      </c>
      <c r="BD97" s="23">
        <f t="shared" si="49"/>
        <v>2.3248407643312103</v>
      </c>
      <c r="BE97" s="219">
        <f t="shared" si="50"/>
        <v>3.78673129354741</v>
      </c>
      <c r="BG97" s="23"/>
    </row>
    <row r="98" spans="1:59" s="167" customFormat="1" ht="14.4">
      <c r="A98" s="23" t="s">
        <v>466</v>
      </c>
      <c r="B98" s="64" t="s">
        <v>467</v>
      </c>
      <c r="C98" s="65" t="s">
        <v>186</v>
      </c>
      <c r="D98" s="65" t="s">
        <v>60</v>
      </c>
      <c r="E98" s="23" t="s">
        <v>61</v>
      </c>
      <c r="F98" s="23"/>
      <c r="G98" s="23" t="s">
        <v>62</v>
      </c>
      <c r="H98" s="23" t="s">
        <v>134</v>
      </c>
      <c r="I98" s="23"/>
      <c r="J98" s="23">
        <v>0</v>
      </c>
      <c r="K98" s="23">
        <v>125</v>
      </c>
      <c r="L98" s="23" t="s">
        <v>64</v>
      </c>
      <c r="M98" s="23" t="s">
        <v>65</v>
      </c>
      <c r="N98" s="23" t="s">
        <v>468</v>
      </c>
      <c r="O98" s="23" t="s">
        <v>189</v>
      </c>
      <c r="P98" s="23">
        <v>0</v>
      </c>
      <c r="Q98" s="23" t="s">
        <v>469</v>
      </c>
      <c r="R98" s="122">
        <f t="shared" si="35"/>
        <v>42.966952479909565</v>
      </c>
      <c r="S98" s="204">
        <f t="shared" si="35"/>
        <v>34.031920425180793</v>
      </c>
      <c r="T98" s="204">
        <f t="shared" si="35"/>
        <v>9.7607028809932892</v>
      </c>
      <c r="U98" s="204">
        <f t="shared" si="34"/>
        <v>13.240424213916361</v>
      </c>
      <c r="V98" s="122">
        <v>19.3</v>
      </c>
      <c r="W98" s="150">
        <f t="shared" si="42"/>
        <v>80.7</v>
      </c>
      <c r="X98" s="66">
        <f>11.3/$R$2/(11.3/$R$2 + 30.4/$S$2 + 0.74/$T$2)*100</f>
        <v>17.008426707865731</v>
      </c>
      <c r="Y98" s="66">
        <f t="shared" si="44"/>
        <v>81.564586170232602</v>
      </c>
      <c r="Z98" s="66">
        <f>0.74/$T$2/(11.3/$R$2 + 30.4/$S$2 + 0.74/$T$2)*100</f>
        <v>1.426987121901663</v>
      </c>
      <c r="AA98" s="151" t="s">
        <v>158</v>
      </c>
      <c r="AB98" s="66" t="e">
        <f t="shared" si="36"/>
        <v>#VALUE!</v>
      </c>
      <c r="AC98" s="123" t="s">
        <v>158</v>
      </c>
      <c r="AD98" s="66" t="s">
        <v>158</v>
      </c>
      <c r="AE98" s="66" t="e">
        <f t="shared" si="40"/>
        <v>#VALUE!</v>
      </c>
      <c r="AF98" s="123" t="s">
        <v>158</v>
      </c>
      <c r="AG98" s="23" t="s">
        <v>69</v>
      </c>
      <c r="AH98" s="196" t="s">
        <v>70</v>
      </c>
      <c r="AI98" s="23"/>
      <c r="AJ98" s="67"/>
      <c r="AK98" s="23"/>
      <c r="AL98" s="23"/>
      <c r="AM98" s="23"/>
      <c r="AN98" s="24"/>
      <c r="AO98" s="24"/>
      <c r="AP98" s="24"/>
      <c r="AQ98" s="236" t="s">
        <v>73</v>
      </c>
      <c r="AR98" s="230"/>
      <c r="AS98" s="23">
        <v>34.700000000000003</v>
      </c>
      <c r="AT98" s="23">
        <v>26.2</v>
      </c>
      <c r="AU98" s="23">
        <v>7.1</v>
      </c>
      <c r="AV98" s="219">
        <v>8.1</v>
      </c>
      <c r="AW98" s="24">
        <f t="shared" si="43"/>
        <v>3.4861599999999999</v>
      </c>
      <c r="AX98" s="24">
        <f t="shared" si="45"/>
        <v>3.3232822389432877</v>
      </c>
      <c r="AY98" s="24">
        <f t="shared" si="46"/>
        <v>3.1399999999999997</v>
      </c>
      <c r="AZ98" s="24">
        <f t="shared" si="51"/>
        <v>2.6408</v>
      </c>
      <c r="BA98" s="218"/>
      <c r="BB98" s="23">
        <f t="shared" si="47"/>
        <v>9.9536452715882238</v>
      </c>
      <c r="BC98" s="23">
        <f t="shared" si="48"/>
        <v>7.8837721614432841</v>
      </c>
      <c r="BD98" s="23">
        <f t="shared" si="49"/>
        <v>2.2611464968152868</v>
      </c>
      <c r="BE98" s="219">
        <f t="shared" si="50"/>
        <v>3.0672523477734019</v>
      </c>
      <c r="BG98" s="23"/>
    </row>
    <row r="99" spans="1:59" s="23" customFormat="1" ht="14.4">
      <c r="A99" s="23" t="s">
        <v>470</v>
      </c>
      <c r="B99" s="64" t="s">
        <v>471</v>
      </c>
      <c r="C99" s="65" t="s">
        <v>186</v>
      </c>
      <c r="D99" s="65" t="s">
        <v>60</v>
      </c>
      <c r="E99" s="23" t="s">
        <v>61</v>
      </c>
      <c r="G99" s="23" t="s">
        <v>62</v>
      </c>
      <c r="H99" s="23" t="s">
        <v>107</v>
      </c>
      <c r="J99" s="23">
        <v>125</v>
      </c>
      <c r="K99" s="23">
        <v>500</v>
      </c>
      <c r="L99" s="23" t="s">
        <v>64</v>
      </c>
      <c r="M99" s="23" t="s">
        <v>65</v>
      </c>
      <c r="N99" s="23" t="s">
        <v>472</v>
      </c>
      <c r="O99" s="23" t="s">
        <v>198</v>
      </c>
      <c r="P99" s="23">
        <v>0</v>
      </c>
      <c r="Q99" s="23" t="s">
        <v>473</v>
      </c>
      <c r="R99" s="122">
        <f t="shared" si="35"/>
        <v>52.155214556257832</v>
      </c>
      <c r="S99" s="204">
        <f t="shared" si="35"/>
        <v>30.00401663059656</v>
      </c>
      <c r="T99" s="204">
        <f t="shared" si="35"/>
        <v>14.841422105160666</v>
      </c>
      <c r="U99" s="204">
        <f t="shared" si="34"/>
        <v>2.9993467079849383</v>
      </c>
      <c r="V99" s="122">
        <v>25</v>
      </c>
      <c r="W99" s="150">
        <f t="shared" si="42"/>
        <v>75</v>
      </c>
      <c r="X99" s="66">
        <f>13.4/$R$2/(13.4/$R$2 + 28.9/$S$2 + 0.9/$T$2)*100</f>
        <v>20.281884228506129</v>
      </c>
      <c r="Y99" s="66">
        <f t="shared" si="44"/>
        <v>78.355899666594212</v>
      </c>
      <c r="Z99" s="66">
        <f>0.9/$R$2/(13.4/$R$2 + 28.9/$S$2 + 0.9/$T$2)*100</f>
        <v>1.362216104899665</v>
      </c>
      <c r="AA99" s="151" t="s">
        <v>158</v>
      </c>
      <c r="AB99" s="66" t="e">
        <f t="shared" si="36"/>
        <v>#VALUE!</v>
      </c>
      <c r="AC99" s="123" t="s">
        <v>158</v>
      </c>
      <c r="AD99" s="66" t="s">
        <v>158</v>
      </c>
      <c r="AE99" s="66" t="e">
        <f t="shared" si="40"/>
        <v>#VALUE!</v>
      </c>
      <c r="AF99" s="123" t="s">
        <v>158</v>
      </c>
      <c r="AG99" s="23" t="s">
        <v>69</v>
      </c>
      <c r="AH99" s="196" t="s">
        <v>474</v>
      </c>
      <c r="AI99" s="197" t="s">
        <v>475</v>
      </c>
      <c r="AJ99" s="67"/>
      <c r="AN99" s="24"/>
      <c r="AO99" s="24"/>
      <c r="AP99" s="24"/>
      <c r="AQ99" s="236" t="s">
        <v>73</v>
      </c>
      <c r="AR99" s="230"/>
      <c r="AS99" s="23">
        <v>44.18</v>
      </c>
      <c r="AT99" s="23">
        <v>23.97</v>
      </c>
      <c r="AU99" s="23">
        <v>11.12</v>
      </c>
      <c r="AV99" s="219">
        <v>1.89</v>
      </c>
      <c r="AW99" s="24">
        <f t="shared" si="43"/>
        <v>3.55</v>
      </c>
      <c r="AX99" s="24">
        <f t="shared" si="45"/>
        <v>3.3480274833990973</v>
      </c>
      <c r="AY99" s="24">
        <f t="shared" si="46"/>
        <v>3.1399999999999997</v>
      </c>
      <c r="AZ99" s="24">
        <f t="shared" si="51"/>
        <v>2.6408</v>
      </c>
      <c r="BA99" s="220"/>
      <c r="BB99" s="23">
        <f t="shared" si="47"/>
        <v>12.445070422535212</v>
      </c>
      <c r="BC99" s="23">
        <f t="shared" si="48"/>
        <v>7.1594394367588547</v>
      </c>
      <c r="BD99" s="23">
        <f t="shared" si="49"/>
        <v>3.5414012738853504</v>
      </c>
      <c r="BE99" s="219">
        <f t="shared" si="50"/>
        <v>0.71569221448046039</v>
      </c>
    </row>
    <row r="100" spans="1:59" s="23" customFormat="1" ht="14.4">
      <c r="A100" s="23" t="s">
        <v>476</v>
      </c>
      <c r="B100" s="64" t="s">
        <v>477</v>
      </c>
      <c r="C100" s="65" t="s">
        <v>186</v>
      </c>
      <c r="D100" s="65" t="s">
        <v>60</v>
      </c>
      <c r="E100" s="23" t="s">
        <v>61</v>
      </c>
      <c r="G100" s="23" t="s">
        <v>62</v>
      </c>
      <c r="H100" s="23" t="s">
        <v>107</v>
      </c>
      <c r="J100" s="23">
        <v>0</v>
      </c>
      <c r="K100" s="23">
        <v>125</v>
      </c>
      <c r="L100" s="23" t="s">
        <v>64</v>
      </c>
      <c r="M100" s="23" t="s">
        <v>65</v>
      </c>
      <c r="N100" s="23" t="s">
        <v>472</v>
      </c>
      <c r="O100" s="23" t="s">
        <v>198</v>
      </c>
      <c r="P100" s="23">
        <v>0</v>
      </c>
      <c r="Q100" s="23" t="s">
        <v>473</v>
      </c>
      <c r="R100" s="122">
        <f t="shared" si="35"/>
        <v>52.155214556257832</v>
      </c>
      <c r="S100" s="204">
        <f t="shared" si="35"/>
        <v>30.00401663059656</v>
      </c>
      <c r="T100" s="204">
        <f t="shared" si="35"/>
        <v>14.841422105160666</v>
      </c>
      <c r="U100" s="204">
        <f t="shared" si="34"/>
        <v>2.9993467079849383</v>
      </c>
      <c r="V100" s="122">
        <v>25</v>
      </c>
      <c r="W100" s="150">
        <f t="shared" si="42"/>
        <v>75</v>
      </c>
      <c r="X100" s="66">
        <f>13.4/$R$2/(13.4/$R$2 + 28.9/$S$2 + 0.9/$T$2)*100</f>
        <v>20.281884228506129</v>
      </c>
      <c r="Y100" s="66">
        <f t="shared" si="44"/>
        <v>78.355899666594212</v>
      </c>
      <c r="Z100" s="66">
        <f>0.9/$R$2/(13.4/$R$2 + 28.9/$S$2 + 0.9/$T$2)*100</f>
        <v>1.362216104899665</v>
      </c>
      <c r="AA100" s="151" t="s">
        <v>158</v>
      </c>
      <c r="AB100" s="66" t="e">
        <f t="shared" ref="AB100:AB131" si="52">100 - $AA100 - $AC100</f>
        <v>#VALUE!</v>
      </c>
      <c r="AC100" s="123" t="s">
        <v>158</v>
      </c>
      <c r="AD100" s="66" t="s">
        <v>158</v>
      </c>
      <c r="AE100" s="66" t="e">
        <f t="shared" si="40"/>
        <v>#VALUE!</v>
      </c>
      <c r="AF100" s="123" t="s">
        <v>158</v>
      </c>
      <c r="AG100" s="23" t="s">
        <v>69</v>
      </c>
      <c r="AH100" s="196" t="s">
        <v>474</v>
      </c>
      <c r="AI100" s="197" t="s">
        <v>475</v>
      </c>
      <c r="AJ100" s="67"/>
      <c r="AN100" s="24"/>
      <c r="AO100" s="24"/>
      <c r="AP100" s="24"/>
      <c r="AQ100" s="236" t="s">
        <v>73</v>
      </c>
      <c r="AR100" s="230"/>
      <c r="AS100" s="23">
        <v>44.18</v>
      </c>
      <c r="AT100" s="23">
        <v>23.97</v>
      </c>
      <c r="AU100" s="23">
        <v>11.12</v>
      </c>
      <c r="AV100" s="219">
        <v>1.89</v>
      </c>
      <c r="AW100" s="24">
        <f t="shared" si="43"/>
        <v>3.55</v>
      </c>
      <c r="AX100" s="24">
        <f t="shared" si="45"/>
        <v>3.3480274833990973</v>
      </c>
      <c r="AY100" s="24">
        <f t="shared" si="46"/>
        <v>3.1399999999999997</v>
      </c>
      <c r="AZ100" s="24">
        <f t="shared" si="51"/>
        <v>2.6408</v>
      </c>
      <c r="BA100" s="220"/>
      <c r="BB100" s="23">
        <f t="shared" si="47"/>
        <v>12.445070422535212</v>
      </c>
      <c r="BC100" s="23">
        <f t="shared" si="48"/>
        <v>7.1594394367588547</v>
      </c>
      <c r="BD100" s="23">
        <f t="shared" si="49"/>
        <v>3.5414012738853504</v>
      </c>
      <c r="BE100" s="219">
        <f t="shared" si="50"/>
        <v>0.71569221448046039</v>
      </c>
    </row>
    <row r="101" spans="1:59" s="23" customFormat="1" ht="14.4">
      <c r="A101" s="23" t="s">
        <v>478</v>
      </c>
      <c r="B101" s="64" t="s">
        <v>479</v>
      </c>
      <c r="C101" s="65" t="s">
        <v>186</v>
      </c>
      <c r="D101" s="65" t="s">
        <v>60</v>
      </c>
      <c r="E101" s="23" t="s">
        <v>61</v>
      </c>
      <c r="G101" s="23" t="s">
        <v>62</v>
      </c>
      <c r="H101" s="23" t="s">
        <v>107</v>
      </c>
      <c r="J101" s="23">
        <v>0</v>
      </c>
      <c r="K101" s="23">
        <v>125</v>
      </c>
      <c r="L101" s="23" t="s">
        <v>64</v>
      </c>
      <c r="M101" s="23" t="s">
        <v>480</v>
      </c>
      <c r="N101" s="23" t="s">
        <v>472</v>
      </c>
      <c r="O101" s="23" t="s">
        <v>198</v>
      </c>
      <c r="P101" s="23">
        <v>0</v>
      </c>
      <c r="Q101" s="23" t="s">
        <v>473</v>
      </c>
      <c r="R101" s="122">
        <f t="shared" ref="R101:R106" si="53">BB101/SUMIF($BB101:$BE101, "&lt;&gt;#VALUE!")*100</f>
        <v>52.155214556257832</v>
      </c>
      <c r="S101" s="204">
        <f t="shared" ref="S101:U116" si="54">BC101/SUMIF($BB101:$BE101, "&lt;&gt;#VALUE!")*100</f>
        <v>30.00401663059656</v>
      </c>
      <c r="T101" s="204">
        <f t="shared" si="54"/>
        <v>14.841422105160666</v>
      </c>
      <c r="U101" s="204">
        <f t="shared" si="54"/>
        <v>2.9993467079849383</v>
      </c>
      <c r="V101" s="122">
        <v>25</v>
      </c>
      <c r="W101" s="150">
        <f t="shared" si="42"/>
        <v>75</v>
      </c>
      <c r="X101" s="66">
        <f>13.4/$R$2/(13.4/$R$2 + 28.9/$S$2 + 0.9/$T$2)*100</f>
        <v>20.281884228506129</v>
      </c>
      <c r="Y101" s="66">
        <f t="shared" si="44"/>
        <v>78.355899666594212</v>
      </c>
      <c r="Z101" s="66">
        <f>0.9/$R$2/(13.4/$R$2 + 28.9/$S$2 + 0.9/$T$2)*100</f>
        <v>1.362216104899665</v>
      </c>
      <c r="AA101" s="151" t="s">
        <v>158</v>
      </c>
      <c r="AB101" s="66" t="e">
        <f t="shared" si="52"/>
        <v>#VALUE!</v>
      </c>
      <c r="AC101" s="123" t="s">
        <v>158</v>
      </c>
      <c r="AD101" s="66" t="s">
        <v>158</v>
      </c>
      <c r="AE101" s="66" t="e">
        <f t="shared" si="40"/>
        <v>#VALUE!</v>
      </c>
      <c r="AF101" s="123" t="s">
        <v>158</v>
      </c>
      <c r="AG101" s="23" t="s">
        <v>262</v>
      </c>
      <c r="AH101" s="196" t="s">
        <v>474</v>
      </c>
      <c r="AI101" s="197" t="s">
        <v>475</v>
      </c>
      <c r="AJ101" s="67"/>
      <c r="AN101" s="24"/>
      <c r="AO101" s="24"/>
      <c r="AP101" s="24"/>
      <c r="AQ101" s="236" t="s">
        <v>73</v>
      </c>
      <c r="AR101" s="230"/>
      <c r="AS101" s="23">
        <v>44.18</v>
      </c>
      <c r="AT101" s="23">
        <v>23.97</v>
      </c>
      <c r="AU101" s="23">
        <v>11.12</v>
      </c>
      <c r="AV101" s="219">
        <v>1.89</v>
      </c>
      <c r="AW101" s="24">
        <f t="shared" si="43"/>
        <v>3.55</v>
      </c>
      <c r="AX101" s="24">
        <f t="shared" si="45"/>
        <v>3.3480274833990973</v>
      </c>
      <c r="AY101" s="24">
        <f t="shared" si="46"/>
        <v>3.1399999999999997</v>
      </c>
      <c r="AZ101" s="24">
        <f t="shared" si="51"/>
        <v>2.6408</v>
      </c>
      <c r="BA101" s="220"/>
      <c r="BB101" s="23">
        <f t="shared" si="47"/>
        <v>12.445070422535212</v>
      </c>
      <c r="BC101" s="23">
        <f t="shared" si="48"/>
        <v>7.1594394367588547</v>
      </c>
      <c r="BD101" s="23">
        <f t="shared" si="49"/>
        <v>3.5414012738853504</v>
      </c>
      <c r="BE101" s="219">
        <f t="shared" si="50"/>
        <v>0.71569221448046039</v>
      </c>
    </row>
    <row r="102" spans="1:59" s="23" customFormat="1">
      <c r="A102" s="23" t="s">
        <v>481</v>
      </c>
      <c r="B102" s="64" t="s">
        <v>482</v>
      </c>
      <c r="C102" s="65" t="s">
        <v>186</v>
      </c>
      <c r="D102" s="65" t="s">
        <v>60</v>
      </c>
      <c r="E102" s="23" t="s">
        <v>61</v>
      </c>
      <c r="G102" s="23" t="s">
        <v>62</v>
      </c>
      <c r="H102" s="23" t="s">
        <v>483</v>
      </c>
      <c r="J102" s="23">
        <v>125</v>
      </c>
      <c r="K102" s="23">
        <v>500</v>
      </c>
      <c r="L102" s="23" t="s">
        <v>64</v>
      </c>
      <c r="M102" s="23" t="s">
        <v>65</v>
      </c>
      <c r="N102" s="23" t="s">
        <v>484</v>
      </c>
      <c r="O102" s="23" t="s">
        <v>189</v>
      </c>
      <c r="P102" s="23">
        <v>0</v>
      </c>
      <c r="Q102" s="23" t="s">
        <v>485</v>
      </c>
      <c r="R102" s="122">
        <f t="shared" si="53"/>
        <v>59.25833470440616</v>
      </c>
      <c r="S102" s="204">
        <f t="shared" si="54"/>
        <v>40.741665295593847</v>
      </c>
      <c r="T102" s="204" t="e">
        <f t="shared" si="54"/>
        <v>#VALUE!</v>
      </c>
      <c r="U102" s="204" t="e">
        <f t="shared" si="54"/>
        <v>#VALUE!</v>
      </c>
      <c r="V102" s="122">
        <v>15.8</v>
      </c>
      <c r="W102" s="150">
        <f t="shared" si="42"/>
        <v>84.2</v>
      </c>
      <c r="X102" s="66">
        <v>13.4</v>
      </c>
      <c r="Y102" s="66">
        <f t="shared" si="44"/>
        <v>85.899999999999991</v>
      </c>
      <c r="Z102" s="66">
        <v>0.7</v>
      </c>
      <c r="AA102" s="151" t="s">
        <v>158</v>
      </c>
      <c r="AB102" s="66" t="e">
        <f t="shared" si="52"/>
        <v>#VALUE!</v>
      </c>
      <c r="AC102" s="123" t="s">
        <v>158</v>
      </c>
      <c r="AD102" s="66" t="s">
        <v>158</v>
      </c>
      <c r="AE102" s="66" t="e">
        <f t="shared" si="40"/>
        <v>#VALUE!</v>
      </c>
      <c r="AF102" s="123" t="s">
        <v>158</v>
      </c>
      <c r="AG102" s="23" t="s">
        <v>262</v>
      </c>
      <c r="AH102" s="196" t="s">
        <v>486</v>
      </c>
      <c r="AI102" s="67"/>
      <c r="AJ102" s="67"/>
      <c r="AN102" s="24"/>
      <c r="AO102" s="24"/>
      <c r="AP102" s="24"/>
      <c r="AQ102" s="236" t="s">
        <v>73</v>
      </c>
      <c r="AR102" s="220"/>
      <c r="AS102" s="23">
        <v>38</v>
      </c>
      <c r="AT102" s="23">
        <v>25</v>
      </c>
      <c r="AU102" s="23" t="s">
        <v>90</v>
      </c>
      <c r="AV102" s="219" t="s">
        <v>90</v>
      </c>
      <c r="AW102" s="24">
        <f t="shared" si="43"/>
        <v>3.4469599999999998</v>
      </c>
      <c r="AX102" s="24">
        <f t="shared" si="45"/>
        <v>3.2984</v>
      </c>
      <c r="AY102" s="24">
        <f t="shared" si="46"/>
        <v>3.1399999999999997</v>
      </c>
      <c r="AZ102" s="24">
        <f t="shared" si="51"/>
        <v>2.6408</v>
      </c>
      <c r="BA102" s="220"/>
      <c r="BB102" s="23">
        <f t="shared" si="47"/>
        <v>11.024206837329125</v>
      </c>
      <c r="BC102" s="23">
        <f t="shared" si="48"/>
        <v>7.5794324520979872</v>
      </c>
      <c r="BD102" s="23" t="e">
        <f t="shared" si="49"/>
        <v>#VALUE!</v>
      </c>
      <c r="BE102" s="219" t="e">
        <f t="shared" si="50"/>
        <v>#VALUE!</v>
      </c>
    </row>
    <row r="103" spans="1:59" s="23" customFormat="1">
      <c r="A103" s="23" t="s">
        <v>487</v>
      </c>
      <c r="B103" s="64" t="s">
        <v>488</v>
      </c>
      <c r="C103" s="65" t="s">
        <v>186</v>
      </c>
      <c r="D103" s="65" t="s">
        <v>60</v>
      </c>
      <c r="E103" s="23" t="s">
        <v>61</v>
      </c>
      <c r="G103" s="23" t="s">
        <v>62</v>
      </c>
      <c r="H103" s="23" t="s">
        <v>483</v>
      </c>
      <c r="J103" s="23">
        <v>0</v>
      </c>
      <c r="K103" s="23">
        <v>125</v>
      </c>
      <c r="L103" s="23" t="s">
        <v>64</v>
      </c>
      <c r="M103" s="23" t="s">
        <v>65</v>
      </c>
      <c r="N103" s="23" t="s">
        <v>484</v>
      </c>
      <c r="O103" s="23" t="s">
        <v>189</v>
      </c>
      <c r="P103" s="23">
        <v>0</v>
      </c>
      <c r="Q103" s="23" t="s">
        <v>485</v>
      </c>
      <c r="R103" s="122">
        <f t="shared" si="53"/>
        <v>59.25833470440616</v>
      </c>
      <c r="S103" s="204">
        <f t="shared" si="54"/>
        <v>40.741665295593847</v>
      </c>
      <c r="T103" s="204" t="e">
        <f t="shared" si="54"/>
        <v>#VALUE!</v>
      </c>
      <c r="U103" s="204" t="e">
        <f t="shared" si="54"/>
        <v>#VALUE!</v>
      </c>
      <c r="V103" s="122">
        <v>15.8</v>
      </c>
      <c r="W103" s="150">
        <f t="shared" si="42"/>
        <v>84.2</v>
      </c>
      <c r="X103" s="66">
        <v>13.4</v>
      </c>
      <c r="Y103" s="66">
        <f t="shared" si="44"/>
        <v>85.899999999999991</v>
      </c>
      <c r="Z103" s="66">
        <v>0.7</v>
      </c>
      <c r="AA103" s="151" t="s">
        <v>158</v>
      </c>
      <c r="AB103" s="66" t="e">
        <f t="shared" si="52"/>
        <v>#VALUE!</v>
      </c>
      <c r="AC103" s="123" t="s">
        <v>158</v>
      </c>
      <c r="AD103" s="66" t="s">
        <v>158</v>
      </c>
      <c r="AE103" s="66" t="e">
        <f t="shared" si="40"/>
        <v>#VALUE!</v>
      </c>
      <c r="AF103" s="123" t="s">
        <v>158</v>
      </c>
      <c r="AG103" s="23" t="s">
        <v>69</v>
      </c>
      <c r="AH103" s="196" t="s">
        <v>486</v>
      </c>
      <c r="AI103" s="67"/>
      <c r="AJ103" s="67"/>
      <c r="AN103" s="24"/>
      <c r="AO103" s="24"/>
      <c r="AP103" s="24"/>
      <c r="AQ103" s="236" t="s">
        <v>73</v>
      </c>
      <c r="AR103" s="220"/>
      <c r="AS103" s="23">
        <v>38</v>
      </c>
      <c r="AT103" s="23">
        <v>25</v>
      </c>
      <c r="AU103" s="23" t="s">
        <v>90</v>
      </c>
      <c r="AV103" s="219" t="s">
        <v>90</v>
      </c>
      <c r="AW103" s="24">
        <f t="shared" si="43"/>
        <v>3.4469599999999998</v>
      </c>
      <c r="AX103" s="24">
        <f t="shared" si="45"/>
        <v>3.2984</v>
      </c>
      <c r="AY103" s="24">
        <f t="shared" si="46"/>
        <v>3.1399999999999997</v>
      </c>
      <c r="AZ103" s="24">
        <f t="shared" si="51"/>
        <v>2.6408</v>
      </c>
      <c r="BA103" s="220"/>
      <c r="BB103" s="23">
        <f t="shared" si="47"/>
        <v>11.024206837329125</v>
      </c>
      <c r="BC103" s="23">
        <f t="shared" si="48"/>
        <v>7.5794324520979872</v>
      </c>
      <c r="BD103" s="23" t="e">
        <f t="shared" si="49"/>
        <v>#VALUE!</v>
      </c>
      <c r="BE103" s="219" t="e">
        <f t="shared" si="50"/>
        <v>#VALUE!</v>
      </c>
    </row>
    <row r="104" spans="1:59" s="23" customFormat="1" ht="14.4">
      <c r="A104" s="23" t="s">
        <v>489</v>
      </c>
      <c r="B104" s="64" t="s">
        <v>490</v>
      </c>
      <c r="C104" s="65" t="s">
        <v>106</v>
      </c>
      <c r="D104" s="65" t="s">
        <v>60</v>
      </c>
      <c r="E104" s="23" t="s">
        <v>61</v>
      </c>
      <c r="G104" s="23" t="s">
        <v>62</v>
      </c>
      <c r="H104" s="23" t="s">
        <v>156</v>
      </c>
      <c r="J104" s="23">
        <v>0</v>
      </c>
      <c r="K104" s="23">
        <v>150</v>
      </c>
      <c r="L104" s="23" t="s">
        <v>64</v>
      </c>
      <c r="M104" s="23" t="s">
        <v>108</v>
      </c>
      <c r="N104" s="23" t="s">
        <v>491</v>
      </c>
      <c r="O104" s="23" t="s">
        <v>110</v>
      </c>
      <c r="P104" s="23">
        <v>0</v>
      </c>
      <c r="Q104" s="23" t="s">
        <v>111</v>
      </c>
      <c r="R104" s="122">
        <f t="shared" si="53"/>
        <v>45.764375692185169</v>
      </c>
      <c r="S104" s="204">
        <f t="shared" si="54"/>
        <v>25.414780217659409</v>
      </c>
      <c r="T104" s="204">
        <f t="shared" si="54"/>
        <v>13.796337066059582</v>
      </c>
      <c r="U104" s="204">
        <f t="shared" si="54"/>
        <v>15.02450702409584</v>
      </c>
      <c r="V104" s="122">
        <v>23.2</v>
      </c>
      <c r="W104" s="150">
        <f t="shared" si="42"/>
        <v>76.8</v>
      </c>
      <c r="X104" s="66">
        <f>13.2/$R$2/(13.2/$R$2 + 29.9/$S$2 + 0.41/$T$2)*100</f>
        <v>19.694556097983057</v>
      </c>
      <c r="Y104" s="66">
        <f t="shared" si="44"/>
        <v>79.5217278236059</v>
      </c>
      <c r="Z104" s="66">
        <f>0.41/$T$2/(13.2/$R$2 + 29.9/$S$2 + 0.41/$T$2)*100</f>
        <v>0.78371607841104129</v>
      </c>
      <c r="AA104" s="151" t="s">
        <v>158</v>
      </c>
      <c r="AB104" s="66" t="e">
        <f t="shared" si="52"/>
        <v>#VALUE!</v>
      </c>
      <c r="AC104" s="123" t="s">
        <v>158</v>
      </c>
      <c r="AD104" s="66" t="s">
        <v>158</v>
      </c>
      <c r="AE104" s="66" t="e">
        <f t="shared" si="40"/>
        <v>#VALUE!</v>
      </c>
      <c r="AF104" s="123" t="s">
        <v>158</v>
      </c>
      <c r="AG104" s="23" t="s">
        <v>69</v>
      </c>
      <c r="AH104" s="196" t="s">
        <v>70</v>
      </c>
      <c r="AI104" s="67"/>
      <c r="AJ104" s="67"/>
      <c r="AN104" s="24"/>
      <c r="AO104" s="24"/>
      <c r="AP104" s="24"/>
      <c r="AQ104" s="236" t="s">
        <v>73</v>
      </c>
      <c r="AR104" s="220"/>
      <c r="AS104" s="23">
        <v>39.9</v>
      </c>
      <c r="AT104" s="23">
        <v>21</v>
      </c>
      <c r="AU104" s="23">
        <v>10.7</v>
      </c>
      <c r="AV104" s="219">
        <v>9.8000000000000007</v>
      </c>
      <c r="AW104" s="24">
        <f t="shared" si="43"/>
        <v>3.5298399999999996</v>
      </c>
      <c r="AX104" s="24">
        <f t="shared" si="45"/>
        <v>3.34535802249964</v>
      </c>
      <c r="AY104" s="24">
        <f t="shared" si="46"/>
        <v>3.1399999999999997</v>
      </c>
      <c r="AZ104" s="24">
        <f t="shared" si="51"/>
        <v>2.6408</v>
      </c>
      <c r="BA104" s="220"/>
      <c r="BB104" s="23">
        <f t="shared" si="47"/>
        <v>11.303628493076173</v>
      </c>
      <c r="BC104" s="23">
        <f t="shared" si="48"/>
        <v>6.2773550271037575</v>
      </c>
      <c r="BD104" s="23">
        <f t="shared" si="49"/>
        <v>3.4076433121019107</v>
      </c>
      <c r="BE104" s="219">
        <f t="shared" si="50"/>
        <v>3.7109966676764619</v>
      </c>
      <c r="BF104" s="205"/>
    </row>
    <row r="105" spans="1:59" s="23" customFormat="1">
      <c r="A105" s="23" t="s">
        <v>492</v>
      </c>
      <c r="B105" s="64" t="s">
        <v>493</v>
      </c>
      <c r="C105" s="65" t="s">
        <v>106</v>
      </c>
      <c r="D105" s="65" t="s">
        <v>60</v>
      </c>
      <c r="E105" s="23" t="s">
        <v>61</v>
      </c>
      <c r="G105" s="23" t="s">
        <v>62</v>
      </c>
      <c r="H105" s="23" t="s">
        <v>494</v>
      </c>
      <c r="J105" s="23">
        <v>0</v>
      </c>
      <c r="K105" s="23">
        <v>150</v>
      </c>
      <c r="L105" s="23" t="s">
        <v>64</v>
      </c>
      <c r="M105" s="23" t="s">
        <v>108</v>
      </c>
      <c r="O105" s="23" t="s">
        <v>110</v>
      </c>
      <c r="P105" s="23">
        <v>0</v>
      </c>
      <c r="Q105" s="23" t="s">
        <v>111</v>
      </c>
      <c r="R105" s="122">
        <f t="shared" si="53"/>
        <v>59.25833470440616</v>
      </c>
      <c r="S105" s="204">
        <f t="shared" si="54"/>
        <v>40.741665295593847</v>
      </c>
      <c r="T105" s="204" t="e">
        <f t="shared" si="54"/>
        <v>#VALUE!</v>
      </c>
      <c r="U105" s="204" t="e">
        <f t="shared" si="54"/>
        <v>#VALUE!</v>
      </c>
      <c r="V105" s="122">
        <v>15.8</v>
      </c>
      <c r="W105" s="150">
        <f t="shared" si="42"/>
        <v>84.2</v>
      </c>
      <c r="X105" s="66">
        <v>13.4</v>
      </c>
      <c r="Y105" s="66">
        <f t="shared" si="44"/>
        <v>85.899999999999991</v>
      </c>
      <c r="Z105" s="66">
        <v>0.7</v>
      </c>
      <c r="AA105" s="151" t="s">
        <v>158</v>
      </c>
      <c r="AB105" s="66" t="e">
        <f t="shared" si="52"/>
        <v>#VALUE!</v>
      </c>
      <c r="AC105" s="123" t="s">
        <v>158</v>
      </c>
      <c r="AD105" s="66" t="s">
        <v>158</v>
      </c>
      <c r="AE105" s="66" t="e">
        <f t="shared" si="40"/>
        <v>#VALUE!</v>
      </c>
      <c r="AF105" s="123" t="s">
        <v>158</v>
      </c>
      <c r="AG105" s="23" t="s">
        <v>69</v>
      </c>
      <c r="AH105" s="196" t="s">
        <v>486</v>
      </c>
      <c r="AI105" s="67"/>
      <c r="AJ105" s="67"/>
      <c r="AN105" s="24"/>
      <c r="AO105" s="24"/>
      <c r="AP105" s="24"/>
      <c r="AQ105" s="236" t="s">
        <v>73</v>
      </c>
      <c r="AR105" s="220"/>
      <c r="AS105" s="23">
        <v>38</v>
      </c>
      <c r="AT105" s="23">
        <v>25</v>
      </c>
      <c r="AU105" s="23" t="s">
        <v>90</v>
      </c>
      <c r="AV105" s="219" t="s">
        <v>90</v>
      </c>
      <c r="AW105" s="24">
        <f t="shared" si="43"/>
        <v>3.4469599999999998</v>
      </c>
      <c r="AX105" s="24">
        <f t="shared" si="45"/>
        <v>3.2984</v>
      </c>
      <c r="AY105" s="24">
        <f t="shared" si="46"/>
        <v>3.1399999999999997</v>
      </c>
      <c r="AZ105" s="24">
        <f t="shared" si="51"/>
        <v>2.6408</v>
      </c>
      <c r="BA105" s="220"/>
      <c r="BB105" s="23">
        <f t="shared" si="47"/>
        <v>11.024206837329125</v>
      </c>
      <c r="BC105" s="23">
        <f t="shared" si="48"/>
        <v>7.5794324520979872</v>
      </c>
      <c r="BD105" s="23" t="e">
        <f t="shared" si="49"/>
        <v>#VALUE!</v>
      </c>
      <c r="BE105" s="219" t="e">
        <f t="shared" si="50"/>
        <v>#VALUE!</v>
      </c>
    </row>
    <row r="106" spans="1:59" s="23" customFormat="1" ht="14.4">
      <c r="A106" s="23" t="s">
        <v>495</v>
      </c>
      <c r="B106" s="64" t="s">
        <v>496</v>
      </c>
      <c r="C106" s="65" t="s">
        <v>106</v>
      </c>
      <c r="D106" s="65" t="s">
        <v>60</v>
      </c>
      <c r="E106" s="23" t="s">
        <v>61</v>
      </c>
      <c r="G106" s="23" t="s">
        <v>62</v>
      </c>
      <c r="H106" s="23" t="s">
        <v>134</v>
      </c>
      <c r="J106" s="23">
        <v>0</v>
      </c>
      <c r="K106" s="23">
        <v>150</v>
      </c>
      <c r="L106" s="23" t="s">
        <v>64</v>
      </c>
      <c r="M106" s="23" t="s">
        <v>108</v>
      </c>
      <c r="N106" s="23" t="s">
        <v>468</v>
      </c>
      <c r="O106" s="23" t="s">
        <v>110</v>
      </c>
      <c r="P106" s="23">
        <v>0</v>
      </c>
      <c r="Q106" s="23" t="s">
        <v>111</v>
      </c>
      <c r="R106" s="122">
        <f t="shared" si="53"/>
        <v>42.966952479909565</v>
      </c>
      <c r="S106" s="204">
        <f t="shared" si="54"/>
        <v>34.031920425180793</v>
      </c>
      <c r="T106" s="204">
        <f t="shared" si="54"/>
        <v>9.7607028809932892</v>
      </c>
      <c r="U106" s="204">
        <f t="shared" si="54"/>
        <v>13.240424213916361</v>
      </c>
      <c r="V106" s="122">
        <v>19.3</v>
      </c>
      <c r="W106" s="150">
        <f t="shared" si="42"/>
        <v>80.7</v>
      </c>
      <c r="X106" s="66">
        <f>11.3/$R$2/(11.3/$R$2 + 30.4/$S$2 + 0.74/$T$2)*100</f>
        <v>17.008426707865731</v>
      </c>
      <c r="Y106" s="66">
        <f t="shared" si="44"/>
        <v>81.564586170232602</v>
      </c>
      <c r="Z106" s="66">
        <f>0.74/$T$2/(11.3/$R$2 + 30.4/$S$2 + 0.74/$T$2)*100</f>
        <v>1.426987121901663</v>
      </c>
      <c r="AA106" s="151" t="s">
        <v>158</v>
      </c>
      <c r="AB106" s="66" t="e">
        <f t="shared" si="52"/>
        <v>#VALUE!</v>
      </c>
      <c r="AC106" s="123" t="s">
        <v>158</v>
      </c>
      <c r="AD106" s="66" t="s">
        <v>158</v>
      </c>
      <c r="AE106" s="66" t="e">
        <f t="shared" si="40"/>
        <v>#VALUE!</v>
      </c>
      <c r="AF106" s="123" t="s">
        <v>158</v>
      </c>
      <c r="AG106" s="23" t="s">
        <v>69</v>
      </c>
      <c r="AH106" s="196" t="s">
        <v>70</v>
      </c>
      <c r="AJ106" s="67"/>
      <c r="AN106" s="24"/>
      <c r="AO106" s="24"/>
      <c r="AP106" s="24"/>
      <c r="AQ106" s="236" t="s">
        <v>73</v>
      </c>
      <c r="AR106" s="220"/>
      <c r="AS106" s="23">
        <v>34.700000000000003</v>
      </c>
      <c r="AT106" s="23">
        <v>26.2</v>
      </c>
      <c r="AU106" s="23">
        <v>7.1</v>
      </c>
      <c r="AV106" s="219">
        <v>8.1</v>
      </c>
      <c r="AW106" s="24">
        <f t="shared" si="43"/>
        <v>3.4861599999999999</v>
      </c>
      <c r="AX106" s="24">
        <f t="shared" si="45"/>
        <v>3.3232822389432877</v>
      </c>
      <c r="AY106" s="24">
        <f t="shared" si="46"/>
        <v>3.1399999999999997</v>
      </c>
      <c r="AZ106" s="24">
        <f t="shared" si="51"/>
        <v>2.6408</v>
      </c>
      <c r="BA106" s="220"/>
      <c r="BB106" s="23">
        <f t="shared" si="47"/>
        <v>9.9536452715882238</v>
      </c>
      <c r="BC106" s="23">
        <f t="shared" si="48"/>
        <v>7.8837721614432841</v>
      </c>
      <c r="BD106" s="23">
        <f t="shared" si="49"/>
        <v>2.2611464968152868</v>
      </c>
      <c r="BE106" s="219">
        <f t="shared" si="50"/>
        <v>3.0672523477734019</v>
      </c>
      <c r="BF106" s="205"/>
    </row>
    <row r="107" spans="1:59" s="23" customFormat="1" ht="14.4">
      <c r="A107" s="23" t="s">
        <v>497</v>
      </c>
      <c r="B107" s="23" t="s">
        <v>498</v>
      </c>
      <c r="C107" s="65" t="s">
        <v>106</v>
      </c>
      <c r="D107" s="65" t="s">
        <v>60</v>
      </c>
      <c r="E107" s="23" t="s">
        <v>61</v>
      </c>
      <c r="G107" s="23" t="s">
        <v>62</v>
      </c>
      <c r="H107" s="23" t="s">
        <v>120</v>
      </c>
      <c r="J107" s="23">
        <v>0</v>
      </c>
      <c r="K107" s="23">
        <v>150</v>
      </c>
      <c r="L107" s="23" t="s">
        <v>64</v>
      </c>
      <c r="M107" s="23" t="s">
        <v>108</v>
      </c>
      <c r="N107" s="23" t="s">
        <v>121</v>
      </c>
      <c r="O107" s="23" t="s">
        <v>110</v>
      </c>
      <c r="P107" s="23">
        <v>0</v>
      </c>
      <c r="Q107" s="23" t="s">
        <v>111</v>
      </c>
      <c r="R107" s="122">
        <f t="shared" ref="R107:U122" si="55">BB107/SUMIF($BB107:$BE107, "&lt;&gt;#VALUE!")*100</f>
        <v>37.737975993944332</v>
      </c>
      <c r="S107" s="204">
        <f t="shared" si="54"/>
        <v>35.053423569639826</v>
      </c>
      <c r="T107" s="204">
        <f t="shared" si="54"/>
        <v>11.514243163772155</v>
      </c>
      <c r="U107" s="204">
        <f t="shared" si="54"/>
        <v>15.694357272643684</v>
      </c>
      <c r="V107" s="122">
        <v>18.899999999999999</v>
      </c>
      <c r="W107" s="150">
        <f t="shared" si="42"/>
        <v>81.099999999999994</v>
      </c>
      <c r="X107" s="66">
        <f>11.1/$R$2/(11.1/$R$2 + 31/$S$2 + 0.59/$T$2)*100</f>
        <v>16.538773344074844</v>
      </c>
      <c r="Y107" s="66">
        <f t="shared" si="44"/>
        <v>82.334976243797371</v>
      </c>
      <c r="Z107" s="66">
        <f>0.59/$T$2/(11.1/$R$2 + 31/$S$2 + 0.59/$T$2)*100</f>
        <v>1.1262504121277916</v>
      </c>
      <c r="AA107" s="151" t="s">
        <v>158</v>
      </c>
      <c r="AB107" s="66" t="e">
        <f t="shared" si="52"/>
        <v>#VALUE!</v>
      </c>
      <c r="AC107" s="123" t="s">
        <v>158</v>
      </c>
      <c r="AD107" s="66" t="s">
        <v>158</v>
      </c>
      <c r="AE107" s="66" t="e">
        <f t="shared" si="40"/>
        <v>#VALUE!</v>
      </c>
      <c r="AF107" s="123" t="s">
        <v>158</v>
      </c>
      <c r="AG107" s="23" t="s">
        <v>69</v>
      </c>
      <c r="AH107" s="196" t="s">
        <v>70</v>
      </c>
      <c r="AI107" s="67"/>
      <c r="AJ107" s="67"/>
      <c r="AN107" s="24"/>
      <c r="AO107" s="24"/>
      <c r="AP107" s="24"/>
      <c r="AQ107" s="236" t="s">
        <v>73</v>
      </c>
      <c r="AR107" s="220"/>
      <c r="AS107" s="23">
        <v>29.8</v>
      </c>
      <c r="AT107" s="23">
        <v>26.4</v>
      </c>
      <c r="AU107" s="23">
        <v>8.1999999999999993</v>
      </c>
      <c r="AV107" s="219">
        <v>9.4</v>
      </c>
      <c r="AW107" s="24">
        <f t="shared" si="43"/>
        <v>3.4816799999999999</v>
      </c>
      <c r="AX107" s="24">
        <f t="shared" si="45"/>
        <v>3.3206620488441785</v>
      </c>
      <c r="AY107" s="24">
        <f t="shared" si="46"/>
        <v>3.1399999999999997</v>
      </c>
      <c r="AZ107" s="24">
        <f t="shared" si="51"/>
        <v>2.6408</v>
      </c>
      <c r="BA107" s="220"/>
      <c r="BB107" s="23">
        <f t="shared" si="47"/>
        <v>8.5590864180510557</v>
      </c>
      <c r="BC107" s="23">
        <f t="shared" si="48"/>
        <v>7.9502218568700886</v>
      </c>
      <c r="BD107" s="23">
        <f t="shared" si="49"/>
        <v>2.6114649681528661</v>
      </c>
      <c r="BE107" s="219">
        <f t="shared" si="50"/>
        <v>3.5595274159345656</v>
      </c>
      <c r="BF107" s="205"/>
    </row>
    <row r="108" spans="1:59" s="23" customFormat="1" ht="14.4">
      <c r="A108" s="23" t="s">
        <v>499</v>
      </c>
      <c r="B108" s="64" t="s">
        <v>500</v>
      </c>
      <c r="C108" s="65" t="s">
        <v>106</v>
      </c>
      <c r="D108" s="65" t="s">
        <v>60</v>
      </c>
      <c r="E108" s="23" t="s">
        <v>61</v>
      </c>
      <c r="G108" s="23" t="s">
        <v>62</v>
      </c>
      <c r="H108" s="23" t="s">
        <v>120</v>
      </c>
      <c r="J108" s="23">
        <v>0</v>
      </c>
      <c r="K108" s="23">
        <v>150</v>
      </c>
      <c r="L108" s="23" t="s">
        <v>64</v>
      </c>
      <c r="M108" s="23" t="s">
        <v>108</v>
      </c>
      <c r="N108" s="23" t="s">
        <v>501</v>
      </c>
      <c r="O108" s="23" t="s">
        <v>110</v>
      </c>
      <c r="P108" s="23">
        <v>0</v>
      </c>
      <c r="Q108" s="23" t="s">
        <v>111</v>
      </c>
      <c r="R108" s="122">
        <f t="shared" si="55"/>
        <v>44.449499394597986</v>
      </c>
      <c r="S108" s="204">
        <f t="shared" si="54"/>
        <v>32.373800832944013</v>
      </c>
      <c r="T108" s="204">
        <f t="shared" si="54"/>
        <v>8.5622762426389087</v>
      </c>
      <c r="U108" s="204">
        <f t="shared" si="54"/>
        <v>14.614423529819099</v>
      </c>
      <c r="V108" s="122">
        <v>19</v>
      </c>
      <c r="W108" s="150">
        <f t="shared" si="42"/>
        <v>81</v>
      </c>
      <c r="X108" s="66">
        <f>11.3/$R$2/(11.3/$R$2 + 31/$S$2 + 0.67/$T$2)*100</f>
        <v>16.761225105159046</v>
      </c>
      <c r="Y108" s="66">
        <f t="shared" si="44"/>
        <v>81.965551081924346</v>
      </c>
      <c r="Z108" s="66">
        <f>0.67/$T$2/(11.3/$R$2 + 31/$S$2 + 0.67/$T$2)*100</f>
        <v>1.2732238129166056</v>
      </c>
      <c r="AA108" s="151" t="s">
        <v>158</v>
      </c>
      <c r="AB108" s="66" t="e">
        <f t="shared" si="52"/>
        <v>#VALUE!</v>
      </c>
      <c r="AC108" s="123" t="s">
        <v>158</v>
      </c>
      <c r="AD108" s="66" t="s">
        <v>158</v>
      </c>
      <c r="AE108" s="66" t="e">
        <f t="shared" si="40"/>
        <v>#VALUE!</v>
      </c>
      <c r="AF108" s="123" t="s">
        <v>158</v>
      </c>
      <c r="AG108" s="23" t="s">
        <v>69</v>
      </c>
      <c r="AH108" s="196" t="s">
        <v>70</v>
      </c>
      <c r="AI108" s="67"/>
      <c r="AJ108" s="67"/>
      <c r="AN108" s="24"/>
      <c r="AO108" s="24"/>
      <c r="AP108" s="24"/>
      <c r="AQ108" s="236" t="s">
        <v>73</v>
      </c>
      <c r="AR108" s="220"/>
      <c r="AS108" s="23">
        <v>35.700000000000003</v>
      </c>
      <c r="AT108" s="23">
        <v>24.8</v>
      </c>
      <c r="AU108" s="23">
        <v>6.2</v>
      </c>
      <c r="AV108" s="219">
        <v>8.9</v>
      </c>
      <c r="AW108" s="24">
        <f t="shared" si="43"/>
        <v>3.4827999999999997</v>
      </c>
      <c r="AX108" s="24">
        <f t="shared" si="45"/>
        <v>3.3218895168499434</v>
      </c>
      <c r="AY108" s="24">
        <f t="shared" si="46"/>
        <v>3.1399999999999997</v>
      </c>
      <c r="AZ108" s="24">
        <f t="shared" si="51"/>
        <v>2.6408</v>
      </c>
      <c r="BA108" s="220"/>
      <c r="BB108" s="23">
        <f t="shared" si="47"/>
        <v>10.250373262891928</v>
      </c>
      <c r="BC108" s="23">
        <f t="shared" si="48"/>
        <v>7.4656305919280426</v>
      </c>
      <c r="BD108" s="23">
        <f t="shared" si="49"/>
        <v>1.9745222929936308</v>
      </c>
      <c r="BE108" s="219">
        <f t="shared" si="50"/>
        <v>3.370190851257195</v>
      </c>
      <c r="BF108" s="205"/>
    </row>
    <row r="109" spans="1:59" s="23" customFormat="1" ht="14.4">
      <c r="A109" s="23" t="s">
        <v>502</v>
      </c>
      <c r="B109" s="64" t="s">
        <v>503</v>
      </c>
      <c r="C109" s="65" t="s">
        <v>106</v>
      </c>
      <c r="D109" s="65" t="s">
        <v>60</v>
      </c>
      <c r="E109" s="23" t="s">
        <v>61</v>
      </c>
      <c r="G109" s="23" t="s">
        <v>62</v>
      </c>
      <c r="H109" s="23" t="s">
        <v>134</v>
      </c>
      <c r="J109" s="23">
        <v>0</v>
      </c>
      <c r="K109" s="23">
        <v>150</v>
      </c>
      <c r="L109" s="23" t="s">
        <v>64</v>
      </c>
      <c r="M109" s="23" t="s">
        <v>108</v>
      </c>
      <c r="N109" s="23" t="s">
        <v>504</v>
      </c>
      <c r="O109" s="23" t="s">
        <v>110</v>
      </c>
      <c r="P109" s="23">
        <v>0</v>
      </c>
      <c r="Q109" s="23" t="s">
        <v>111</v>
      </c>
      <c r="R109" s="122">
        <f t="shared" si="55"/>
        <v>42.19727585017143</v>
      </c>
      <c r="S109" s="204">
        <f t="shared" si="54"/>
        <v>31.263713387887972</v>
      </c>
      <c r="T109" s="204">
        <f t="shared" si="54"/>
        <v>11.21320242413247</v>
      </c>
      <c r="U109" s="204">
        <f t="shared" si="54"/>
        <v>15.325808337808111</v>
      </c>
      <c r="V109" s="122">
        <v>19.5</v>
      </c>
      <c r="W109" s="150">
        <f t="shared" si="42"/>
        <v>80.5</v>
      </c>
      <c r="X109" s="66">
        <v>17.100000000000001</v>
      </c>
      <c r="Y109" s="66">
        <f t="shared" si="44"/>
        <v>81.600000000000009</v>
      </c>
      <c r="Z109" s="66">
        <v>1.3</v>
      </c>
      <c r="AA109" s="151" t="s">
        <v>158</v>
      </c>
      <c r="AB109" s="66" t="e">
        <f t="shared" si="52"/>
        <v>#VALUE!</v>
      </c>
      <c r="AC109" s="123" t="s">
        <v>158</v>
      </c>
      <c r="AD109" s="66">
        <v>11.3</v>
      </c>
      <c r="AE109" s="66">
        <f t="shared" si="40"/>
        <v>83.9</v>
      </c>
      <c r="AF109" s="123">
        <v>4.8</v>
      </c>
      <c r="AG109" s="24" t="s">
        <v>69</v>
      </c>
      <c r="AH109" s="196" t="s">
        <v>70</v>
      </c>
      <c r="AI109" s="197" t="s">
        <v>505</v>
      </c>
      <c r="AJ109" s="67"/>
      <c r="AN109" s="24"/>
      <c r="AO109" s="24"/>
      <c r="AP109" s="24"/>
      <c r="AQ109" s="236" t="s">
        <v>73</v>
      </c>
      <c r="AR109" s="220"/>
      <c r="AS109" s="23">
        <v>34.700000000000003</v>
      </c>
      <c r="AT109" s="23">
        <v>24.5</v>
      </c>
      <c r="AU109" s="23">
        <v>8.3000000000000007</v>
      </c>
      <c r="AV109" s="219">
        <v>9.5</v>
      </c>
      <c r="AW109" s="24">
        <f t="shared" si="43"/>
        <v>3.4883999999999999</v>
      </c>
      <c r="AX109" s="24">
        <f t="shared" si="45"/>
        <v>3.3243500000000004</v>
      </c>
      <c r="AY109" s="24">
        <f t="shared" si="46"/>
        <v>3.1399999999999997</v>
      </c>
      <c r="AZ109" s="24">
        <f>AD109*$AC$2+AE109*$AD$2+AF109*$AE$2</f>
        <v>2.6295500000000001</v>
      </c>
      <c r="BA109" s="220"/>
      <c r="BB109" s="23">
        <f t="shared" si="47"/>
        <v>9.9472537553032918</v>
      </c>
      <c r="BC109" s="23">
        <f t="shared" si="48"/>
        <v>7.3698617774903354</v>
      </c>
      <c r="BD109" s="23">
        <f t="shared" si="49"/>
        <v>2.6433121019108285</v>
      </c>
      <c r="BE109" s="219">
        <f t="shared" si="50"/>
        <v>3.6127854575878002</v>
      </c>
      <c r="BF109" s="205"/>
    </row>
    <row r="110" spans="1:59" s="23" customFormat="1">
      <c r="A110" s="23" t="s">
        <v>506</v>
      </c>
      <c r="B110" s="64" t="s">
        <v>507</v>
      </c>
      <c r="C110" s="65" t="s">
        <v>106</v>
      </c>
      <c r="D110" s="65" t="s">
        <v>60</v>
      </c>
      <c r="E110" s="23" t="s">
        <v>61</v>
      </c>
      <c r="G110" s="23" t="s">
        <v>62</v>
      </c>
      <c r="H110" s="23" t="s">
        <v>107</v>
      </c>
      <c r="J110" s="23">
        <v>0</v>
      </c>
      <c r="K110" s="23">
        <v>150</v>
      </c>
      <c r="L110" s="23" t="s">
        <v>64</v>
      </c>
      <c r="M110" s="23" t="s">
        <v>108</v>
      </c>
      <c r="N110" s="23" t="s">
        <v>508</v>
      </c>
      <c r="O110" s="23" t="s">
        <v>110</v>
      </c>
      <c r="P110" s="23">
        <v>0</v>
      </c>
      <c r="Q110" s="23" t="s">
        <v>111</v>
      </c>
      <c r="R110" s="122" t="e">
        <f t="shared" si="55"/>
        <v>#VALUE!</v>
      </c>
      <c r="S110" s="204" t="e">
        <f t="shared" si="54"/>
        <v>#VALUE!</v>
      </c>
      <c r="T110" s="204" t="e">
        <f t="shared" si="54"/>
        <v>#VALUE!</v>
      </c>
      <c r="U110" s="204" t="e">
        <f t="shared" si="54"/>
        <v>#VALUE!</v>
      </c>
      <c r="V110" s="122">
        <v>23.6</v>
      </c>
      <c r="W110" s="150">
        <f t="shared" si="42"/>
        <v>76.400000000000006</v>
      </c>
      <c r="X110" s="66">
        <v>20.8</v>
      </c>
      <c r="Y110" s="66">
        <f t="shared" si="44"/>
        <v>77.8</v>
      </c>
      <c r="Z110" s="66">
        <v>1.4</v>
      </c>
      <c r="AA110" s="151">
        <v>6.5</v>
      </c>
      <c r="AB110" s="66">
        <f t="shared" si="52"/>
        <v>47.8</v>
      </c>
      <c r="AC110" s="123">
        <v>45.7</v>
      </c>
      <c r="AD110" s="66">
        <v>9.1</v>
      </c>
      <c r="AE110" s="66">
        <f t="shared" si="40"/>
        <v>83.2</v>
      </c>
      <c r="AF110" s="123">
        <v>7.7</v>
      </c>
      <c r="AG110" s="23" t="s">
        <v>69</v>
      </c>
      <c r="AH110" s="197" t="s">
        <v>140</v>
      </c>
      <c r="AI110" s="197" t="s">
        <v>509</v>
      </c>
      <c r="AJ110" s="67"/>
      <c r="AN110" s="24"/>
      <c r="AO110" s="24"/>
      <c r="AP110" s="24"/>
      <c r="AQ110" s="236" t="s">
        <v>73</v>
      </c>
      <c r="AR110" s="220"/>
      <c r="AS110" s="23" t="s">
        <v>90</v>
      </c>
      <c r="AT110" s="23" t="s">
        <v>90</v>
      </c>
      <c r="AU110" s="23" t="s">
        <v>90</v>
      </c>
      <c r="AV110" s="219" t="s">
        <v>90</v>
      </c>
      <c r="AW110" s="24">
        <f t="shared" si="43"/>
        <v>3.5343200000000001</v>
      </c>
      <c r="AX110" s="24">
        <f t="shared" si="45"/>
        <v>3.3517999999999999</v>
      </c>
      <c r="AY110" s="24">
        <f>AA110*$Z$2+AB110*$AA$2+AC110*$AB$2</f>
        <v>3.11165</v>
      </c>
      <c r="AZ110" s="24">
        <f>AD110*$AC$2+AE110*$AD$2+AF110*$AE$2</f>
        <v>2.6253899999999999</v>
      </c>
      <c r="BA110" s="220"/>
      <c r="BB110" s="23" t="e">
        <f t="shared" si="47"/>
        <v>#VALUE!</v>
      </c>
      <c r="BC110" s="23" t="e">
        <f t="shared" si="48"/>
        <v>#VALUE!</v>
      </c>
      <c r="BD110" s="23" t="e">
        <f t="shared" si="49"/>
        <v>#VALUE!</v>
      </c>
      <c r="BE110" s="219" t="e">
        <f t="shared" si="50"/>
        <v>#VALUE!</v>
      </c>
    </row>
    <row r="111" spans="1:59" s="23" customFormat="1" ht="14.4">
      <c r="A111" s="23" t="s">
        <v>510</v>
      </c>
      <c r="B111" s="64" t="s">
        <v>511</v>
      </c>
      <c r="C111" s="65" t="s">
        <v>106</v>
      </c>
      <c r="D111" s="65" t="s">
        <v>60</v>
      </c>
      <c r="E111" s="23" t="s">
        <v>61</v>
      </c>
      <c r="G111" s="23" t="s">
        <v>62</v>
      </c>
      <c r="H111" s="23" t="s">
        <v>125</v>
      </c>
      <c r="J111" s="23">
        <v>0</v>
      </c>
      <c r="K111" s="23">
        <v>75</v>
      </c>
      <c r="L111" s="23" t="s">
        <v>64</v>
      </c>
      <c r="M111" s="23" t="s">
        <v>108</v>
      </c>
      <c r="N111" s="23" t="s">
        <v>512</v>
      </c>
      <c r="O111" s="23" t="s">
        <v>110</v>
      </c>
      <c r="P111" s="23">
        <v>0</v>
      </c>
      <c r="Q111" s="23" t="s">
        <v>111</v>
      </c>
      <c r="R111" s="122">
        <f t="shared" si="55"/>
        <v>44.35746671432868</v>
      </c>
      <c r="S111" s="204">
        <f t="shared" si="54"/>
        <v>34.469504491826171</v>
      </c>
      <c r="T111" s="204">
        <f t="shared" si="54"/>
        <v>6.9381871188039099</v>
      </c>
      <c r="U111" s="204">
        <f t="shared" si="54"/>
        <v>14.234841675041254</v>
      </c>
      <c r="V111" s="122">
        <v>19.3</v>
      </c>
      <c r="W111" s="150">
        <f t="shared" si="42"/>
        <v>80.7</v>
      </c>
      <c r="X111" s="66">
        <f>11.2/$R$2/(11.2/$R$2 + 30.8/$S$2 + 0.71/$T$2)*100</f>
        <v>16.713364068158448</v>
      </c>
      <c r="Y111" s="66">
        <f t="shared" si="44"/>
        <v>81.929239090664268</v>
      </c>
      <c r="Z111" s="66">
        <f>0.71/$T$2/(11.2/$R$2 + 30.8/$S$2 + 0.71/$T$2)*100</f>
        <v>1.3573968411772812</v>
      </c>
      <c r="AA111" s="151" t="s">
        <v>158</v>
      </c>
      <c r="AB111" s="66" t="e">
        <f t="shared" si="52"/>
        <v>#VALUE!</v>
      </c>
      <c r="AC111" s="123" t="s">
        <v>158</v>
      </c>
      <c r="AD111" s="66" t="s">
        <v>158</v>
      </c>
      <c r="AE111" s="66" t="e">
        <f t="shared" ref="AE111:AE130" si="56">100 - $AD111 - $AF111</f>
        <v>#VALUE!</v>
      </c>
      <c r="AF111" s="123" t="s">
        <v>158</v>
      </c>
      <c r="AG111" s="23" t="s">
        <v>69</v>
      </c>
      <c r="AH111" s="196" t="s">
        <v>70</v>
      </c>
      <c r="AI111" s="67"/>
      <c r="AJ111" s="67"/>
      <c r="AN111" s="24"/>
      <c r="AO111" s="24"/>
      <c r="AP111" s="24"/>
      <c r="AQ111" s="236" t="s">
        <v>73</v>
      </c>
      <c r="AR111" s="220"/>
      <c r="AS111" s="23">
        <v>36.200000000000003</v>
      </c>
      <c r="AT111" s="23">
        <v>26.8</v>
      </c>
      <c r="AU111" s="23">
        <v>5.0999999999999996</v>
      </c>
      <c r="AV111" s="219">
        <v>8.8000000000000007</v>
      </c>
      <c r="AW111" s="24">
        <f t="shared" si="43"/>
        <v>3.4861599999999999</v>
      </c>
      <c r="AX111" s="24">
        <f t="shared" si="45"/>
        <v>3.3212780399876562</v>
      </c>
      <c r="AY111" s="24">
        <f t="shared" ref="AY111:AY120" si="57">10*$Z$2+45*$AA$2+45*$AB$2</f>
        <v>3.1399999999999997</v>
      </c>
      <c r="AZ111" s="24">
        <f>20*$AC$2+78*$AD$2+2*$AE$2</f>
        <v>2.6408</v>
      </c>
      <c r="BA111" s="220"/>
      <c r="BB111" s="23">
        <f t="shared" si="47"/>
        <v>10.383918121945063</v>
      </c>
      <c r="BC111" s="23">
        <f t="shared" si="48"/>
        <v>8.0691829101123993</v>
      </c>
      <c r="BD111" s="23">
        <f t="shared" si="49"/>
        <v>1.624203821656051</v>
      </c>
      <c r="BE111" s="219">
        <f t="shared" si="50"/>
        <v>3.3323235383217211</v>
      </c>
      <c r="BF111" s="205"/>
    </row>
    <row r="112" spans="1:59" s="23" customFormat="1" ht="14.4">
      <c r="A112" s="23" t="s">
        <v>513</v>
      </c>
      <c r="B112" s="64" t="s">
        <v>514</v>
      </c>
      <c r="C112" s="65" t="s">
        <v>106</v>
      </c>
      <c r="D112" s="65" t="s">
        <v>60</v>
      </c>
      <c r="E112" s="23" t="s">
        <v>61</v>
      </c>
      <c r="G112" s="23" t="s">
        <v>62</v>
      </c>
      <c r="H112" s="23" t="s">
        <v>147</v>
      </c>
      <c r="J112" s="23">
        <v>0</v>
      </c>
      <c r="K112" s="23">
        <v>75</v>
      </c>
      <c r="L112" s="23" t="s">
        <v>64</v>
      </c>
      <c r="M112" s="23" t="s">
        <v>108</v>
      </c>
      <c r="N112" s="23" t="s">
        <v>515</v>
      </c>
      <c r="O112" s="23" t="s">
        <v>110</v>
      </c>
      <c r="P112" s="23">
        <v>0</v>
      </c>
      <c r="Q112" s="23" t="s">
        <v>111</v>
      </c>
      <c r="R112" s="122">
        <f t="shared" si="55"/>
        <v>49.399989458057028</v>
      </c>
      <c r="S112" s="204">
        <f t="shared" si="54"/>
        <v>28.507192118877501</v>
      </c>
      <c r="T112" s="204">
        <f t="shared" si="54"/>
        <v>10.918473639890976</v>
      </c>
      <c r="U112" s="204">
        <f t="shared" si="54"/>
        <v>11.174344783174494</v>
      </c>
      <c r="V112" s="122">
        <v>24.5</v>
      </c>
      <c r="W112" s="150">
        <f t="shared" si="42"/>
        <v>75.5</v>
      </c>
      <c r="X112" s="66">
        <f>13.8/$R$2/(13.8/$R$2 + 29.1/$S$2 + 0.84/$T$2)*100</f>
        <v>20.674636384193313</v>
      </c>
      <c r="Y112" s="66">
        <f t="shared" si="44"/>
        <v>77.713082696204737</v>
      </c>
      <c r="Z112" s="66">
        <f>0.84/$T$2/(13.8/$R$2 + 29.1/$S$2 + 0.84/$T$2)*100</f>
        <v>1.6122809196019432</v>
      </c>
      <c r="AA112" s="151" t="s">
        <v>158</v>
      </c>
      <c r="AB112" s="66" t="e">
        <f t="shared" si="52"/>
        <v>#VALUE!</v>
      </c>
      <c r="AC112" s="123" t="s">
        <v>158</v>
      </c>
      <c r="AD112" s="66">
        <v>10</v>
      </c>
      <c r="AE112" s="66" t="e">
        <f t="shared" si="56"/>
        <v>#VALUE!</v>
      </c>
      <c r="AF112" s="123" t="s">
        <v>158</v>
      </c>
      <c r="AG112" s="23" t="s">
        <v>69</v>
      </c>
      <c r="AH112" s="196" t="s">
        <v>70</v>
      </c>
      <c r="AI112" s="197" t="s">
        <v>516</v>
      </c>
      <c r="AJ112" s="67"/>
      <c r="AN112" s="24"/>
      <c r="AO112" s="24"/>
      <c r="AP112" s="24"/>
      <c r="AQ112" s="236" t="s">
        <v>73</v>
      </c>
      <c r="AR112" s="220"/>
      <c r="AS112" s="23">
        <v>42.9</v>
      </c>
      <c r="AT112" s="23">
        <v>23.4</v>
      </c>
      <c r="AU112" s="23">
        <v>8.4</v>
      </c>
      <c r="AV112" s="219">
        <v>7.2</v>
      </c>
      <c r="AW112" s="24">
        <f t="shared" si="43"/>
        <v>3.5444</v>
      </c>
      <c r="AX112" s="24">
        <f t="shared" si="45"/>
        <v>3.3502229301226438</v>
      </c>
      <c r="AY112" s="24">
        <f t="shared" si="57"/>
        <v>3.1399999999999997</v>
      </c>
      <c r="AZ112" s="24">
        <f>AD112*$AC$2+(98-AD112)*$AD$2+2*$AE$2</f>
        <v>2.6298000000000004</v>
      </c>
      <c r="BA112" s="220"/>
      <c r="BB112" s="23">
        <f t="shared" si="47"/>
        <v>12.103600045141631</v>
      </c>
      <c r="BC112" s="23">
        <f t="shared" si="48"/>
        <v>6.9846098268879615</v>
      </c>
      <c r="BD112" s="23">
        <f t="shared" si="49"/>
        <v>2.6751592356687901</v>
      </c>
      <c r="BE112" s="219">
        <f t="shared" si="50"/>
        <v>2.7378507871321012</v>
      </c>
      <c r="BF112" s="205"/>
    </row>
    <row r="113" spans="1:58" s="23" customFormat="1" ht="14.4">
      <c r="A113" s="23" t="s">
        <v>517</v>
      </c>
      <c r="B113" s="64" t="s">
        <v>518</v>
      </c>
      <c r="C113" s="65" t="s">
        <v>106</v>
      </c>
      <c r="D113" s="65" t="s">
        <v>60</v>
      </c>
      <c r="E113" s="23" t="s">
        <v>61</v>
      </c>
      <c r="G113" s="23" t="s">
        <v>62</v>
      </c>
      <c r="H113" s="23" t="s">
        <v>156</v>
      </c>
      <c r="J113" s="23">
        <v>0</v>
      </c>
      <c r="K113" s="23">
        <v>150</v>
      </c>
      <c r="L113" s="23" t="s">
        <v>64</v>
      </c>
      <c r="M113" s="23" t="s">
        <v>108</v>
      </c>
      <c r="N113" s="23" t="s">
        <v>519</v>
      </c>
      <c r="O113" s="23" t="s">
        <v>110</v>
      </c>
      <c r="P113" s="23">
        <v>0</v>
      </c>
      <c r="Q113" s="23" t="s">
        <v>111</v>
      </c>
      <c r="R113" s="122">
        <f t="shared" si="55"/>
        <v>47.554078892678284</v>
      </c>
      <c r="S113" s="204">
        <f t="shared" si="54"/>
        <v>28.857336743617761</v>
      </c>
      <c r="T113" s="204">
        <f t="shared" si="54"/>
        <v>9.9544746725198898</v>
      </c>
      <c r="U113" s="204">
        <f t="shared" si="54"/>
        <v>13.63410969118407</v>
      </c>
      <c r="V113" s="122">
        <v>24.5</v>
      </c>
      <c r="W113" s="150">
        <f t="shared" si="42"/>
        <v>75.5</v>
      </c>
      <c r="X113" s="66">
        <f>13.4/$R$2/(13.4/$R$2 + 29/$S$2 + 1.02/$T$2)*100</f>
        <v>20.180477810677246</v>
      </c>
      <c r="Y113" s="66">
        <f t="shared" si="44"/>
        <v>77.851502437961372</v>
      </c>
      <c r="Z113" s="66">
        <f>1.02/$T$2/(13.4/$R$2 + 29/$S$2 + 1.02/$T$2)*100</f>
        <v>1.9680197513613804</v>
      </c>
      <c r="AA113" s="151" t="s">
        <v>158</v>
      </c>
      <c r="AB113" s="66" t="e">
        <f t="shared" si="52"/>
        <v>#VALUE!</v>
      </c>
      <c r="AC113" s="123" t="s">
        <v>158</v>
      </c>
      <c r="AD113" s="66" t="s">
        <v>158</v>
      </c>
      <c r="AE113" s="66" t="e">
        <f t="shared" si="56"/>
        <v>#VALUE!</v>
      </c>
      <c r="AF113" s="123" t="s">
        <v>158</v>
      </c>
      <c r="AG113" s="23" t="s">
        <v>69</v>
      </c>
      <c r="AH113" s="196" t="s">
        <v>70</v>
      </c>
      <c r="AJ113" s="67"/>
      <c r="AN113" s="24"/>
      <c r="AO113" s="24"/>
      <c r="AP113" s="24"/>
      <c r="AQ113" s="236" t="s">
        <v>73</v>
      </c>
      <c r="AR113" s="220"/>
      <c r="AS113" s="23">
        <v>42.6</v>
      </c>
      <c r="AT113" s="23">
        <v>24.4</v>
      </c>
      <c r="AU113" s="23">
        <v>7.9</v>
      </c>
      <c r="AV113" s="219">
        <v>9.1</v>
      </c>
      <c r="AW113" s="24">
        <f t="shared" si="43"/>
        <v>3.5444</v>
      </c>
      <c r="AX113" s="24">
        <f t="shared" si="45"/>
        <v>3.3454495243259954</v>
      </c>
      <c r="AY113" s="24">
        <f t="shared" si="57"/>
        <v>3.1399999999999997</v>
      </c>
      <c r="AZ113" s="24">
        <f>20*$AC$2+78*$AD$2+2*$AE$2</f>
        <v>2.6408</v>
      </c>
      <c r="BA113" s="220"/>
      <c r="BB113" s="23">
        <f t="shared" si="47"/>
        <v>12.018959485385396</v>
      </c>
      <c r="BC113" s="23">
        <f t="shared" si="48"/>
        <v>7.2934892075276023</v>
      </c>
      <c r="BD113" s="23">
        <f t="shared" si="49"/>
        <v>2.5159235668789814</v>
      </c>
      <c r="BE113" s="219">
        <f t="shared" si="50"/>
        <v>3.4459254771281427</v>
      </c>
      <c r="BF113" s="205"/>
    </row>
    <row r="114" spans="1:58" s="23" customFormat="1" ht="14.4">
      <c r="A114" s="23" t="s">
        <v>520</v>
      </c>
      <c r="B114" s="64" t="s">
        <v>521</v>
      </c>
      <c r="C114" s="65" t="s">
        <v>106</v>
      </c>
      <c r="D114" s="65" t="s">
        <v>60</v>
      </c>
      <c r="E114" s="23" t="s">
        <v>61</v>
      </c>
      <c r="G114" s="23" t="s">
        <v>62</v>
      </c>
      <c r="H114" s="23" t="s">
        <v>120</v>
      </c>
      <c r="J114" s="23">
        <v>0</v>
      </c>
      <c r="K114" s="23">
        <v>150</v>
      </c>
      <c r="L114" s="23" t="s">
        <v>64</v>
      </c>
      <c r="M114" s="23" t="s">
        <v>108</v>
      </c>
      <c r="N114" s="23" t="s">
        <v>522</v>
      </c>
      <c r="O114" s="23" t="s">
        <v>110</v>
      </c>
      <c r="P114" s="23">
        <v>0</v>
      </c>
      <c r="Q114" s="23" t="s">
        <v>111</v>
      </c>
      <c r="R114" s="122">
        <f t="shared" si="55"/>
        <v>38.212470134258055</v>
      </c>
      <c r="S114" s="204">
        <f t="shared" si="54"/>
        <v>36.799310458502703</v>
      </c>
      <c r="T114" s="204">
        <f t="shared" si="54"/>
        <v>10.583158519206606</v>
      </c>
      <c r="U114" s="204">
        <f t="shared" si="54"/>
        <v>14.405060888032633</v>
      </c>
      <c r="V114" s="122">
        <v>17.600000000000001</v>
      </c>
      <c r="W114" s="150">
        <f t="shared" si="42"/>
        <v>82.4</v>
      </c>
      <c r="X114" s="66">
        <f>10.6/R$2/(10.6/$R$2 + 31.3/$S$2 + 0.58/$T$2)*100</f>
        <v>15.788618889357044</v>
      </c>
      <c r="Y114" s="66">
        <f t="shared" si="44"/>
        <v>83.104581737151634</v>
      </c>
      <c r="Z114" s="66">
        <f>0.58/T$2/(10.6/$R$2 + 31.3/$S$2 + 0.58/$T$2)*100</f>
        <v>1.1067993734913308</v>
      </c>
      <c r="AA114" s="151" t="s">
        <v>158</v>
      </c>
      <c r="AB114" s="66" t="e">
        <f t="shared" si="52"/>
        <v>#VALUE!</v>
      </c>
      <c r="AC114" s="123" t="s">
        <v>158</v>
      </c>
      <c r="AD114" s="66" t="s">
        <v>158</v>
      </c>
      <c r="AE114" s="66" t="e">
        <f t="shared" si="56"/>
        <v>#VALUE!</v>
      </c>
      <c r="AF114" s="123" t="s">
        <v>158</v>
      </c>
      <c r="AG114" s="23" t="s">
        <v>69</v>
      </c>
      <c r="AH114" s="196" t="s">
        <v>70</v>
      </c>
      <c r="AI114" s="67"/>
      <c r="AJ114" s="67"/>
      <c r="AN114" s="24"/>
      <c r="AO114" s="24"/>
      <c r="AP114" s="24"/>
      <c r="AQ114" s="236" t="s">
        <v>73</v>
      </c>
      <c r="AR114" s="220"/>
      <c r="AS114" s="23">
        <v>30.3</v>
      </c>
      <c r="AT114" s="23">
        <v>27.9</v>
      </c>
      <c r="AU114" s="23">
        <v>7.6</v>
      </c>
      <c r="AV114" s="219">
        <v>8.6999999999999993</v>
      </c>
      <c r="AW114" s="24">
        <f t="shared" si="43"/>
        <v>3.46712</v>
      </c>
      <c r="AX114" s="24">
        <f t="shared" si="45"/>
        <v>3.3150942435497046</v>
      </c>
      <c r="AY114" s="24">
        <f t="shared" si="57"/>
        <v>3.1399999999999997</v>
      </c>
      <c r="AZ114" s="24">
        <f>20*$AC$2+78*$AD$2+2*$AE$2</f>
        <v>2.6408</v>
      </c>
      <c r="BA114" s="220"/>
      <c r="BB114" s="23">
        <f t="shared" si="47"/>
        <v>8.7392417914580403</v>
      </c>
      <c r="BC114" s="23">
        <f t="shared" si="48"/>
        <v>8.4160503292737481</v>
      </c>
      <c r="BD114" s="23">
        <f t="shared" si="49"/>
        <v>2.4203821656050959</v>
      </c>
      <c r="BE114" s="219">
        <f t="shared" si="50"/>
        <v>3.2944562253862464</v>
      </c>
      <c r="BF114" s="205"/>
    </row>
    <row r="115" spans="1:58" s="23" customFormat="1" ht="14.4">
      <c r="A115" s="23" t="s">
        <v>523</v>
      </c>
      <c r="B115" s="64" t="s">
        <v>524</v>
      </c>
      <c r="C115" s="65" t="s">
        <v>106</v>
      </c>
      <c r="D115" s="65" t="s">
        <v>60</v>
      </c>
      <c r="E115" s="23" t="s">
        <v>61</v>
      </c>
      <c r="G115" s="23" t="s">
        <v>62</v>
      </c>
      <c r="H115" s="23" t="s">
        <v>134</v>
      </c>
      <c r="J115" s="23">
        <v>0</v>
      </c>
      <c r="K115" s="23">
        <v>150</v>
      </c>
      <c r="L115" s="23" t="s">
        <v>64</v>
      </c>
      <c r="M115" s="23" t="s">
        <v>108</v>
      </c>
      <c r="N115" s="23" t="s">
        <v>525</v>
      </c>
      <c r="O115" s="23" t="s">
        <v>110</v>
      </c>
      <c r="P115" s="23">
        <v>0</v>
      </c>
      <c r="Q115" s="23" t="s">
        <v>111</v>
      </c>
      <c r="R115" s="122">
        <f t="shared" si="55"/>
        <v>39.476223083816905</v>
      </c>
      <c r="S115" s="204">
        <f t="shared" si="54"/>
        <v>33.484556124942102</v>
      </c>
      <c r="T115" s="204">
        <f t="shared" si="54"/>
        <v>10.309019710596715</v>
      </c>
      <c r="U115" s="204">
        <f t="shared" si="54"/>
        <v>16.730201080644282</v>
      </c>
      <c r="V115" s="122">
        <v>18.7</v>
      </c>
      <c r="W115" s="150">
        <f t="shared" si="42"/>
        <v>81.3</v>
      </c>
      <c r="X115" s="66">
        <f>11/$R$2/(11/$R$2 + 31.2/$S$2 + 0.7/$T$2)*100</f>
        <v>16.293290701387541</v>
      </c>
      <c r="Y115" s="66">
        <f t="shared" si="44"/>
        <v>82.378346221207849</v>
      </c>
      <c r="Z115" s="66">
        <f>0.7/$T$2/(11/$R$2 + 31.2/$S$2 + 0.7/$T$2)*100</f>
        <v>1.3283630774046076</v>
      </c>
      <c r="AA115" s="151" t="s">
        <v>158</v>
      </c>
      <c r="AB115" s="66" t="e">
        <f t="shared" si="52"/>
        <v>#VALUE!</v>
      </c>
      <c r="AC115" s="123" t="s">
        <v>158</v>
      </c>
      <c r="AD115" s="66" t="s">
        <v>158</v>
      </c>
      <c r="AE115" s="66" t="e">
        <f t="shared" si="56"/>
        <v>#VALUE!</v>
      </c>
      <c r="AF115" s="123" t="s">
        <v>158</v>
      </c>
      <c r="AG115" s="23" t="s">
        <v>69</v>
      </c>
      <c r="AH115" s="196" t="s">
        <v>70</v>
      </c>
      <c r="AI115" s="67"/>
      <c r="AJ115" s="67"/>
      <c r="AN115" s="24"/>
      <c r="AO115" s="24"/>
      <c r="AP115" s="24"/>
      <c r="AQ115" s="236" t="s">
        <v>73</v>
      </c>
      <c r="AR115" s="220"/>
      <c r="AS115" s="23">
        <v>31.4</v>
      </c>
      <c r="AT115" s="23">
        <v>25.4</v>
      </c>
      <c r="AU115" s="23">
        <v>7.4</v>
      </c>
      <c r="AV115" s="219">
        <v>10.1</v>
      </c>
      <c r="AW115" s="24">
        <f t="shared" si="43"/>
        <v>3.4794399999999994</v>
      </c>
      <c r="AX115" s="24">
        <f t="shared" si="45"/>
        <v>3.3182145910281928</v>
      </c>
      <c r="AY115" s="24">
        <f t="shared" si="57"/>
        <v>3.1399999999999997</v>
      </c>
      <c r="AZ115" s="24">
        <f>20*$AC$2+78*$AD$2+2*$AE$2</f>
        <v>2.6408</v>
      </c>
      <c r="BA115" s="220"/>
      <c r="BB115" s="23">
        <f t="shared" si="47"/>
        <v>9.0244407145977519</v>
      </c>
      <c r="BC115" s="23">
        <f t="shared" si="48"/>
        <v>7.6547189168164893</v>
      </c>
      <c r="BD115" s="23">
        <f t="shared" si="49"/>
        <v>2.3566878980891723</v>
      </c>
      <c r="BE115" s="219">
        <f t="shared" si="50"/>
        <v>3.8245986064828839</v>
      </c>
      <c r="BF115" s="205"/>
    </row>
    <row r="116" spans="1:58" s="23" customFormat="1" ht="14.4">
      <c r="A116" s="23" t="s">
        <v>526</v>
      </c>
      <c r="B116" s="64" t="s">
        <v>527</v>
      </c>
      <c r="C116" s="65" t="s">
        <v>106</v>
      </c>
      <c r="D116" s="65" t="s">
        <v>60</v>
      </c>
      <c r="E116" s="23" t="s">
        <v>61</v>
      </c>
      <c r="G116" s="23" t="s">
        <v>62</v>
      </c>
      <c r="H116" s="23" t="s">
        <v>107</v>
      </c>
      <c r="J116" s="23">
        <v>0</v>
      </c>
      <c r="K116" s="23">
        <v>150</v>
      </c>
      <c r="L116" s="23" t="s">
        <v>64</v>
      </c>
      <c r="M116" s="23" t="s">
        <v>108</v>
      </c>
      <c r="N116" s="23" t="s">
        <v>528</v>
      </c>
      <c r="O116" s="23" t="s">
        <v>110</v>
      </c>
      <c r="P116" s="23">
        <v>0</v>
      </c>
      <c r="Q116" s="23" t="s">
        <v>111</v>
      </c>
      <c r="R116" s="122">
        <f t="shared" si="55"/>
        <v>49.147329840252027</v>
      </c>
      <c r="S116" s="204">
        <f t="shared" si="54"/>
        <v>25.09125082641517</v>
      </c>
      <c r="T116" s="204">
        <f t="shared" si="54"/>
        <v>10.914745234536934</v>
      </c>
      <c r="U116" s="204">
        <f t="shared" si="54"/>
        <v>14.846674098795868</v>
      </c>
      <c r="V116" s="122">
        <v>24.3</v>
      </c>
      <c r="W116" s="150">
        <f t="shared" si="42"/>
        <v>75.7</v>
      </c>
      <c r="X116" s="66">
        <f>13.9/$R$2/(13.5/$R$2 + 28.8/$S$2 + 0.91/$T$2)*100</f>
        <v>21.059531223421438</v>
      </c>
      <c r="Y116" s="66">
        <f t="shared" si="44"/>
        <v>77.184754194786919</v>
      </c>
      <c r="Z116" s="66">
        <f>0.91/$T$2/(13.9/$R$2 + 28.8/$S$2 + 0.91/$T$2)*100</f>
        <v>1.7557145817916491</v>
      </c>
      <c r="AA116" s="151" t="s">
        <v>158</v>
      </c>
      <c r="AB116" s="66" t="e">
        <f t="shared" si="52"/>
        <v>#VALUE!</v>
      </c>
      <c r="AC116" s="123" t="s">
        <v>158</v>
      </c>
      <c r="AD116" s="66">
        <v>4</v>
      </c>
      <c r="AE116" s="66" t="e">
        <f t="shared" si="56"/>
        <v>#VALUE!</v>
      </c>
      <c r="AF116" s="123" t="s">
        <v>158</v>
      </c>
      <c r="AG116" s="23" t="s">
        <v>69</v>
      </c>
      <c r="AH116" s="196" t="s">
        <v>70</v>
      </c>
      <c r="AI116" s="197" t="s">
        <v>475</v>
      </c>
      <c r="AJ116" s="67"/>
      <c r="AN116" s="24"/>
      <c r="AO116" s="24"/>
      <c r="AP116" s="24"/>
      <c r="AQ116" s="236" t="s">
        <v>73</v>
      </c>
      <c r="AR116" s="220"/>
      <c r="AS116" s="23">
        <v>44.7</v>
      </c>
      <c r="AT116" s="23">
        <v>21.6</v>
      </c>
      <c r="AU116" s="23">
        <v>8.8000000000000007</v>
      </c>
      <c r="AV116" s="219">
        <v>10</v>
      </c>
      <c r="AW116" s="24">
        <f t="shared" si="43"/>
        <v>3.54216</v>
      </c>
      <c r="AX116" s="24">
        <f t="shared" si="45"/>
        <v>3.3526793404302859</v>
      </c>
      <c r="AY116" s="24">
        <f t="shared" si="57"/>
        <v>3.1399999999999997</v>
      </c>
      <c r="AZ116" s="24">
        <f>AD116*$AC$2+(98-AD116)*$AD$2+2*$AE$2</f>
        <v>2.6232000000000002</v>
      </c>
      <c r="BA116" s="220"/>
      <c r="BB116" s="23">
        <f t="shared" si="47"/>
        <v>12.6194186598008</v>
      </c>
      <c r="BC116" s="23">
        <f t="shared" si="48"/>
        <v>6.442608375791715</v>
      </c>
      <c r="BD116" s="23">
        <f t="shared" si="49"/>
        <v>2.8025477707006377</v>
      </c>
      <c r="BE116" s="219">
        <f t="shared" si="50"/>
        <v>3.8121378469045437</v>
      </c>
      <c r="BF116" s="205"/>
    </row>
    <row r="117" spans="1:58" s="23" customFormat="1" ht="14.4">
      <c r="A117" s="23" t="s">
        <v>529</v>
      </c>
      <c r="B117" s="64" t="s">
        <v>530</v>
      </c>
      <c r="C117" s="65" t="s">
        <v>106</v>
      </c>
      <c r="D117" s="65" t="s">
        <v>60</v>
      </c>
      <c r="E117" s="23" t="s">
        <v>61</v>
      </c>
      <c r="G117" s="23" t="s">
        <v>62</v>
      </c>
      <c r="H117" s="23" t="s">
        <v>125</v>
      </c>
      <c r="J117" s="23">
        <v>0</v>
      </c>
      <c r="K117" s="23">
        <v>150</v>
      </c>
      <c r="L117" s="23" t="s">
        <v>64</v>
      </c>
      <c r="M117" s="23" t="s">
        <v>108</v>
      </c>
      <c r="N117" s="23" t="s">
        <v>531</v>
      </c>
      <c r="O117" s="23" t="s">
        <v>110</v>
      </c>
      <c r="P117" s="23">
        <v>0</v>
      </c>
      <c r="Q117" s="23" t="s">
        <v>111</v>
      </c>
      <c r="R117" s="122">
        <f t="shared" si="55"/>
        <v>44.956394713155753</v>
      </c>
      <c r="S117" s="204">
        <f t="shared" si="55"/>
        <v>32.081567140434352</v>
      </c>
      <c r="T117" s="204">
        <f t="shared" si="55"/>
        <v>8.5536760963313725</v>
      </c>
      <c r="U117" s="204">
        <f t="shared" si="55"/>
        <v>14.40836205007853</v>
      </c>
      <c r="V117" s="122">
        <v>19.2</v>
      </c>
      <c r="W117" s="150">
        <f t="shared" si="42"/>
        <v>80.8</v>
      </c>
      <c r="X117" s="66">
        <f>11.2/$R$2/(11.2/$R$2 + 30.7/$S$2 + 0.8/$T$2)*100</f>
        <v>16.729079304146005</v>
      </c>
      <c r="Y117" s="66">
        <f t="shared" si="44"/>
        <v>81.740021345100686</v>
      </c>
      <c r="Z117" s="66">
        <f>0.8/$T$2/(11.2/$R$2 + 30.7/$S$2 + 0.8/$T$2)*100</f>
        <v>1.5308993507533029</v>
      </c>
      <c r="AA117" s="151" t="s">
        <v>158</v>
      </c>
      <c r="AB117" s="66" t="e">
        <f t="shared" si="52"/>
        <v>#VALUE!</v>
      </c>
      <c r="AC117" s="123" t="s">
        <v>158</v>
      </c>
      <c r="AD117" s="66" t="s">
        <v>158</v>
      </c>
      <c r="AE117" s="66" t="e">
        <f t="shared" si="56"/>
        <v>#VALUE!</v>
      </c>
      <c r="AF117" s="123" t="s">
        <v>158</v>
      </c>
      <c r="AG117" s="23" t="s">
        <v>69</v>
      </c>
      <c r="AH117" s="196" t="s">
        <v>70</v>
      </c>
      <c r="AJ117" s="67"/>
      <c r="AN117" s="24"/>
      <c r="AO117" s="24"/>
      <c r="AP117" s="24"/>
      <c r="AQ117" s="236" t="s">
        <v>73</v>
      </c>
      <c r="AR117" s="220"/>
      <c r="AS117" s="23">
        <v>35</v>
      </c>
      <c r="AT117" s="23">
        <v>23.8</v>
      </c>
      <c r="AU117" s="23">
        <v>6</v>
      </c>
      <c r="AV117" s="219">
        <v>8.5</v>
      </c>
      <c r="AW117" s="24">
        <f t="shared" si="43"/>
        <v>3.4850399999999997</v>
      </c>
      <c r="AX117" s="24">
        <f t="shared" si="45"/>
        <v>3.3208753967288351</v>
      </c>
      <c r="AY117" s="24">
        <f t="shared" si="57"/>
        <v>3.1399999999999997</v>
      </c>
      <c r="AZ117" s="24">
        <f>20*$AC$2+78*$AD$2+2*$AE$2</f>
        <v>2.6408</v>
      </c>
      <c r="BA117" s="220"/>
      <c r="BB117" s="23">
        <f t="shared" si="47"/>
        <v>10.042926336570027</v>
      </c>
      <c r="BC117" s="23">
        <f t="shared" si="48"/>
        <v>7.1667850059787659</v>
      </c>
      <c r="BD117" s="23">
        <f t="shared" si="49"/>
        <v>1.9108280254777072</v>
      </c>
      <c r="BE117" s="219">
        <f t="shared" si="50"/>
        <v>3.2187215995152982</v>
      </c>
      <c r="BF117" s="205"/>
    </row>
    <row r="118" spans="1:58" s="23" customFormat="1" ht="14.4">
      <c r="A118" s="23" t="s">
        <v>532</v>
      </c>
      <c r="B118" s="64" t="s">
        <v>533</v>
      </c>
      <c r="C118" s="65" t="s">
        <v>106</v>
      </c>
      <c r="D118" s="65" t="s">
        <v>60</v>
      </c>
      <c r="E118" s="23" t="s">
        <v>61</v>
      </c>
      <c r="G118" s="23" t="s">
        <v>62</v>
      </c>
      <c r="H118" s="23" t="s">
        <v>147</v>
      </c>
      <c r="J118" s="23">
        <v>0</v>
      </c>
      <c r="K118" s="23">
        <v>150</v>
      </c>
      <c r="L118" s="23" t="s">
        <v>64</v>
      </c>
      <c r="M118" s="23" t="s">
        <v>108</v>
      </c>
      <c r="N118" s="23" t="s">
        <v>534</v>
      </c>
      <c r="O118" s="23" t="s">
        <v>110</v>
      </c>
      <c r="P118" s="23">
        <v>0</v>
      </c>
      <c r="Q118" s="23" t="s">
        <v>111</v>
      </c>
      <c r="R118" s="122">
        <f t="shared" si="55"/>
        <v>47.808208510363031</v>
      </c>
      <c r="S118" s="204">
        <f t="shared" si="55"/>
        <v>27.343816890234752</v>
      </c>
      <c r="T118" s="204">
        <f t="shared" si="55"/>
        <v>10.562254037730302</v>
      </c>
      <c r="U118" s="204">
        <f t="shared" si="55"/>
        <v>14.285720561671916</v>
      </c>
      <c r="V118" s="122">
        <v>24.7</v>
      </c>
      <c r="W118" s="150">
        <f t="shared" si="42"/>
        <v>75.3</v>
      </c>
      <c r="X118" s="66">
        <f>13.7/$R$2/(13.7/$R$2 + 29.2/$S$2 + 0.64/$T$2)*100</f>
        <v>20.579693327048052</v>
      </c>
      <c r="Y118" s="66">
        <f t="shared" si="44"/>
        <v>78.188618020819973</v>
      </c>
      <c r="Z118" s="66">
        <f>0.64/$T$2/(13.7/$R$2 + 29.2/$S$2 + 0.64/$T$2)*100</f>
        <v>1.2316886521319788</v>
      </c>
      <c r="AA118" s="151" t="s">
        <v>158</v>
      </c>
      <c r="AB118" s="66" t="e">
        <f t="shared" si="52"/>
        <v>#VALUE!</v>
      </c>
      <c r="AC118" s="123" t="s">
        <v>158</v>
      </c>
      <c r="AD118" s="66" t="s">
        <v>158</v>
      </c>
      <c r="AE118" s="66" t="e">
        <f t="shared" si="56"/>
        <v>#VALUE!</v>
      </c>
      <c r="AF118" s="123" t="s">
        <v>158</v>
      </c>
      <c r="AG118" s="23" t="s">
        <v>69</v>
      </c>
      <c r="AH118" s="196" t="s">
        <v>70</v>
      </c>
      <c r="AI118" s="67"/>
      <c r="AJ118" s="67"/>
      <c r="AN118" s="24"/>
      <c r="AO118" s="24"/>
      <c r="AP118" s="24"/>
      <c r="AQ118" s="236" t="s">
        <v>73</v>
      </c>
      <c r="AR118" s="220"/>
      <c r="AS118" s="23">
        <v>40.9</v>
      </c>
      <c r="AT118" s="23">
        <v>22.1</v>
      </c>
      <c r="AU118" s="23">
        <v>8</v>
      </c>
      <c r="AV118" s="219">
        <v>9.1</v>
      </c>
      <c r="AW118" s="24">
        <f t="shared" si="43"/>
        <v>3.54664</v>
      </c>
      <c r="AX118" s="24">
        <f t="shared" si="45"/>
        <v>3.3506526339964644</v>
      </c>
      <c r="AY118" s="24">
        <f t="shared" si="57"/>
        <v>3.1399999999999997</v>
      </c>
      <c r="AZ118" s="24">
        <f>20*$AC$2+78*$AD$2+2*$AE$2</f>
        <v>2.6408</v>
      </c>
      <c r="BA118" s="220"/>
      <c r="BB118" s="23">
        <f t="shared" si="47"/>
        <v>11.5320415942977</v>
      </c>
      <c r="BC118" s="23">
        <f t="shared" si="48"/>
        <v>6.5957299708625428</v>
      </c>
      <c r="BD118" s="23">
        <f t="shared" si="49"/>
        <v>2.547770700636943</v>
      </c>
      <c r="BE118" s="219">
        <f t="shared" si="50"/>
        <v>3.4459254771281427</v>
      </c>
      <c r="BF118" s="205"/>
    </row>
    <row r="119" spans="1:58" s="23" customFormat="1" ht="14.4">
      <c r="A119" s="23" t="s">
        <v>535</v>
      </c>
      <c r="B119" s="64" t="s">
        <v>536</v>
      </c>
      <c r="C119" s="65" t="s">
        <v>106</v>
      </c>
      <c r="D119" s="65" t="s">
        <v>60</v>
      </c>
      <c r="E119" s="23" t="s">
        <v>61</v>
      </c>
      <c r="G119" s="23" t="s">
        <v>62</v>
      </c>
      <c r="H119" s="23" t="s">
        <v>120</v>
      </c>
      <c r="J119" s="23">
        <v>0</v>
      </c>
      <c r="K119" s="23">
        <v>150</v>
      </c>
      <c r="L119" s="23" t="s">
        <v>64</v>
      </c>
      <c r="M119" s="23" t="s">
        <v>108</v>
      </c>
      <c r="N119" s="23" t="s">
        <v>537</v>
      </c>
      <c r="O119" s="23" t="s">
        <v>110</v>
      </c>
      <c r="P119" s="23">
        <v>0</v>
      </c>
      <c r="Q119" s="23" t="s">
        <v>111</v>
      </c>
      <c r="R119" s="122">
        <f t="shared" si="55"/>
        <v>37.481212439989164</v>
      </c>
      <c r="S119" s="204">
        <f t="shared" si="55"/>
        <v>36.394215971299602</v>
      </c>
      <c r="T119" s="204">
        <f t="shared" si="55"/>
        <v>9.689686323825347</v>
      </c>
      <c r="U119" s="204">
        <f t="shared" si="55"/>
        <v>16.434885264885885</v>
      </c>
      <c r="V119" s="122">
        <v>18.2</v>
      </c>
      <c r="W119" s="150">
        <f t="shared" si="42"/>
        <v>81.8</v>
      </c>
      <c r="X119" s="66">
        <f>10.9/R$2/(10.9/$R$2 + 30.8/$S$2 + 0.59/$T$2)*100</f>
        <v>16.376570197589999</v>
      </c>
      <c r="Y119" s="66">
        <f t="shared" si="44"/>
        <v>82.487762558887781</v>
      </c>
      <c r="Z119" s="66">
        <f>0.59/$T$2/(10.9/$R$2 + 30.8/$S$2 + 0.59/$T$2)*100</f>
        <v>1.1356672435222264</v>
      </c>
      <c r="AA119" s="151" t="s">
        <v>158</v>
      </c>
      <c r="AB119" s="66" t="e">
        <f t="shared" si="52"/>
        <v>#VALUE!</v>
      </c>
      <c r="AC119" s="123" t="s">
        <v>158</v>
      </c>
      <c r="AD119" s="66" t="s">
        <v>158</v>
      </c>
      <c r="AE119" s="66" t="e">
        <f t="shared" si="56"/>
        <v>#VALUE!</v>
      </c>
      <c r="AF119" s="123" t="s">
        <v>158</v>
      </c>
      <c r="AG119" s="23" t="s">
        <v>69</v>
      </c>
      <c r="AH119" s="196" t="s">
        <v>70</v>
      </c>
      <c r="AI119" s="67"/>
      <c r="AJ119" s="67"/>
      <c r="AN119" s="24"/>
      <c r="AO119" s="24"/>
      <c r="AP119" s="24"/>
      <c r="AQ119" s="236" t="s">
        <v>73</v>
      </c>
      <c r="AR119" s="220"/>
      <c r="AS119" s="23">
        <v>29.1</v>
      </c>
      <c r="AT119" s="23">
        <v>27</v>
      </c>
      <c r="AU119" s="23">
        <v>6.8</v>
      </c>
      <c r="AV119" s="219">
        <v>9.6999999999999993</v>
      </c>
      <c r="AW119" s="24">
        <f t="shared" si="43"/>
        <v>3.4738399999999996</v>
      </c>
      <c r="AX119" s="24">
        <f t="shared" si="45"/>
        <v>3.3194172747513582</v>
      </c>
      <c r="AY119" s="24">
        <f t="shared" si="57"/>
        <v>3.1399999999999997</v>
      </c>
      <c r="AZ119" s="24">
        <f>20*$AC$2+78*$AD$2+2*$AE$2</f>
        <v>2.6408</v>
      </c>
      <c r="BA119" s="220"/>
      <c r="BB119" s="23">
        <f t="shared" si="47"/>
        <v>8.3768970361329256</v>
      </c>
      <c r="BC119" s="23">
        <f t="shared" si="48"/>
        <v>8.1339577899324045</v>
      </c>
      <c r="BD119" s="23">
        <f t="shared" si="49"/>
        <v>2.1656050955414012</v>
      </c>
      <c r="BE119" s="219">
        <f t="shared" si="50"/>
        <v>3.6731293547409871</v>
      </c>
      <c r="BF119" s="205"/>
    </row>
    <row r="120" spans="1:58" s="23" customFormat="1" ht="14.4">
      <c r="A120" s="23" t="s">
        <v>538</v>
      </c>
      <c r="B120" s="64" t="s">
        <v>539</v>
      </c>
      <c r="C120" s="65" t="s">
        <v>106</v>
      </c>
      <c r="D120" s="65" t="s">
        <v>60</v>
      </c>
      <c r="E120" s="23" t="s">
        <v>61</v>
      </c>
      <c r="G120" s="23" t="s">
        <v>62</v>
      </c>
      <c r="H120" s="23" t="s">
        <v>134</v>
      </c>
      <c r="J120" s="23">
        <v>0</v>
      </c>
      <c r="K120" s="23">
        <v>150</v>
      </c>
      <c r="L120" s="23" t="s">
        <v>64</v>
      </c>
      <c r="M120" s="23" t="s">
        <v>108</v>
      </c>
      <c r="N120" s="23" t="s">
        <v>540</v>
      </c>
      <c r="O120" s="23" t="s">
        <v>110</v>
      </c>
      <c r="P120" s="23">
        <v>0</v>
      </c>
      <c r="Q120" s="23" t="s">
        <v>111</v>
      </c>
      <c r="R120" s="122">
        <f t="shared" si="55"/>
        <v>40.540406735761863</v>
      </c>
      <c r="S120" s="204">
        <f t="shared" si="55"/>
        <v>34.135628927627288</v>
      </c>
      <c r="T120" s="204">
        <f t="shared" si="55"/>
        <v>10.735517345039479</v>
      </c>
      <c r="U120" s="204">
        <f t="shared" si="55"/>
        <v>14.588446991571372</v>
      </c>
      <c r="V120" s="122">
        <v>18.5</v>
      </c>
      <c r="W120" s="150">
        <f t="shared" si="42"/>
        <v>81.5</v>
      </c>
      <c r="X120" s="66">
        <f>11.3/$R$2/(11.3/$R$2 + 31/$S$2 + 0.7/$T$2)*100</f>
        <v>16.751674971660467</v>
      </c>
      <c r="Y120" s="66">
        <f t="shared" si="44"/>
        <v>81.918849128445075</v>
      </c>
      <c r="Z120" s="66">
        <f>0.7/$T$2/(11.3/$R$2 + 31/$S$2 + 0.7/$T$2)*100</f>
        <v>1.3294758998944634</v>
      </c>
      <c r="AA120" s="151" t="s">
        <v>158</v>
      </c>
      <c r="AB120" s="66" t="e">
        <f t="shared" si="52"/>
        <v>#VALUE!</v>
      </c>
      <c r="AC120" s="123" t="s">
        <v>158</v>
      </c>
      <c r="AD120" s="66" t="s">
        <v>158</v>
      </c>
      <c r="AE120" s="66" t="e">
        <f t="shared" si="56"/>
        <v>#VALUE!</v>
      </c>
      <c r="AF120" s="123" t="s">
        <v>158</v>
      </c>
      <c r="AG120" s="23" t="s">
        <v>69</v>
      </c>
      <c r="AH120" s="196" t="s">
        <v>70</v>
      </c>
      <c r="AI120" s="67"/>
      <c r="AJ120" s="67"/>
      <c r="AN120" s="24"/>
      <c r="AO120" s="24"/>
      <c r="AP120" s="24"/>
      <c r="AQ120" s="236" t="s">
        <v>73</v>
      </c>
      <c r="AR120" s="220"/>
      <c r="AS120" s="23">
        <v>32.200000000000003</v>
      </c>
      <c r="AT120" s="23">
        <v>25.9</v>
      </c>
      <c r="AU120" s="23">
        <v>7.7</v>
      </c>
      <c r="AV120" s="219">
        <v>8.8000000000000007</v>
      </c>
      <c r="AW120" s="24">
        <f t="shared" si="43"/>
        <v>3.4771999999999998</v>
      </c>
      <c r="AX120" s="24">
        <f t="shared" si="45"/>
        <v>3.3216491345877701</v>
      </c>
      <c r="AY120" s="24">
        <f t="shared" si="57"/>
        <v>3.1399999999999997</v>
      </c>
      <c r="AZ120" s="24">
        <f>20*$AC$2+78*$AD$2+2*$AE$2</f>
        <v>2.6408</v>
      </c>
      <c r="BA120" s="220"/>
      <c r="BB120" s="23">
        <f t="shared" si="47"/>
        <v>9.2603243989416786</v>
      </c>
      <c r="BC120" s="23">
        <f t="shared" si="48"/>
        <v>7.7973316718818024</v>
      </c>
      <c r="BD120" s="23">
        <f t="shared" si="49"/>
        <v>2.4522292993630574</v>
      </c>
      <c r="BE120" s="219">
        <f t="shared" si="50"/>
        <v>3.3323235383217211</v>
      </c>
      <c r="BF120" s="205"/>
    </row>
    <row r="121" spans="1:58" s="17" customFormat="1" ht="14.4">
      <c r="A121" s="17" t="s">
        <v>541</v>
      </c>
      <c r="B121" s="69" t="s">
        <v>542</v>
      </c>
      <c r="C121" s="70" t="s">
        <v>186</v>
      </c>
      <c r="D121" s="70" t="s">
        <v>60</v>
      </c>
      <c r="E121" s="17" t="s">
        <v>61</v>
      </c>
      <c r="G121" s="17" t="s">
        <v>300</v>
      </c>
      <c r="H121" s="17" t="s">
        <v>543</v>
      </c>
      <c r="J121" s="17">
        <v>0</v>
      </c>
      <c r="K121" s="17">
        <v>25</v>
      </c>
      <c r="L121" s="17" t="s">
        <v>64</v>
      </c>
      <c r="M121" s="17" t="s">
        <v>26</v>
      </c>
      <c r="N121" s="17" t="s">
        <v>544</v>
      </c>
      <c r="O121" s="17" t="s">
        <v>545</v>
      </c>
      <c r="P121" s="17">
        <v>0</v>
      </c>
      <c r="R121" s="124">
        <f t="shared" si="55"/>
        <v>3.8323167234183906</v>
      </c>
      <c r="S121" s="71">
        <f t="shared" si="55"/>
        <v>24.521241606437464</v>
      </c>
      <c r="T121" s="71">
        <f t="shared" si="55"/>
        <v>23.173218263256359</v>
      </c>
      <c r="U121" s="71">
        <f t="shared" si="55"/>
        <v>48.47322340688779</v>
      </c>
      <c r="V121" s="124" t="s">
        <v>158</v>
      </c>
      <c r="W121" s="152" t="e">
        <f t="shared" si="42"/>
        <v>#VALUE!</v>
      </c>
      <c r="X121" s="72">
        <v>56.2</v>
      </c>
      <c r="Y121" s="72">
        <f t="shared" si="44"/>
        <v>38.729999999999997</v>
      </c>
      <c r="Z121" s="72">
        <v>5.07</v>
      </c>
      <c r="AA121" s="161">
        <v>29</v>
      </c>
      <c r="AB121" s="72">
        <f t="shared" si="52"/>
        <v>30.4</v>
      </c>
      <c r="AC121" s="125">
        <v>40.6</v>
      </c>
      <c r="AD121" s="72" t="s">
        <v>158</v>
      </c>
      <c r="AE121" s="72" t="e">
        <f t="shared" si="56"/>
        <v>#VALUE!</v>
      </c>
      <c r="AF121" s="125" t="s">
        <v>158</v>
      </c>
      <c r="AG121" s="17" t="s">
        <v>69</v>
      </c>
      <c r="AH121" s="198" t="s">
        <v>341</v>
      </c>
      <c r="AI121" s="199" t="s">
        <v>340</v>
      </c>
      <c r="AJ121" s="199" t="s">
        <v>340</v>
      </c>
      <c r="AN121" s="20"/>
      <c r="AO121" s="20"/>
      <c r="AP121" s="20"/>
      <c r="AQ121" s="237" t="s">
        <v>546</v>
      </c>
      <c r="AR121" s="221"/>
      <c r="AS121" s="17">
        <v>4.4000000000000004</v>
      </c>
      <c r="AT121" s="17">
        <v>28.6</v>
      </c>
      <c r="AU121" s="17">
        <v>24.7</v>
      </c>
      <c r="AV121" s="222">
        <v>41.4</v>
      </c>
      <c r="AW121" s="20">
        <f>25*$X$2+75*$Y$2</f>
        <v>3.55</v>
      </c>
      <c r="AX121" s="20">
        <f t="shared" si="45"/>
        <v>3.60629</v>
      </c>
      <c r="AY121" s="20">
        <f>AA121*$Z$2+AB121*$AA$2+AC121*$AB$2</f>
        <v>3.2957000000000001</v>
      </c>
      <c r="AZ121" s="20">
        <f>20*$AC$2+78*$AD$2+2*$AE$2</f>
        <v>2.6408</v>
      </c>
      <c r="BA121" s="221"/>
      <c r="BB121" s="17">
        <f t="shared" si="47"/>
        <v>1.23943661971831</v>
      </c>
      <c r="BC121" s="17">
        <f t="shared" si="48"/>
        <v>7.9305879449517374</v>
      </c>
      <c r="BD121" s="17">
        <f t="shared" si="49"/>
        <v>7.494614194253117</v>
      </c>
      <c r="BE121" s="222">
        <f t="shared" si="50"/>
        <v>15.677067555286277</v>
      </c>
      <c r="BF121" s="206"/>
    </row>
    <row r="122" spans="1:58" s="17" customFormat="1" ht="14.4">
      <c r="A122" s="17" t="s">
        <v>547</v>
      </c>
      <c r="B122" s="69" t="s">
        <v>548</v>
      </c>
      <c r="C122" s="70" t="s">
        <v>186</v>
      </c>
      <c r="D122" s="70" t="s">
        <v>60</v>
      </c>
      <c r="E122" s="17" t="s">
        <v>61</v>
      </c>
      <c r="G122" s="17" t="s">
        <v>300</v>
      </c>
      <c r="H122" s="17" t="s">
        <v>348</v>
      </c>
      <c r="J122" s="17">
        <v>0</v>
      </c>
      <c r="K122" s="17">
        <v>25</v>
      </c>
      <c r="L122" s="17" t="s">
        <v>64</v>
      </c>
      <c r="M122" s="17" t="s">
        <v>26</v>
      </c>
      <c r="N122" s="17" t="s">
        <v>549</v>
      </c>
      <c r="O122" s="17" t="s">
        <v>413</v>
      </c>
      <c r="P122" s="17">
        <v>0</v>
      </c>
      <c r="Q122" s="17" t="s">
        <v>550</v>
      </c>
      <c r="R122" s="124">
        <f t="shared" si="55"/>
        <v>1.1493245222976765</v>
      </c>
      <c r="S122" s="71">
        <f t="shared" si="55"/>
        <v>35.622526746313362</v>
      </c>
      <c r="T122" s="71">
        <f t="shared" si="55"/>
        <v>11.998734859433355</v>
      </c>
      <c r="U122" s="71">
        <f t="shared" si="55"/>
        <v>51.229413871955607</v>
      </c>
      <c r="V122" s="124" t="s">
        <v>158</v>
      </c>
      <c r="W122" s="152" t="e">
        <f t="shared" si="42"/>
        <v>#VALUE!</v>
      </c>
      <c r="X122" s="72">
        <v>47</v>
      </c>
      <c r="Y122" s="72">
        <f t="shared" si="44"/>
        <v>46.51</v>
      </c>
      <c r="Z122" s="72">
        <v>6.49</v>
      </c>
      <c r="AA122" s="161">
        <v>22.6</v>
      </c>
      <c r="AB122" s="72">
        <f t="shared" si="52"/>
        <v>35.400000000000006</v>
      </c>
      <c r="AC122" s="125">
        <v>42</v>
      </c>
      <c r="AD122" s="72">
        <v>91.2</v>
      </c>
      <c r="AE122" s="72">
        <f t="shared" si="56"/>
        <v>8.4999999999999964</v>
      </c>
      <c r="AF122" s="125">
        <v>0.3</v>
      </c>
      <c r="AG122" s="17" t="s">
        <v>551</v>
      </c>
      <c r="AH122" s="198" t="s">
        <v>341</v>
      </c>
      <c r="AI122" s="198" t="s">
        <v>340</v>
      </c>
      <c r="AJ122" s="199" t="s">
        <v>552</v>
      </c>
      <c r="AK122" s="199"/>
      <c r="AN122" s="20"/>
      <c r="AO122" s="20"/>
      <c r="AP122" s="20"/>
      <c r="AQ122" s="237" t="s">
        <v>546</v>
      </c>
      <c r="AR122" s="221"/>
      <c r="AS122" s="17">
        <v>1.3</v>
      </c>
      <c r="AT122" s="17">
        <v>40.1</v>
      </c>
      <c r="AU122" s="17">
        <v>12.4</v>
      </c>
      <c r="AV122" s="222">
        <v>44.4</v>
      </c>
      <c r="AW122" s="20">
        <f>25*$X$2+75*$Y$2</f>
        <v>3.55</v>
      </c>
      <c r="AX122" s="20">
        <f t="shared" si="45"/>
        <v>3.5330300000000001</v>
      </c>
      <c r="AY122" s="20">
        <f>AA122*$Z$2+AB122*$AA$2+AC122*$AB$2</f>
        <v>3.2435</v>
      </c>
      <c r="AZ122" s="20">
        <f t="shared" ref="AZ122:AZ130" si="58">AD122*$AC$2+AE122*$AD$2+AF122*$AE$2</f>
        <v>2.7201400000000007</v>
      </c>
      <c r="BA122" s="221"/>
      <c r="BB122" s="17">
        <f t="shared" si="47"/>
        <v>0.36619718309859156</v>
      </c>
      <c r="BC122" s="17">
        <f t="shared" si="48"/>
        <v>11.350030993226778</v>
      </c>
      <c r="BD122" s="17">
        <f t="shared" si="49"/>
        <v>3.8230306767380915</v>
      </c>
      <c r="BE122" s="222">
        <f t="shared" si="50"/>
        <v>16.322689273346221</v>
      </c>
      <c r="BF122" s="206"/>
    </row>
    <row r="123" spans="1:58" s="17" customFormat="1" ht="14.4">
      <c r="A123" s="17" t="s">
        <v>553</v>
      </c>
      <c r="B123" s="69" t="s">
        <v>554</v>
      </c>
      <c r="C123" s="70" t="s">
        <v>186</v>
      </c>
      <c r="D123" s="70" t="s">
        <v>60</v>
      </c>
      <c r="E123" s="17" t="s">
        <v>61</v>
      </c>
      <c r="G123" s="17" t="s">
        <v>300</v>
      </c>
      <c r="H123" s="17" t="s">
        <v>348</v>
      </c>
      <c r="J123" s="17">
        <v>0</v>
      </c>
      <c r="K123" s="17">
        <v>25</v>
      </c>
      <c r="L123" s="17" t="s">
        <v>64</v>
      </c>
      <c r="M123" s="17" t="s">
        <v>26</v>
      </c>
      <c r="N123" s="17" t="s">
        <v>555</v>
      </c>
      <c r="O123" s="17" t="s">
        <v>556</v>
      </c>
      <c r="P123" s="17">
        <v>0</v>
      </c>
      <c r="Q123" s="17" t="s">
        <v>557</v>
      </c>
      <c r="R123" s="124">
        <f t="shared" ref="R123:U138" si="59">BB123/SUMIF($BB123:$BE123, "&lt;&gt;#VALUE!")*100</f>
        <v>0.614940631204416</v>
      </c>
      <c r="S123" s="71">
        <f t="shared" si="59"/>
        <v>33.90703701193204</v>
      </c>
      <c r="T123" s="71">
        <f t="shared" si="59"/>
        <v>5.1433422703950331</v>
      </c>
      <c r="U123" s="71">
        <f t="shared" si="59"/>
        <v>60.334680086468516</v>
      </c>
      <c r="V123" s="124" t="s">
        <v>158</v>
      </c>
      <c r="W123" s="152" t="e">
        <f t="shared" si="42"/>
        <v>#VALUE!</v>
      </c>
      <c r="X123" s="72">
        <v>61.1</v>
      </c>
      <c r="Y123" s="72">
        <f t="shared" si="44"/>
        <v>36.629999999999995</v>
      </c>
      <c r="Z123" s="72">
        <v>2.27</v>
      </c>
      <c r="AA123" s="161">
        <v>27.1</v>
      </c>
      <c r="AB123" s="72">
        <f t="shared" si="52"/>
        <v>29.900000000000006</v>
      </c>
      <c r="AC123" s="125">
        <v>43</v>
      </c>
      <c r="AD123" s="72">
        <v>94.6</v>
      </c>
      <c r="AE123" s="72">
        <f t="shared" si="56"/>
        <v>5.300000000000006</v>
      </c>
      <c r="AF123" s="125">
        <v>0.1</v>
      </c>
      <c r="AG123" s="17" t="s">
        <v>69</v>
      </c>
      <c r="AH123" s="198" t="s">
        <v>341</v>
      </c>
      <c r="AI123" s="199" t="s">
        <v>340</v>
      </c>
      <c r="AN123" s="20"/>
      <c r="AO123" s="20"/>
      <c r="AP123" s="20"/>
      <c r="AQ123" s="237" t="s">
        <v>546</v>
      </c>
      <c r="AR123" s="221"/>
      <c r="AS123" s="17">
        <v>0.7</v>
      </c>
      <c r="AT123" s="17">
        <v>39.700000000000003</v>
      </c>
      <c r="AU123" s="17">
        <v>5.4</v>
      </c>
      <c r="AV123" s="222">
        <v>52.7</v>
      </c>
      <c r="AW123" s="20">
        <f>25*$X$2+75*$Y$2</f>
        <v>3.55</v>
      </c>
      <c r="AX123" s="20">
        <f t="shared" si="45"/>
        <v>3.65144</v>
      </c>
      <c r="AY123" s="20">
        <f>AA123*$Z$2+AB123*$AA$2+AC123*$AB$2</f>
        <v>3.2742500000000003</v>
      </c>
      <c r="AZ123" s="20">
        <f t="shared" si="58"/>
        <v>2.7240000000000002</v>
      </c>
      <c r="BA123" s="221"/>
      <c r="BB123" s="17">
        <f t="shared" si="47"/>
        <v>0.19718309859154928</v>
      </c>
      <c r="BC123" s="17">
        <f t="shared" si="48"/>
        <v>10.872422934513509</v>
      </c>
      <c r="BD123" s="17">
        <f t="shared" si="49"/>
        <v>1.6492326486981752</v>
      </c>
      <c r="BE123" s="222">
        <f t="shared" si="50"/>
        <v>19.346549192364169</v>
      </c>
      <c r="BF123" s="206"/>
    </row>
    <row r="124" spans="1:58" s="17" customFormat="1" ht="14.4">
      <c r="A124" s="17" t="s">
        <v>558</v>
      </c>
      <c r="B124" s="69" t="s">
        <v>559</v>
      </c>
      <c r="C124" s="70" t="s">
        <v>560</v>
      </c>
      <c r="D124" s="70" t="s">
        <v>60</v>
      </c>
      <c r="E124" s="17" t="s">
        <v>61</v>
      </c>
      <c r="G124" s="17" t="s">
        <v>300</v>
      </c>
      <c r="H124" s="17" t="s">
        <v>561</v>
      </c>
      <c r="J124" s="17">
        <v>0</v>
      </c>
      <c r="K124" s="17">
        <v>0</v>
      </c>
      <c r="L124" s="17" t="s">
        <v>64</v>
      </c>
      <c r="M124" s="17" t="s">
        <v>108</v>
      </c>
      <c r="N124" s="17" t="s">
        <v>562</v>
      </c>
      <c r="O124" s="17" t="s">
        <v>563</v>
      </c>
      <c r="P124" s="17">
        <v>785</v>
      </c>
      <c r="Q124" s="17" t="s">
        <v>564</v>
      </c>
      <c r="R124" s="124">
        <f t="shared" si="59"/>
        <v>18.649193548387096</v>
      </c>
      <c r="S124" s="71">
        <f t="shared" si="59"/>
        <v>80.040322580645167</v>
      </c>
      <c r="T124" s="71">
        <f t="shared" si="59"/>
        <v>1.0080645161290323</v>
      </c>
      <c r="U124" s="71">
        <f t="shared" si="59"/>
        <v>0.30241935483870969</v>
      </c>
      <c r="V124" s="124">
        <v>27.3</v>
      </c>
      <c r="W124" s="152">
        <f t="shared" si="42"/>
        <v>72.7</v>
      </c>
      <c r="X124" s="72">
        <v>22.6</v>
      </c>
      <c r="Y124" s="72">
        <f t="shared" si="44"/>
        <v>75.5</v>
      </c>
      <c r="Z124" s="72">
        <v>1.9</v>
      </c>
      <c r="AA124" s="161" t="s">
        <v>158</v>
      </c>
      <c r="AB124" s="72" t="e">
        <f t="shared" si="52"/>
        <v>#VALUE!</v>
      </c>
      <c r="AC124" s="125" t="s">
        <v>158</v>
      </c>
      <c r="AD124" s="72">
        <v>91</v>
      </c>
      <c r="AE124" s="72">
        <f t="shared" si="56"/>
        <v>8.6</v>
      </c>
      <c r="AF124" s="125">
        <v>0.4</v>
      </c>
      <c r="AG124" s="17" t="s">
        <v>69</v>
      </c>
      <c r="AH124" s="18" t="s">
        <v>333</v>
      </c>
      <c r="AI124" s="73"/>
      <c r="AJ124" s="73"/>
      <c r="AN124" s="20"/>
      <c r="AO124" s="20"/>
      <c r="AP124" s="20"/>
      <c r="AQ124" s="237" t="s">
        <v>89</v>
      </c>
      <c r="AR124" s="231"/>
      <c r="AS124" s="17" t="s">
        <v>90</v>
      </c>
      <c r="AT124" s="17" t="s">
        <v>90</v>
      </c>
      <c r="AU124" s="17" t="s">
        <v>90</v>
      </c>
      <c r="AV124" s="222" t="s">
        <v>90</v>
      </c>
      <c r="AW124" s="20">
        <f>V124*$X$2 + W124*$Y$2</f>
        <v>3.5757599999999998</v>
      </c>
      <c r="AX124" s="20">
        <f t="shared" si="45"/>
        <v>3.3637999999999999</v>
      </c>
      <c r="AY124" s="20">
        <f>10*$Z$2+45*$AA$2+45*$AB$2</f>
        <v>3.1399999999999997</v>
      </c>
      <c r="AZ124" s="20">
        <f t="shared" si="58"/>
        <v>2.7198600000000002</v>
      </c>
      <c r="BA124" s="221"/>
      <c r="BB124" s="17">
        <v>18.5</v>
      </c>
      <c r="BC124" s="17">
        <v>79.400000000000006</v>
      </c>
      <c r="BD124" s="17">
        <v>1</v>
      </c>
      <c r="BE124" s="222">
        <v>0.3</v>
      </c>
    </row>
    <row r="125" spans="1:58" s="17" customFormat="1" ht="14.4">
      <c r="A125" s="17" t="s">
        <v>565</v>
      </c>
      <c r="B125" s="69" t="s">
        <v>566</v>
      </c>
      <c r="C125" s="70" t="s">
        <v>560</v>
      </c>
      <c r="D125" s="70" t="s">
        <v>60</v>
      </c>
      <c r="E125" s="17" t="s">
        <v>61</v>
      </c>
      <c r="G125" s="17" t="s">
        <v>300</v>
      </c>
      <c r="H125" s="17" t="s">
        <v>561</v>
      </c>
      <c r="J125" s="17">
        <v>0</v>
      </c>
      <c r="K125" s="17">
        <v>45</v>
      </c>
      <c r="L125" s="17" t="s">
        <v>64</v>
      </c>
      <c r="M125" s="17" t="s">
        <v>567</v>
      </c>
      <c r="N125" s="17" t="s">
        <v>562</v>
      </c>
      <c r="O125" s="17" t="s">
        <v>563</v>
      </c>
      <c r="P125" s="17">
        <v>785</v>
      </c>
      <c r="Q125" s="17" t="s">
        <v>564</v>
      </c>
      <c r="R125" s="124">
        <f t="shared" si="59"/>
        <v>18.649193548387096</v>
      </c>
      <c r="S125" s="71">
        <f t="shared" si="59"/>
        <v>80.040322580645167</v>
      </c>
      <c r="T125" s="71">
        <f t="shared" si="59"/>
        <v>1.0080645161290323</v>
      </c>
      <c r="U125" s="71">
        <f t="shared" si="59"/>
        <v>0.30241935483870969</v>
      </c>
      <c r="V125" s="124">
        <v>27.3</v>
      </c>
      <c r="W125" s="152">
        <f t="shared" si="42"/>
        <v>72.7</v>
      </c>
      <c r="X125" s="72">
        <v>22.6</v>
      </c>
      <c r="Y125" s="72">
        <f t="shared" ref="Y125:Y156" si="60">100 - $X125 - $Z125</f>
        <v>75.5</v>
      </c>
      <c r="Z125" s="72">
        <v>1.9</v>
      </c>
      <c r="AA125" s="161" t="s">
        <v>158</v>
      </c>
      <c r="AB125" s="72" t="e">
        <f t="shared" si="52"/>
        <v>#VALUE!</v>
      </c>
      <c r="AC125" s="125" t="s">
        <v>158</v>
      </c>
      <c r="AD125" s="72">
        <v>91</v>
      </c>
      <c r="AE125" s="72">
        <f t="shared" si="56"/>
        <v>8.6</v>
      </c>
      <c r="AF125" s="125">
        <v>0.4</v>
      </c>
      <c r="AG125" s="17" t="s">
        <v>69</v>
      </c>
      <c r="AH125" s="18" t="s">
        <v>333</v>
      </c>
      <c r="AI125" s="73"/>
      <c r="AJ125" s="73"/>
      <c r="AN125" s="20"/>
      <c r="AO125" s="20"/>
      <c r="AP125" s="20"/>
      <c r="AQ125" s="237" t="s">
        <v>89</v>
      </c>
      <c r="AR125" s="231"/>
      <c r="AS125" s="17" t="s">
        <v>90</v>
      </c>
      <c r="AT125" s="17" t="s">
        <v>90</v>
      </c>
      <c r="AU125" s="17" t="s">
        <v>90</v>
      </c>
      <c r="AV125" s="222" t="s">
        <v>90</v>
      </c>
      <c r="AW125" s="20">
        <f>V125*$X$2 + W125*$Y$2</f>
        <v>3.5757599999999998</v>
      </c>
      <c r="AX125" s="20">
        <f t="shared" ref="AX125:AX156" si="61">X125*$Z$2+Y125*$AA$2+Z125*$AB$2</f>
        <v>3.3637999999999999</v>
      </c>
      <c r="AY125" s="20">
        <f>10*$Z$2+45*$AA$2+45*$AB$2</f>
        <v>3.1399999999999997</v>
      </c>
      <c r="AZ125" s="20">
        <f t="shared" si="58"/>
        <v>2.7198600000000002</v>
      </c>
      <c r="BA125" s="221"/>
      <c r="BB125" s="17">
        <v>18.5</v>
      </c>
      <c r="BC125" s="17">
        <v>79.400000000000006</v>
      </c>
      <c r="BD125" s="17">
        <v>1</v>
      </c>
      <c r="BE125" s="222">
        <v>0.3</v>
      </c>
    </row>
    <row r="126" spans="1:58" s="17" customFormat="1" ht="14.4">
      <c r="A126" s="17" t="s">
        <v>568</v>
      </c>
      <c r="B126" s="69" t="s">
        <v>569</v>
      </c>
      <c r="C126" s="70" t="s">
        <v>93</v>
      </c>
      <c r="D126" s="70" t="s">
        <v>60</v>
      </c>
      <c r="E126" s="17" t="s">
        <v>61</v>
      </c>
      <c r="G126" s="17" t="s">
        <v>300</v>
      </c>
      <c r="H126" s="17" t="s">
        <v>348</v>
      </c>
      <c r="J126" s="17">
        <v>0</v>
      </c>
      <c r="K126" s="17">
        <v>45</v>
      </c>
      <c r="L126" s="17" t="s">
        <v>64</v>
      </c>
      <c r="M126" s="17" t="s">
        <v>65</v>
      </c>
      <c r="N126" s="17" t="s">
        <v>409</v>
      </c>
      <c r="O126" s="17" t="s">
        <v>95</v>
      </c>
      <c r="P126" s="17">
        <v>0</v>
      </c>
      <c r="Q126" s="17" t="s">
        <v>349</v>
      </c>
      <c r="R126" s="124">
        <f t="shared" si="59"/>
        <v>1.2103699167831101</v>
      </c>
      <c r="S126" s="71">
        <f t="shared" si="59"/>
        <v>24.325814474199863</v>
      </c>
      <c r="T126" s="71">
        <f t="shared" si="59"/>
        <v>19.699666513214982</v>
      </c>
      <c r="U126" s="71">
        <f t="shared" si="59"/>
        <v>54.76414909580204</v>
      </c>
      <c r="V126" s="124" t="s">
        <v>158</v>
      </c>
      <c r="W126" s="152" t="e">
        <f t="shared" si="42"/>
        <v>#VALUE!</v>
      </c>
      <c r="X126" s="71">
        <v>57.1</v>
      </c>
      <c r="Y126" s="72">
        <f t="shared" si="60"/>
        <v>36.29</v>
      </c>
      <c r="Z126" s="72">
        <v>6.61</v>
      </c>
      <c r="AA126" s="161">
        <v>29.8</v>
      </c>
      <c r="AB126" s="72">
        <f t="shared" si="52"/>
        <v>30</v>
      </c>
      <c r="AC126" s="125">
        <v>40.200000000000003</v>
      </c>
      <c r="AD126" s="72">
        <v>89.5</v>
      </c>
      <c r="AE126" s="72">
        <f t="shared" si="56"/>
        <v>9.9</v>
      </c>
      <c r="AF126" s="125">
        <v>0.6</v>
      </c>
      <c r="AG126" s="17" t="s">
        <v>69</v>
      </c>
      <c r="AH126" s="199" t="s">
        <v>341</v>
      </c>
      <c r="AI126" s="199" t="s">
        <v>340</v>
      </c>
      <c r="AN126" s="20"/>
      <c r="AO126" s="20"/>
      <c r="AP126" s="20"/>
      <c r="AQ126" s="237" t="s">
        <v>546</v>
      </c>
      <c r="AR126" s="221"/>
      <c r="AS126" s="17">
        <v>1.4</v>
      </c>
      <c r="AT126" s="17">
        <v>28.6</v>
      </c>
      <c r="AU126" s="17">
        <v>21.2</v>
      </c>
      <c r="AV126" s="222">
        <v>48.5</v>
      </c>
      <c r="AW126" s="20">
        <f>25*$X$2+75*$Y$2</f>
        <v>3.55</v>
      </c>
      <c r="AX126" s="20">
        <f t="shared" si="61"/>
        <v>3.6084200000000002</v>
      </c>
      <c r="AY126" s="20">
        <f>AA126*$Z$2+AB126*$AA$2+AC126*$AB$2</f>
        <v>3.3029000000000002</v>
      </c>
      <c r="AZ126" s="20">
        <f t="shared" si="58"/>
        <v>2.7180900000000001</v>
      </c>
      <c r="BA126" s="221"/>
      <c r="BB126" s="17">
        <f t="shared" ref="BB126:BE130" si="62">AS126/AW126</f>
        <v>0.39436619718309857</v>
      </c>
      <c r="BC126" s="17">
        <f t="shared" si="62"/>
        <v>7.9259066294943494</v>
      </c>
      <c r="BD126" s="17">
        <f t="shared" si="62"/>
        <v>6.4186018347512785</v>
      </c>
      <c r="BE126" s="222">
        <f t="shared" si="62"/>
        <v>17.843412101880364</v>
      </c>
      <c r="BF126" s="206"/>
    </row>
    <row r="127" spans="1:58" s="17" customFormat="1" ht="45.6">
      <c r="A127" s="17" t="s">
        <v>570</v>
      </c>
      <c r="B127" s="69" t="s">
        <v>571</v>
      </c>
      <c r="C127" s="70" t="s">
        <v>93</v>
      </c>
      <c r="D127" s="70" t="s">
        <v>60</v>
      </c>
      <c r="E127" s="17" t="s">
        <v>61</v>
      </c>
      <c r="G127" s="17" t="s">
        <v>300</v>
      </c>
      <c r="H127" s="17" t="s">
        <v>348</v>
      </c>
      <c r="J127" s="17">
        <v>0</v>
      </c>
      <c r="K127" s="17">
        <v>45</v>
      </c>
      <c r="L127" s="17" t="s">
        <v>64</v>
      </c>
      <c r="M127" s="17" t="s">
        <v>65</v>
      </c>
      <c r="N127" s="74" t="s">
        <v>572</v>
      </c>
      <c r="O127" s="17" t="s">
        <v>95</v>
      </c>
      <c r="P127" s="17">
        <v>0</v>
      </c>
      <c r="Q127" s="17" t="s">
        <v>349</v>
      </c>
      <c r="R127" s="124">
        <f t="shared" si="59"/>
        <v>2.5223843899184715</v>
      </c>
      <c r="S127" s="71">
        <f t="shared" si="59"/>
        <v>21.715140644905809</v>
      </c>
      <c r="T127" s="71">
        <f t="shared" si="59"/>
        <v>23.704961632047024</v>
      </c>
      <c r="U127" s="71">
        <f t="shared" si="59"/>
        <v>52.057513333128682</v>
      </c>
      <c r="V127" s="124" t="s">
        <v>158</v>
      </c>
      <c r="W127" s="152" t="e">
        <f t="shared" si="42"/>
        <v>#VALUE!</v>
      </c>
      <c r="X127" s="72">
        <f>33.9/R$2/(33.9/$R$2+12.16/$S$2+2.79/$T$2)*100</f>
        <v>57.311657280734217</v>
      </c>
      <c r="Y127" s="72">
        <f t="shared" si="60"/>
        <v>36.645377330688795</v>
      </c>
      <c r="Z127" s="72">
        <f>2.79/T$2/(33.9/$R$2+12.16/$S$2+2.79/$T$2)*100</f>
        <v>6.0429653885769863</v>
      </c>
      <c r="AA127" s="161">
        <f>17.74/R$2/(17.74/$R$2+10.1/$S$2+19.52/$T$2)*100</f>
        <v>29.200693368969887</v>
      </c>
      <c r="AB127" s="72">
        <f t="shared" si="52"/>
        <v>29.634887042024502</v>
      </c>
      <c r="AC127" s="125">
        <f>19.52/T$2/(17.74/$R$2+10.1/$S$2+19.52/$T$2)*100</f>
        <v>41.164419589005604</v>
      </c>
      <c r="AD127" s="72">
        <v>82.9</v>
      </c>
      <c r="AE127" s="72">
        <f t="shared" si="56"/>
        <v>16.209999999999994</v>
      </c>
      <c r="AF127" s="125">
        <v>0.89</v>
      </c>
      <c r="AG127" s="17" t="s">
        <v>69</v>
      </c>
      <c r="AH127" s="199" t="s">
        <v>341</v>
      </c>
      <c r="AI127" s="198" t="s">
        <v>340</v>
      </c>
      <c r="AJ127" s="73"/>
      <c r="AN127" s="20"/>
      <c r="AO127" s="20"/>
      <c r="AP127" s="20"/>
      <c r="AQ127" s="237" t="s">
        <v>546</v>
      </c>
      <c r="AR127" s="221"/>
      <c r="AS127" s="17">
        <v>2.9</v>
      </c>
      <c r="AT127" s="17">
        <v>25.4</v>
      </c>
      <c r="AU127" s="17">
        <v>25.3</v>
      </c>
      <c r="AV127" s="222">
        <v>45.7</v>
      </c>
      <c r="AW127" s="20">
        <f>25*$X$2+75*$Y$2</f>
        <v>3.55</v>
      </c>
      <c r="AX127" s="20">
        <f t="shared" si="61"/>
        <v>3.611708533439776</v>
      </c>
      <c r="AY127" s="20">
        <f>AA127*$Z$2+AB127*$AA$2+AC127*$AB$2</f>
        <v>3.2955119415002567</v>
      </c>
      <c r="AZ127" s="20">
        <f t="shared" si="58"/>
        <v>2.7106560000000002</v>
      </c>
      <c r="BA127" s="221"/>
      <c r="BB127" s="17">
        <f t="shared" si="62"/>
        <v>0.81690140845070425</v>
      </c>
      <c r="BC127" s="17">
        <f t="shared" si="62"/>
        <v>7.0326826666184896</v>
      </c>
      <c r="BD127" s="17">
        <f t="shared" si="62"/>
        <v>7.6771076691903497</v>
      </c>
      <c r="BE127" s="222">
        <f t="shared" si="62"/>
        <v>16.859387543089202</v>
      </c>
      <c r="BF127" s="206"/>
    </row>
    <row r="128" spans="1:58" s="17" customFormat="1" ht="14.4">
      <c r="A128" s="17" t="s">
        <v>573</v>
      </c>
      <c r="B128" s="69" t="s">
        <v>574</v>
      </c>
      <c r="C128" s="70" t="s">
        <v>93</v>
      </c>
      <c r="D128" s="70" t="s">
        <v>60</v>
      </c>
      <c r="E128" s="17" t="s">
        <v>61</v>
      </c>
      <c r="G128" s="17" t="s">
        <v>300</v>
      </c>
      <c r="H128" s="17" t="s">
        <v>348</v>
      </c>
      <c r="J128" s="17">
        <v>0</v>
      </c>
      <c r="K128" s="17">
        <v>45</v>
      </c>
      <c r="L128" s="17" t="s">
        <v>64</v>
      </c>
      <c r="M128" s="17" t="s">
        <v>65</v>
      </c>
      <c r="N128" s="17" t="s">
        <v>575</v>
      </c>
      <c r="O128" s="17" t="s">
        <v>95</v>
      </c>
      <c r="P128" s="17">
        <v>0</v>
      </c>
      <c r="Q128" s="17" t="s">
        <v>349</v>
      </c>
      <c r="R128" s="124">
        <f t="shared" si="59"/>
        <v>4.1686713999639373</v>
      </c>
      <c r="S128" s="71">
        <f t="shared" si="59"/>
        <v>15.942658105834278</v>
      </c>
      <c r="T128" s="71">
        <f t="shared" si="59"/>
        <v>25.002074522227357</v>
      </c>
      <c r="U128" s="71">
        <f t="shared" si="59"/>
        <v>54.88659597197443</v>
      </c>
      <c r="V128" s="124" t="s">
        <v>158</v>
      </c>
      <c r="W128" s="152" t="e">
        <f t="shared" si="42"/>
        <v>#VALUE!</v>
      </c>
      <c r="X128" s="72">
        <v>58.1</v>
      </c>
      <c r="Y128" s="72">
        <f t="shared" si="60"/>
        <v>35.42</v>
      </c>
      <c r="Z128" s="72">
        <v>6.48</v>
      </c>
      <c r="AA128" s="161">
        <v>32.5</v>
      </c>
      <c r="AB128" s="72">
        <f t="shared" si="52"/>
        <v>29.4</v>
      </c>
      <c r="AC128" s="125">
        <v>38.1</v>
      </c>
      <c r="AD128" s="72">
        <v>89.9</v>
      </c>
      <c r="AE128" s="72">
        <f t="shared" si="56"/>
        <v>9.8099999999999952</v>
      </c>
      <c r="AF128" s="125">
        <v>0.28999999999999998</v>
      </c>
      <c r="AG128" s="17" t="s">
        <v>69</v>
      </c>
      <c r="AH128" s="199" t="s">
        <v>341</v>
      </c>
      <c r="AI128" s="198" t="s">
        <v>340</v>
      </c>
      <c r="AJ128" s="73"/>
      <c r="AN128" s="20"/>
      <c r="AO128" s="20"/>
      <c r="AP128" s="20"/>
      <c r="AQ128" s="237" t="s">
        <v>546</v>
      </c>
      <c r="AR128" s="221"/>
      <c r="AS128" s="17">
        <v>4.8</v>
      </c>
      <c r="AT128" s="17">
        <v>18.7</v>
      </c>
      <c r="AU128" s="17">
        <v>27</v>
      </c>
      <c r="AV128" s="222">
        <v>48.4</v>
      </c>
      <c r="AW128" s="20">
        <f>25*$X$2+75*$Y$2</f>
        <v>3.55</v>
      </c>
      <c r="AX128" s="20">
        <f t="shared" si="61"/>
        <v>3.6163100000000004</v>
      </c>
      <c r="AY128" s="20">
        <f>AA128*$Z$2+AB128*$AA$2+AC128*$AB$2</f>
        <v>3.3294499999999996</v>
      </c>
      <c r="AZ128" s="20">
        <f t="shared" si="58"/>
        <v>2.7187160000000001</v>
      </c>
      <c r="BA128" s="221"/>
      <c r="BB128" s="17">
        <f t="shared" si="62"/>
        <v>1.352112676056338</v>
      </c>
      <c r="BC128" s="17">
        <f t="shared" si="62"/>
        <v>5.1710168652576787</v>
      </c>
      <c r="BD128" s="17">
        <f t="shared" si="62"/>
        <v>8.1094475063448925</v>
      </c>
      <c r="BE128" s="222">
        <f t="shared" si="62"/>
        <v>17.802521484406608</v>
      </c>
      <c r="BF128" s="206"/>
    </row>
    <row r="129" spans="1:58" s="17" customFormat="1" ht="14.4">
      <c r="A129" s="17" t="s">
        <v>576</v>
      </c>
      <c r="B129" s="69" t="s">
        <v>577</v>
      </c>
      <c r="C129" s="70" t="s">
        <v>93</v>
      </c>
      <c r="D129" s="70" t="s">
        <v>60</v>
      </c>
      <c r="E129" s="17" t="s">
        <v>61</v>
      </c>
      <c r="G129" s="17" t="s">
        <v>300</v>
      </c>
      <c r="H129" s="17" t="s">
        <v>348</v>
      </c>
      <c r="J129" s="17">
        <v>0</v>
      </c>
      <c r="K129" s="17">
        <v>45</v>
      </c>
      <c r="L129" s="17" t="s">
        <v>64</v>
      </c>
      <c r="M129" s="17" t="s">
        <v>65</v>
      </c>
      <c r="N129" s="17" t="s">
        <v>578</v>
      </c>
      <c r="O129" s="17" t="s">
        <v>95</v>
      </c>
      <c r="P129" s="17">
        <v>0</v>
      </c>
      <c r="Q129" s="17" t="s">
        <v>349</v>
      </c>
      <c r="R129" s="124">
        <f t="shared" si="59"/>
        <v>4.9473565400543169</v>
      </c>
      <c r="S129" s="71">
        <f t="shared" si="59"/>
        <v>22.532737343953301</v>
      </c>
      <c r="T129" s="71">
        <f t="shared" si="59"/>
        <v>25.196541218783853</v>
      </c>
      <c r="U129" s="71">
        <f t="shared" si="59"/>
        <v>47.323364897208528</v>
      </c>
      <c r="V129" s="124" t="s">
        <v>158</v>
      </c>
      <c r="W129" s="152" t="e">
        <f t="shared" si="42"/>
        <v>#VALUE!</v>
      </c>
      <c r="X129" s="72">
        <v>59.1</v>
      </c>
      <c r="Y129" s="72">
        <f t="shared" si="60"/>
        <v>35.81</v>
      </c>
      <c r="Z129" s="72">
        <v>5.09</v>
      </c>
      <c r="AA129" s="161">
        <v>44.9</v>
      </c>
      <c r="AB129" s="72">
        <f t="shared" si="52"/>
        <v>33.700000000000003</v>
      </c>
      <c r="AC129" s="125">
        <v>21.4</v>
      </c>
      <c r="AD129" s="72">
        <v>90.5</v>
      </c>
      <c r="AE129" s="72">
        <f t="shared" si="56"/>
        <v>9.1999999999999993</v>
      </c>
      <c r="AF129" s="125">
        <v>0.3</v>
      </c>
      <c r="AG129" s="17" t="s">
        <v>69</v>
      </c>
      <c r="AH129" s="199" t="s">
        <v>341</v>
      </c>
      <c r="AI129" s="198" t="s">
        <v>340</v>
      </c>
      <c r="AJ129" s="73"/>
      <c r="AN129" s="20"/>
      <c r="AO129" s="20"/>
      <c r="AP129" s="20"/>
      <c r="AQ129" s="237" t="s">
        <v>546</v>
      </c>
      <c r="AR129" s="221"/>
      <c r="AS129" s="17">
        <v>5.5</v>
      </c>
      <c r="AT129" s="17">
        <v>25.6</v>
      </c>
      <c r="AU129" s="17">
        <v>27.4</v>
      </c>
      <c r="AV129" s="222">
        <v>40.299999999999997</v>
      </c>
      <c r="AW129" s="20">
        <f>25*$X$2+75*$Y$2</f>
        <v>3.55</v>
      </c>
      <c r="AX129" s="20">
        <f t="shared" si="61"/>
        <v>3.6279799999999995</v>
      </c>
      <c r="AY129" s="20">
        <f>AA129*$Z$2+AB129*$AA$2+AC129*$AB$2</f>
        <v>3.47255</v>
      </c>
      <c r="AZ129" s="20">
        <f t="shared" si="58"/>
        <v>2.7193700000000001</v>
      </c>
      <c r="BA129" s="221"/>
      <c r="BB129" s="17">
        <f t="shared" si="62"/>
        <v>1.5492957746478875</v>
      </c>
      <c r="BC129" s="17">
        <f t="shared" si="62"/>
        <v>7.0562682263959573</v>
      </c>
      <c r="BD129" s="17">
        <f t="shared" si="62"/>
        <v>7.8904551410346855</v>
      </c>
      <c r="BE129" s="222">
        <f t="shared" si="62"/>
        <v>14.819608953544385</v>
      </c>
      <c r="BF129" s="206"/>
    </row>
    <row r="130" spans="1:58" s="17" customFormat="1" ht="14.4">
      <c r="A130" s="17" t="s">
        <v>579</v>
      </c>
      <c r="B130" s="69" t="s">
        <v>580</v>
      </c>
      <c r="C130" s="70" t="s">
        <v>93</v>
      </c>
      <c r="D130" s="70" t="s">
        <v>60</v>
      </c>
      <c r="E130" s="17" t="s">
        <v>61</v>
      </c>
      <c r="G130" s="17" t="s">
        <v>300</v>
      </c>
      <c r="H130" s="17" t="s">
        <v>348</v>
      </c>
      <c r="J130" s="17">
        <v>0</v>
      </c>
      <c r="K130" s="17">
        <v>38</v>
      </c>
      <c r="L130" s="17" t="s">
        <v>64</v>
      </c>
      <c r="M130" s="17" t="s">
        <v>65</v>
      </c>
      <c r="N130" s="17" t="s">
        <v>581</v>
      </c>
      <c r="O130" s="17" t="s">
        <v>95</v>
      </c>
      <c r="P130" s="17">
        <v>0</v>
      </c>
      <c r="R130" s="124">
        <f t="shared" si="59"/>
        <v>7.3021469887010317</v>
      </c>
      <c r="S130" s="71">
        <f t="shared" si="59"/>
        <v>22.673727091632554</v>
      </c>
      <c r="T130" s="71">
        <f t="shared" si="59"/>
        <v>22.245881161492292</v>
      </c>
      <c r="U130" s="71">
        <f t="shared" si="59"/>
        <v>47.778244758174118</v>
      </c>
      <c r="V130" s="124" t="s">
        <v>158</v>
      </c>
      <c r="W130" s="152" t="e">
        <f t="shared" si="42"/>
        <v>#VALUE!</v>
      </c>
      <c r="X130" s="72">
        <v>57.4</v>
      </c>
      <c r="Y130" s="72">
        <f t="shared" si="60"/>
        <v>36.14</v>
      </c>
      <c r="Z130" s="72">
        <v>6.46</v>
      </c>
      <c r="AA130" s="161">
        <v>43.2</v>
      </c>
      <c r="AB130" s="72">
        <f t="shared" si="52"/>
        <v>33.199999999999996</v>
      </c>
      <c r="AC130" s="125">
        <v>23.6</v>
      </c>
      <c r="AD130" s="72">
        <v>84.8</v>
      </c>
      <c r="AE130" s="72">
        <f t="shared" si="56"/>
        <v>14.410000000000004</v>
      </c>
      <c r="AF130" s="125">
        <v>0.79</v>
      </c>
      <c r="AG130" s="17" t="s">
        <v>69</v>
      </c>
      <c r="AH130" s="199" t="s">
        <v>341</v>
      </c>
      <c r="AI130" s="199" t="s">
        <v>340</v>
      </c>
      <c r="AJ130" s="73"/>
      <c r="AN130" s="20"/>
      <c r="AO130" s="20"/>
      <c r="AP130" s="20"/>
      <c r="AQ130" s="237" t="s">
        <v>546</v>
      </c>
      <c r="AR130" s="221"/>
      <c r="AS130" s="17">
        <v>8.1999999999999993</v>
      </c>
      <c r="AT130" s="17">
        <v>25.9</v>
      </c>
      <c r="AU130" s="17">
        <v>24.3</v>
      </c>
      <c r="AV130" s="222">
        <v>41</v>
      </c>
      <c r="AW130" s="20">
        <f>25*$X$2+75*$Y$2</f>
        <v>3.55</v>
      </c>
      <c r="AX130" s="20">
        <f t="shared" si="61"/>
        <v>3.6111199999999997</v>
      </c>
      <c r="AY130" s="20">
        <f>AA130*$Z$2+AB130*$AA$2+AC130*$AB$2</f>
        <v>3.4531999999999998</v>
      </c>
      <c r="AZ130" s="20">
        <f t="shared" si="58"/>
        <v>2.7128060000000001</v>
      </c>
      <c r="BA130" s="221"/>
      <c r="BB130" s="17">
        <f t="shared" si="62"/>
        <v>2.3098591549295775</v>
      </c>
      <c r="BC130" s="17">
        <f t="shared" si="62"/>
        <v>7.1722900374399083</v>
      </c>
      <c r="BD130" s="17">
        <f t="shared" si="62"/>
        <v>7.0369512336383648</v>
      </c>
      <c r="BE130" s="222">
        <f t="shared" si="62"/>
        <v>15.113502403046882</v>
      </c>
      <c r="BF130" s="206"/>
    </row>
    <row r="131" spans="1:58" s="17" customFormat="1" ht="14.4">
      <c r="A131" s="17" t="s">
        <v>582</v>
      </c>
      <c r="B131" s="70" t="s">
        <v>583</v>
      </c>
      <c r="C131" s="70" t="s">
        <v>378</v>
      </c>
      <c r="D131" s="70" t="s">
        <v>60</v>
      </c>
      <c r="E131" s="17" t="s">
        <v>61</v>
      </c>
      <c r="G131" s="17" t="s">
        <v>300</v>
      </c>
      <c r="H131" s="17" t="s">
        <v>379</v>
      </c>
      <c r="J131" s="17">
        <v>0</v>
      </c>
      <c r="K131" s="17">
        <v>0</v>
      </c>
      <c r="M131" s="17" t="s">
        <v>187</v>
      </c>
      <c r="N131" s="17" t="s">
        <v>584</v>
      </c>
      <c r="O131" s="17" t="s">
        <v>380</v>
      </c>
      <c r="P131" s="17">
        <v>0</v>
      </c>
      <c r="Q131" s="17" t="s">
        <v>381</v>
      </c>
      <c r="R131" s="124">
        <f t="shared" si="59"/>
        <v>0</v>
      </c>
      <c r="S131" s="71">
        <f t="shared" si="59"/>
        <v>99.289340101522839</v>
      </c>
      <c r="T131" s="71">
        <f t="shared" si="59"/>
        <v>0.71065989847715727</v>
      </c>
      <c r="U131" s="71">
        <f t="shared" si="59"/>
        <v>0</v>
      </c>
      <c r="V131" s="124">
        <v>0</v>
      </c>
      <c r="W131" s="152">
        <v>0</v>
      </c>
      <c r="X131" s="72">
        <v>22</v>
      </c>
      <c r="Y131" s="72">
        <f t="shared" si="60"/>
        <v>76.2</v>
      </c>
      <c r="Z131" s="72">
        <v>1.8</v>
      </c>
      <c r="AA131" s="161" t="s">
        <v>158</v>
      </c>
      <c r="AB131" s="72" t="e">
        <f t="shared" si="52"/>
        <v>#VALUE!</v>
      </c>
      <c r="AC131" s="125" t="s">
        <v>158</v>
      </c>
      <c r="AD131" s="72">
        <v>0</v>
      </c>
      <c r="AE131" s="72">
        <v>0</v>
      </c>
      <c r="AF131" s="125">
        <v>0</v>
      </c>
      <c r="AG131" s="17" t="s">
        <v>69</v>
      </c>
      <c r="AH131" s="18" t="s">
        <v>333</v>
      </c>
      <c r="AI131" s="73"/>
      <c r="AJ131" s="73"/>
      <c r="AN131" s="20"/>
      <c r="AO131" s="20"/>
      <c r="AP131" s="20"/>
      <c r="AQ131" s="237" t="s">
        <v>89</v>
      </c>
      <c r="AR131" s="231"/>
      <c r="AS131" s="17" t="s">
        <v>90</v>
      </c>
      <c r="AT131" s="17" t="s">
        <v>90</v>
      </c>
      <c r="AU131" s="17" t="s">
        <v>90</v>
      </c>
      <c r="AV131" s="222" t="s">
        <v>90</v>
      </c>
      <c r="AW131" s="20">
        <v>1</v>
      </c>
      <c r="AX131" s="20">
        <f t="shared" si="61"/>
        <v>3.3596000000000004</v>
      </c>
      <c r="AY131" s="20">
        <f t="shared" ref="AY131:AY157" si="63">10*$Z$2+45*$AA$2+45*$AB$2</f>
        <v>3.1399999999999997</v>
      </c>
      <c r="AZ131" s="20">
        <v>1</v>
      </c>
      <c r="BA131" s="221"/>
      <c r="BB131" s="17">
        <v>0</v>
      </c>
      <c r="BC131" s="17">
        <v>97.8</v>
      </c>
      <c r="BD131" s="17">
        <v>0.7</v>
      </c>
      <c r="BE131" s="222">
        <v>0</v>
      </c>
    </row>
    <row r="132" spans="1:58" s="17" customFormat="1" ht="14.4">
      <c r="A132" s="17" t="s">
        <v>585</v>
      </c>
      <c r="B132" s="69" t="s">
        <v>586</v>
      </c>
      <c r="C132" s="70" t="s">
        <v>378</v>
      </c>
      <c r="D132" s="70" t="s">
        <v>60</v>
      </c>
      <c r="E132" s="17" t="s">
        <v>280</v>
      </c>
      <c r="G132" s="17" t="s">
        <v>300</v>
      </c>
      <c r="H132" s="17" t="s">
        <v>379</v>
      </c>
      <c r="J132" s="17">
        <v>0</v>
      </c>
      <c r="K132" s="17">
        <v>45</v>
      </c>
      <c r="L132" s="17" t="s">
        <v>64</v>
      </c>
      <c r="M132" s="17" t="s">
        <v>65</v>
      </c>
      <c r="N132" s="17" t="s">
        <v>584</v>
      </c>
      <c r="O132" s="17" t="s">
        <v>384</v>
      </c>
      <c r="P132" s="17">
        <v>0</v>
      </c>
      <c r="Q132" s="17" t="s">
        <v>381</v>
      </c>
      <c r="R132" s="124">
        <f t="shared" si="59"/>
        <v>0</v>
      </c>
      <c r="S132" s="71">
        <f t="shared" si="59"/>
        <v>99.289340101522839</v>
      </c>
      <c r="T132" s="71">
        <f t="shared" si="59"/>
        <v>0.71065989847715727</v>
      </c>
      <c r="U132" s="71">
        <f t="shared" si="59"/>
        <v>0</v>
      </c>
      <c r="V132" s="124">
        <v>0</v>
      </c>
      <c r="W132" s="152">
        <v>0</v>
      </c>
      <c r="X132" s="72">
        <v>22</v>
      </c>
      <c r="Y132" s="72">
        <f t="shared" si="60"/>
        <v>76.2</v>
      </c>
      <c r="Z132" s="72">
        <v>1.8</v>
      </c>
      <c r="AA132" s="161" t="s">
        <v>158</v>
      </c>
      <c r="AB132" s="72" t="e">
        <f t="shared" ref="AB132:AB159" si="64">100 - $AA132 - $AC132</f>
        <v>#VALUE!</v>
      </c>
      <c r="AC132" s="125" t="s">
        <v>158</v>
      </c>
      <c r="AD132" s="72">
        <v>0</v>
      </c>
      <c r="AE132" s="72">
        <v>0</v>
      </c>
      <c r="AF132" s="125">
        <v>0</v>
      </c>
      <c r="AG132" s="17" t="s">
        <v>69</v>
      </c>
      <c r="AH132" s="18" t="s">
        <v>333</v>
      </c>
      <c r="AI132" s="73"/>
      <c r="AJ132" s="73"/>
      <c r="AN132" s="20"/>
      <c r="AO132" s="20"/>
      <c r="AP132" s="20"/>
      <c r="AQ132" s="237" t="s">
        <v>89</v>
      </c>
      <c r="AR132" s="231"/>
      <c r="AS132" s="17" t="s">
        <v>90</v>
      </c>
      <c r="AT132" s="17" t="s">
        <v>90</v>
      </c>
      <c r="AU132" s="17" t="s">
        <v>90</v>
      </c>
      <c r="AV132" s="222" t="s">
        <v>90</v>
      </c>
      <c r="AW132" s="20">
        <v>1</v>
      </c>
      <c r="AX132" s="20">
        <f t="shared" si="61"/>
        <v>3.3596000000000004</v>
      </c>
      <c r="AY132" s="20">
        <f t="shared" si="63"/>
        <v>3.1399999999999997</v>
      </c>
      <c r="AZ132" s="20">
        <v>1</v>
      </c>
      <c r="BA132" s="221"/>
      <c r="BB132" s="17">
        <v>0</v>
      </c>
      <c r="BC132" s="17">
        <v>97.8</v>
      </c>
      <c r="BD132" s="17">
        <v>0.7</v>
      </c>
      <c r="BE132" s="222">
        <v>0</v>
      </c>
    </row>
    <row r="133" spans="1:58" s="17" customFormat="1" ht="14.4">
      <c r="A133" s="17" t="s">
        <v>587</v>
      </c>
      <c r="B133" s="69" t="s">
        <v>588</v>
      </c>
      <c r="C133" s="70" t="s">
        <v>378</v>
      </c>
      <c r="D133" s="70" t="s">
        <v>60</v>
      </c>
      <c r="E133" s="17" t="s">
        <v>61</v>
      </c>
      <c r="G133" s="17" t="s">
        <v>300</v>
      </c>
      <c r="H133" s="17" t="s">
        <v>379</v>
      </c>
      <c r="J133" s="17">
        <v>0</v>
      </c>
      <c r="K133" s="17">
        <v>1000</v>
      </c>
      <c r="L133" s="17" t="s">
        <v>64</v>
      </c>
      <c r="M133" s="17" t="s">
        <v>387</v>
      </c>
      <c r="N133" s="17" t="s">
        <v>584</v>
      </c>
      <c r="O133" s="17" t="s">
        <v>384</v>
      </c>
      <c r="P133" s="17">
        <v>0</v>
      </c>
      <c r="Q133" s="17" t="s">
        <v>381</v>
      </c>
      <c r="R133" s="124">
        <f t="shared" si="59"/>
        <v>0</v>
      </c>
      <c r="S133" s="71">
        <f t="shared" si="59"/>
        <v>99.289340101522839</v>
      </c>
      <c r="T133" s="71">
        <f t="shared" si="59"/>
        <v>0.71065989847715727</v>
      </c>
      <c r="U133" s="71">
        <f t="shared" si="59"/>
        <v>0</v>
      </c>
      <c r="V133" s="124">
        <v>0</v>
      </c>
      <c r="W133" s="152">
        <v>0</v>
      </c>
      <c r="X133" s="72">
        <v>22</v>
      </c>
      <c r="Y133" s="72">
        <f t="shared" si="60"/>
        <v>76.2</v>
      </c>
      <c r="Z133" s="72">
        <v>1.8</v>
      </c>
      <c r="AA133" s="161" t="s">
        <v>158</v>
      </c>
      <c r="AB133" s="72" t="e">
        <f t="shared" si="64"/>
        <v>#VALUE!</v>
      </c>
      <c r="AC133" s="125" t="s">
        <v>158</v>
      </c>
      <c r="AD133" s="72">
        <v>0</v>
      </c>
      <c r="AE133" s="72">
        <v>0</v>
      </c>
      <c r="AF133" s="125">
        <v>0</v>
      </c>
      <c r="AG133" s="17" t="s">
        <v>69</v>
      </c>
      <c r="AH133" s="18" t="s">
        <v>333</v>
      </c>
      <c r="AI133" s="73"/>
      <c r="AJ133" s="73"/>
      <c r="AN133" s="20"/>
      <c r="AO133" s="20"/>
      <c r="AP133" s="20"/>
      <c r="AQ133" s="237" t="s">
        <v>89</v>
      </c>
      <c r="AR133" s="231"/>
      <c r="AS133" s="17" t="s">
        <v>90</v>
      </c>
      <c r="AT133" s="17" t="s">
        <v>90</v>
      </c>
      <c r="AU133" s="17" t="s">
        <v>90</v>
      </c>
      <c r="AV133" s="222" t="s">
        <v>90</v>
      </c>
      <c r="AW133" s="20">
        <v>1</v>
      </c>
      <c r="AX133" s="20">
        <f t="shared" si="61"/>
        <v>3.3596000000000004</v>
      </c>
      <c r="AY133" s="20">
        <f t="shared" si="63"/>
        <v>3.1399999999999997</v>
      </c>
      <c r="AZ133" s="20">
        <v>1</v>
      </c>
      <c r="BA133" s="221"/>
      <c r="BB133" s="17">
        <v>0</v>
      </c>
      <c r="BC133" s="17">
        <v>97.8</v>
      </c>
      <c r="BD133" s="17">
        <v>0.7</v>
      </c>
      <c r="BE133" s="222">
        <v>0</v>
      </c>
    </row>
    <row r="134" spans="1:58" s="17" customFormat="1" ht="14.4">
      <c r="A134" s="17" t="s">
        <v>589</v>
      </c>
      <c r="B134" s="70" t="s">
        <v>590</v>
      </c>
      <c r="C134" s="70" t="s">
        <v>378</v>
      </c>
      <c r="D134" s="70" t="s">
        <v>60</v>
      </c>
      <c r="E134" s="17" t="s">
        <v>61</v>
      </c>
      <c r="G134" s="17" t="s">
        <v>300</v>
      </c>
      <c r="H134" s="17" t="s">
        <v>379</v>
      </c>
      <c r="J134" s="17">
        <v>0</v>
      </c>
      <c r="K134" s="17">
        <v>0</v>
      </c>
      <c r="M134" s="17" t="s">
        <v>187</v>
      </c>
      <c r="N134" s="17" t="s">
        <v>390</v>
      </c>
      <c r="O134" s="17" t="s">
        <v>380</v>
      </c>
      <c r="P134" s="17">
        <v>0</v>
      </c>
      <c r="Q134" s="17" t="s">
        <v>381</v>
      </c>
      <c r="R134" s="124">
        <f t="shared" si="59"/>
        <v>2.2494887525562373</v>
      </c>
      <c r="S134" s="71">
        <f t="shared" si="59"/>
        <v>85.378323108384464</v>
      </c>
      <c r="T134" s="71">
        <f t="shared" si="59"/>
        <v>12.372188139059306</v>
      </c>
      <c r="U134" s="71">
        <f t="shared" si="59"/>
        <v>0</v>
      </c>
      <c r="V134" s="124">
        <v>28.6</v>
      </c>
      <c r="W134" s="152">
        <f t="shared" ref="W134:W157" si="65">100 - $V134</f>
        <v>71.400000000000006</v>
      </c>
      <c r="X134" s="72">
        <v>27.3</v>
      </c>
      <c r="Y134" s="72">
        <f t="shared" si="60"/>
        <v>69.7</v>
      </c>
      <c r="Z134" s="72">
        <v>3</v>
      </c>
      <c r="AA134" s="161" t="s">
        <v>158</v>
      </c>
      <c r="AB134" s="72" t="e">
        <f t="shared" si="64"/>
        <v>#VALUE!</v>
      </c>
      <c r="AC134" s="125" t="s">
        <v>158</v>
      </c>
      <c r="AD134" s="72">
        <v>0</v>
      </c>
      <c r="AE134" s="72">
        <v>0</v>
      </c>
      <c r="AF134" s="125">
        <v>0</v>
      </c>
      <c r="AG134" s="17" t="s">
        <v>69</v>
      </c>
      <c r="AH134" s="18" t="s">
        <v>333</v>
      </c>
      <c r="AI134" s="198" t="s">
        <v>591</v>
      </c>
      <c r="AJ134" s="73"/>
      <c r="AN134" s="20"/>
      <c r="AO134" s="20"/>
      <c r="AP134" s="20"/>
      <c r="AQ134" s="237" t="s">
        <v>89</v>
      </c>
      <c r="AR134" s="231"/>
      <c r="AS134" s="17" t="s">
        <v>90</v>
      </c>
      <c r="AT134" s="17" t="s">
        <v>90</v>
      </c>
      <c r="AU134" s="17" t="s">
        <v>90</v>
      </c>
      <c r="AV134" s="222" t="s">
        <v>90</v>
      </c>
      <c r="AW134" s="20">
        <f t="shared" ref="AW134:AW157" si="66">V134*$X$2 + W134*$Y$2</f>
        <v>3.5903200000000002</v>
      </c>
      <c r="AX134" s="20">
        <f t="shared" si="61"/>
        <v>3.39575</v>
      </c>
      <c r="AY134" s="20">
        <f t="shared" si="63"/>
        <v>3.1399999999999997</v>
      </c>
      <c r="AZ134" s="20">
        <v>1</v>
      </c>
      <c r="BA134" s="221"/>
      <c r="BB134" s="17">
        <v>2.2000000000000002</v>
      </c>
      <c r="BC134" s="17">
        <v>83.5</v>
      </c>
      <c r="BD134" s="17">
        <v>12.1</v>
      </c>
      <c r="BE134" s="222">
        <v>0</v>
      </c>
    </row>
    <row r="135" spans="1:58" s="17" customFormat="1">
      <c r="A135" s="17" t="s">
        <v>592</v>
      </c>
      <c r="B135" s="69" t="s">
        <v>593</v>
      </c>
      <c r="C135" s="70" t="s">
        <v>378</v>
      </c>
      <c r="D135" s="70" t="s">
        <v>60</v>
      </c>
      <c r="E135" s="17" t="s">
        <v>280</v>
      </c>
      <c r="G135" s="17" t="s">
        <v>300</v>
      </c>
      <c r="H135" s="17" t="s">
        <v>379</v>
      </c>
      <c r="J135" s="17">
        <v>0</v>
      </c>
      <c r="K135" s="17">
        <v>45</v>
      </c>
      <c r="L135" s="17" t="s">
        <v>64</v>
      </c>
      <c r="M135" s="17" t="s">
        <v>65</v>
      </c>
      <c r="N135" s="17" t="s">
        <v>390</v>
      </c>
      <c r="O135" s="17" t="s">
        <v>384</v>
      </c>
      <c r="P135" s="17">
        <v>0</v>
      </c>
      <c r="Q135" s="17" t="s">
        <v>381</v>
      </c>
      <c r="R135" s="124">
        <f t="shared" si="59"/>
        <v>2.2494887525562373</v>
      </c>
      <c r="S135" s="71">
        <f t="shared" si="59"/>
        <v>85.378323108384464</v>
      </c>
      <c r="T135" s="71">
        <f t="shared" si="59"/>
        <v>12.372188139059306</v>
      </c>
      <c r="U135" s="71">
        <f t="shared" si="59"/>
        <v>0</v>
      </c>
      <c r="V135" s="124">
        <v>28.6</v>
      </c>
      <c r="W135" s="152">
        <f t="shared" si="65"/>
        <v>71.400000000000006</v>
      </c>
      <c r="X135" s="72">
        <v>27.3</v>
      </c>
      <c r="Y135" s="72">
        <f t="shared" si="60"/>
        <v>69.7</v>
      </c>
      <c r="Z135" s="72">
        <v>3</v>
      </c>
      <c r="AA135" s="161" t="s">
        <v>158</v>
      </c>
      <c r="AB135" s="72" t="e">
        <f t="shared" si="64"/>
        <v>#VALUE!</v>
      </c>
      <c r="AC135" s="125" t="s">
        <v>158</v>
      </c>
      <c r="AD135" s="72">
        <v>0</v>
      </c>
      <c r="AE135" s="72">
        <v>0</v>
      </c>
      <c r="AF135" s="125">
        <v>0</v>
      </c>
      <c r="AG135" s="17" t="s">
        <v>69</v>
      </c>
      <c r="AH135" s="18" t="s">
        <v>333</v>
      </c>
      <c r="AI135" s="198" t="s">
        <v>591</v>
      </c>
      <c r="AJ135" s="73"/>
      <c r="AN135" s="20"/>
      <c r="AO135" s="20"/>
      <c r="AP135" s="20"/>
      <c r="AQ135" s="237" t="s">
        <v>89</v>
      </c>
      <c r="AR135" s="221"/>
      <c r="AS135" s="17" t="s">
        <v>90</v>
      </c>
      <c r="AT135" s="17" t="s">
        <v>90</v>
      </c>
      <c r="AU135" s="17" t="s">
        <v>90</v>
      </c>
      <c r="AV135" s="222" t="s">
        <v>90</v>
      </c>
      <c r="AW135" s="20">
        <f t="shared" si="66"/>
        <v>3.5903200000000002</v>
      </c>
      <c r="AX135" s="20">
        <f t="shared" si="61"/>
        <v>3.39575</v>
      </c>
      <c r="AY135" s="20">
        <f t="shared" si="63"/>
        <v>3.1399999999999997</v>
      </c>
      <c r="AZ135" s="20">
        <v>1</v>
      </c>
      <c r="BA135" s="221"/>
      <c r="BB135" s="17">
        <v>2.2000000000000002</v>
      </c>
      <c r="BC135" s="17">
        <v>83.5</v>
      </c>
      <c r="BD135" s="17">
        <v>12.1</v>
      </c>
      <c r="BE135" s="222">
        <v>0</v>
      </c>
    </row>
    <row r="136" spans="1:58" s="17" customFormat="1">
      <c r="A136" s="17" t="s">
        <v>594</v>
      </c>
      <c r="B136" s="69" t="s">
        <v>595</v>
      </c>
      <c r="C136" s="70" t="s">
        <v>378</v>
      </c>
      <c r="D136" s="70" t="s">
        <v>60</v>
      </c>
      <c r="E136" s="17" t="s">
        <v>61</v>
      </c>
      <c r="G136" s="17" t="s">
        <v>300</v>
      </c>
      <c r="H136" s="17" t="s">
        <v>379</v>
      </c>
      <c r="J136" s="17">
        <v>0</v>
      </c>
      <c r="K136" s="17">
        <v>1000</v>
      </c>
      <c r="L136" s="17" t="s">
        <v>64</v>
      </c>
      <c r="M136" s="17" t="s">
        <v>387</v>
      </c>
      <c r="N136" s="17" t="s">
        <v>390</v>
      </c>
      <c r="O136" s="17" t="s">
        <v>384</v>
      </c>
      <c r="P136" s="17">
        <v>0</v>
      </c>
      <c r="Q136" s="17" t="s">
        <v>381</v>
      </c>
      <c r="R136" s="124">
        <f t="shared" si="59"/>
        <v>2.2494887525562373</v>
      </c>
      <c r="S136" s="71">
        <f t="shared" si="59"/>
        <v>85.378323108384464</v>
      </c>
      <c r="T136" s="71">
        <f t="shared" si="59"/>
        <v>12.372188139059306</v>
      </c>
      <c r="U136" s="71">
        <f t="shared" si="59"/>
        <v>0</v>
      </c>
      <c r="V136" s="124">
        <v>28.6</v>
      </c>
      <c r="W136" s="152">
        <f t="shared" si="65"/>
        <v>71.400000000000006</v>
      </c>
      <c r="X136" s="72">
        <v>27.3</v>
      </c>
      <c r="Y136" s="72">
        <f t="shared" si="60"/>
        <v>69.7</v>
      </c>
      <c r="Z136" s="72">
        <v>3</v>
      </c>
      <c r="AA136" s="161" t="s">
        <v>158</v>
      </c>
      <c r="AB136" s="72" t="e">
        <f t="shared" si="64"/>
        <v>#VALUE!</v>
      </c>
      <c r="AC136" s="125" t="s">
        <v>158</v>
      </c>
      <c r="AD136" s="72">
        <v>0</v>
      </c>
      <c r="AE136" s="72">
        <v>0</v>
      </c>
      <c r="AF136" s="125">
        <v>0</v>
      </c>
      <c r="AG136" s="17" t="s">
        <v>69</v>
      </c>
      <c r="AH136" s="18" t="s">
        <v>333</v>
      </c>
      <c r="AI136" s="198" t="s">
        <v>591</v>
      </c>
      <c r="AJ136" s="73"/>
      <c r="AN136" s="20"/>
      <c r="AO136" s="20"/>
      <c r="AP136" s="20"/>
      <c r="AQ136" s="237" t="s">
        <v>89</v>
      </c>
      <c r="AR136" s="221"/>
      <c r="AS136" s="17" t="s">
        <v>90</v>
      </c>
      <c r="AT136" s="17" t="s">
        <v>90</v>
      </c>
      <c r="AU136" s="17" t="s">
        <v>90</v>
      </c>
      <c r="AV136" s="222" t="s">
        <v>90</v>
      </c>
      <c r="AW136" s="20">
        <f t="shared" si="66"/>
        <v>3.5903200000000002</v>
      </c>
      <c r="AX136" s="20">
        <f t="shared" si="61"/>
        <v>3.39575</v>
      </c>
      <c r="AY136" s="20">
        <f t="shared" si="63"/>
        <v>3.1399999999999997</v>
      </c>
      <c r="AZ136" s="20">
        <v>1</v>
      </c>
      <c r="BA136" s="221"/>
      <c r="BB136" s="17">
        <v>2.2000000000000002</v>
      </c>
      <c r="BC136" s="17">
        <v>83.5</v>
      </c>
      <c r="BD136" s="17">
        <v>12.1</v>
      </c>
      <c r="BE136" s="222">
        <v>0</v>
      </c>
    </row>
    <row r="137" spans="1:58" s="17" customFormat="1" ht="14.4">
      <c r="A137" s="17" t="s">
        <v>596</v>
      </c>
      <c r="B137" s="70" t="s">
        <v>597</v>
      </c>
      <c r="C137" s="70" t="s">
        <v>378</v>
      </c>
      <c r="D137" s="70" t="s">
        <v>60</v>
      </c>
      <c r="E137" s="17" t="s">
        <v>61</v>
      </c>
      <c r="G137" s="17" t="s">
        <v>300</v>
      </c>
      <c r="H137" s="17" t="s">
        <v>379</v>
      </c>
      <c r="J137" s="17">
        <v>0</v>
      </c>
      <c r="K137" s="17">
        <v>0</v>
      </c>
      <c r="M137" s="17" t="s">
        <v>187</v>
      </c>
      <c r="N137" s="17" t="s">
        <v>339</v>
      </c>
      <c r="O137" s="17" t="s">
        <v>380</v>
      </c>
      <c r="P137" s="17">
        <v>0</v>
      </c>
      <c r="Q137" s="17" t="s">
        <v>381</v>
      </c>
      <c r="R137" s="124">
        <f t="shared" si="59"/>
        <v>4.6653144016227177</v>
      </c>
      <c r="S137" s="71">
        <f t="shared" si="59"/>
        <v>85.294117647058826</v>
      </c>
      <c r="T137" s="71">
        <f t="shared" si="59"/>
        <v>4.9695740365111565</v>
      </c>
      <c r="U137" s="71">
        <f t="shared" si="59"/>
        <v>5.0709939148073024</v>
      </c>
      <c r="V137" s="124">
        <v>33.5</v>
      </c>
      <c r="W137" s="152">
        <f t="shared" si="65"/>
        <v>66.5</v>
      </c>
      <c r="X137" s="72">
        <v>27.8</v>
      </c>
      <c r="Y137" s="72">
        <f t="shared" si="60"/>
        <v>69.5</v>
      </c>
      <c r="Z137" s="72">
        <v>2.7</v>
      </c>
      <c r="AA137" s="161" t="s">
        <v>158</v>
      </c>
      <c r="AB137" s="72" t="e">
        <f t="shared" si="64"/>
        <v>#VALUE!</v>
      </c>
      <c r="AC137" s="125" t="s">
        <v>158</v>
      </c>
      <c r="AD137" s="72">
        <v>95.7</v>
      </c>
      <c r="AE137" s="72">
        <f t="shared" ref="AE137:AE142" si="67">100 - $AD137 - $AF137</f>
        <v>4.2999999999999972</v>
      </c>
      <c r="AF137" s="125">
        <v>0</v>
      </c>
      <c r="AG137" s="17" t="s">
        <v>69</v>
      </c>
      <c r="AH137" s="199" t="s">
        <v>333</v>
      </c>
      <c r="AI137" s="198" t="s">
        <v>591</v>
      </c>
      <c r="AJ137" s="73"/>
      <c r="AN137" s="20"/>
      <c r="AO137" s="20"/>
      <c r="AP137" s="20"/>
      <c r="AQ137" s="237" t="s">
        <v>89</v>
      </c>
      <c r="AR137" s="231"/>
      <c r="AS137" s="17" t="s">
        <v>90</v>
      </c>
      <c r="AT137" s="17" t="s">
        <v>90</v>
      </c>
      <c r="AU137" s="17" t="s">
        <v>90</v>
      </c>
      <c r="AV137" s="222" t="s">
        <v>90</v>
      </c>
      <c r="AW137" s="20">
        <f t="shared" si="66"/>
        <v>3.6452</v>
      </c>
      <c r="AX137" s="20">
        <f t="shared" si="61"/>
        <v>3.4004000000000003</v>
      </c>
      <c r="AY137" s="20">
        <f t="shared" si="63"/>
        <v>3.1399999999999997</v>
      </c>
      <c r="AZ137" s="20">
        <f t="shared" ref="AZ137:AZ142" si="68">AD137*$AC$2+AE137*$AD$2+AF137*$AE$2</f>
        <v>2.7252700000000001</v>
      </c>
      <c r="BA137" s="221"/>
      <c r="BB137" s="17">
        <v>4.5999999999999996</v>
      </c>
      <c r="BC137" s="17">
        <v>84.1</v>
      </c>
      <c r="BD137" s="17">
        <v>4.9000000000000004</v>
      </c>
      <c r="BE137" s="222">
        <v>5</v>
      </c>
    </row>
    <row r="138" spans="1:58" s="17" customFormat="1" ht="14.4">
      <c r="A138" s="17" t="s">
        <v>598</v>
      </c>
      <c r="B138" s="69" t="s">
        <v>599</v>
      </c>
      <c r="C138" s="70" t="s">
        <v>378</v>
      </c>
      <c r="D138" s="70" t="s">
        <v>60</v>
      </c>
      <c r="E138" s="17" t="s">
        <v>280</v>
      </c>
      <c r="G138" s="17" t="s">
        <v>300</v>
      </c>
      <c r="H138" s="17" t="s">
        <v>379</v>
      </c>
      <c r="J138" s="17">
        <v>0</v>
      </c>
      <c r="K138" s="17">
        <v>45</v>
      </c>
      <c r="L138" s="17" t="s">
        <v>64</v>
      </c>
      <c r="M138" s="17" t="s">
        <v>65</v>
      </c>
      <c r="N138" s="17" t="s">
        <v>339</v>
      </c>
      <c r="O138" s="17" t="s">
        <v>384</v>
      </c>
      <c r="P138" s="17">
        <v>0</v>
      </c>
      <c r="Q138" s="17" t="s">
        <v>381</v>
      </c>
      <c r="R138" s="124">
        <f t="shared" si="59"/>
        <v>4.6653144016227177</v>
      </c>
      <c r="S138" s="71">
        <f t="shared" si="59"/>
        <v>85.294117647058826</v>
      </c>
      <c r="T138" s="71">
        <f t="shared" si="59"/>
        <v>4.9695740365111565</v>
      </c>
      <c r="U138" s="71">
        <f t="shared" si="59"/>
        <v>5.0709939148073024</v>
      </c>
      <c r="V138" s="124">
        <v>33.5</v>
      </c>
      <c r="W138" s="152">
        <f t="shared" si="65"/>
        <v>66.5</v>
      </c>
      <c r="X138" s="72">
        <v>27.8</v>
      </c>
      <c r="Y138" s="72">
        <f t="shared" si="60"/>
        <v>69.5</v>
      </c>
      <c r="Z138" s="72">
        <v>2.7</v>
      </c>
      <c r="AA138" s="161" t="s">
        <v>158</v>
      </c>
      <c r="AB138" s="72" t="e">
        <f t="shared" si="64"/>
        <v>#VALUE!</v>
      </c>
      <c r="AC138" s="125" t="s">
        <v>158</v>
      </c>
      <c r="AD138" s="72">
        <v>95.7</v>
      </c>
      <c r="AE138" s="72">
        <f t="shared" si="67"/>
        <v>4.2999999999999972</v>
      </c>
      <c r="AF138" s="125">
        <v>0</v>
      </c>
      <c r="AG138" s="17" t="s">
        <v>69</v>
      </c>
      <c r="AH138" s="199" t="s">
        <v>333</v>
      </c>
      <c r="AI138" s="198" t="s">
        <v>591</v>
      </c>
      <c r="AJ138" s="73"/>
      <c r="AN138" s="20"/>
      <c r="AO138" s="20"/>
      <c r="AP138" s="20"/>
      <c r="AQ138" s="237" t="s">
        <v>89</v>
      </c>
      <c r="AR138" s="231"/>
      <c r="AS138" s="17" t="s">
        <v>90</v>
      </c>
      <c r="AT138" s="17" t="s">
        <v>90</v>
      </c>
      <c r="AU138" s="17" t="s">
        <v>90</v>
      </c>
      <c r="AV138" s="222" t="s">
        <v>90</v>
      </c>
      <c r="AW138" s="20">
        <f t="shared" si="66"/>
        <v>3.6452</v>
      </c>
      <c r="AX138" s="20">
        <f t="shared" si="61"/>
        <v>3.4004000000000003</v>
      </c>
      <c r="AY138" s="20">
        <f t="shared" si="63"/>
        <v>3.1399999999999997</v>
      </c>
      <c r="AZ138" s="20">
        <f t="shared" si="68"/>
        <v>2.7252700000000001</v>
      </c>
      <c r="BA138" s="221"/>
      <c r="BB138" s="17">
        <v>4.5999999999999996</v>
      </c>
      <c r="BC138" s="17">
        <v>84.1</v>
      </c>
      <c r="BD138" s="17">
        <v>4.9000000000000004</v>
      </c>
      <c r="BE138" s="222">
        <v>5</v>
      </c>
    </row>
    <row r="139" spans="1:58" s="17" customFormat="1" ht="14.4">
      <c r="A139" s="17" t="s">
        <v>600</v>
      </c>
      <c r="B139" s="69" t="s">
        <v>601</v>
      </c>
      <c r="C139" s="70" t="s">
        <v>378</v>
      </c>
      <c r="D139" s="70" t="s">
        <v>60</v>
      </c>
      <c r="E139" s="17" t="s">
        <v>61</v>
      </c>
      <c r="G139" s="17" t="s">
        <v>300</v>
      </c>
      <c r="H139" s="17" t="s">
        <v>379</v>
      </c>
      <c r="J139" s="17">
        <v>0</v>
      </c>
      <c r="K139" s="17">
        <v>1000</v>
      </c>
      <c r="L139" s="17" t="s">
        <v>64</v>
      </c>
      <c r="M139" s="17" t="s">
        <v>387</v>
      </c>
      <c r="N139" s="17" t="s">
        <v>339</v>
      </c>
      <c r="O139" s="17" t="s">
        <v>384</v>
      </c>
      <c r="P139" s="17">
        <v>0</v>
      </c>
      <c r="Q139" s="17" t="s">
        <v>381</v>
      </c>
      <c r="R139" s="124">
        <f t="shared" ref="R139:U158" si="69">BB139/SUMIF($BB139:$BE139, "&lt;&gt;#VALUE!")*100</f>
        <v>4.6653144016227177</v>
      </c>
      <c r="S139" s="71">
        <f t="shared" si="69"/>
        <v>85.294117647058826</v>
      </c>
      <c r="T139" s="71">
        <f t="shared" si="69"/>
        <v>4.9695740365111565</v>
      </c>
      <c r="U139" s="71">
        <f t="shared" si="69"/>
        <v>5.0709939148073024</v>
      </c>
      <c r="V139" s="124">
        <v>33.5</v>
      </c>
      <c r="W139" s="152">
        <f t="shared" si="65"/>
        <v>66.5</v>
      </c>
      <c r="X139" s="72">
        <v>27.8</v>
      </c>
      <c r="Y139" s="72">
        <f t="shared" si="60"/>
        <v>69.5</v>
      </c>
      <c r="Z139" s="72">
        <v>2.7</v>
      </c>
      <c r="AA139" s="161" t="s">
        <v>158</v>
      </c>
      <c r="AB139" s="72" t="e">
        <f t="shared" si="64"/>
        <v>#VALUE!</v>
      </c>
      <c r="AC139" s="125" t="s">
        <v>158</v>
      </c>
      <c r="AD139" s="72">
        <v>95.7</v>
      </c>
      <c r="AE139" s="72">
        <f t="shared" si="67"/>
        <v>4.2999999999999972</v>
      </c>
      <c r="AF139" s="125">
        <v>0</v>
      </c>
      <c r="AG139" s="17" t="s">
        <v>69</v>
      </c>
      <c r="AH139" s="199" t="s">
        <v>333</v>
      </c>
      <c r="AI139" s="198" t="s">
        <v>591</v>
      </c>
      <c r="AJ139" s="73"/>
      <c r="AN139" s="20"/>
      <c r="AO139" s="20"/>
      <c r="AP139" s="20"/>
      <c r="AQ139" s="237" t="s">
        <v>89</v>
      </c>
      <c r="AR139" s="231"/>
      <c r="AS139" s="17" t="s">
        <v>90</v>
      </c>
      <c r="AT139" s="17" t="s">
        <v>90</v>
      </c>
      <c r="AU139" s="17" t="s">
        <v>90</v>
      </c>
      <c r="AV139" s="222" t="s">
        <v>90</v>
      </c>
      <c r="AW139" s="20">
        <f t="shared" si="66"/>
        <v>3.6452</v>
      </c>
      <c r="AX139" s="20">
        <f t="shared" si="61"/>
        <v>3.4004000000000003</v>
      </c>
      <c r="AY139" s="20">
        <f t="shared" si="63"/>
        <v>3.1399999999999997</v>
      </c>
      <c r="AZ139" s="20">
        <f t="shared" si="68"/>
        <v>2.7252700000000001</v>
      </c>
      <c r="BA139" s="221"/>
      <c r="BB139" s="17">
        <v>4.5999999999999996</v>
      </c>
      <c r="BC139" s="17">
        <v>84.1</v>
      </c>
      <c r="BD139" s="17">
        <v>4.9000000000000004</v>
      </c>
      <c r="BE139" s="222">
        <v>5</v>
      </c>
    </row>
    <row r="140" spans="1:58" s="17" customFormat="1" ht="14.4">
      <c r="A140" s="17" t="s">
        <v>602</v>
      </c>
      <c r="B140" s="70" t="s">
        <v>603</v>
      </c>
      <c r="C140" s="70" t="s">
        <v>378</v>
      </c>
      <c r="D140" s="70" t="s">
        <v>60</v>
      </c>
      <c r="E140" s="17" t="s">
        <v>61</v>
      </c>
      <c r="G140" s="17" t="s">
        <v>300</v>
      </c>
      <c r="H140" s="17" t="s">
        <v>379</v>
      </c>
      <c r="J140" s="17">
        <v>0</v>
      </c>
      <c r="K140" s="17">
        <v>0</v>
      </c>
      <c r="M140" s="17" t="s">
        <v>187</v>
      </c>
      <c r="N140" s="17" t="s">
        <v>562</v>
      </c>
      <c r="O140" s="17" t="s">
        <v>380</v>
      </c>
      <c r="P140" s="17">
        <v>0</v>
      </c>
      <c r="Q140" s="17" t="s">
        <v>381</v>
      </c>
      <c r="R140" s="124">
        <f t="shared" si="69"/>
        <v>18.649193548387096</v>
      </c>
      <c r="S140" s="71">
        <f t="shared" si="69"/>
        <v>80.040322580645167</v>
      </c>
      <c r="T140" s="71">
        <f t="shared" si="69"/>
        <v>1.0080645161290323</v>
      </c>
      <c r="U140" s="71">
        <f t="shared" si="69"/>
        <v>0.30241935483870969</v>
      </c>
      <c r="V140" s="124">
        <v>27.3</v>
      </c>
      <c r="W140" s="152">
        <f t="shared" si="65"/>
        <v>72.7</v>
      </c>
      <c r="X140" s="72">
        <v>22.6</v>
      </c>
      <c r="Y140" s="72">
        <f t="shared" si="60"/>
        <v>75.5</v>
      </c>
      <c r="Z140" s="72">
        <v>1.9</v>
      </c>
      <c r="AA140" s="161" t="s">
        <v>158</v>
      </c>
      <c r="AB140" s="72" t="e">
        <f t="shared" si="64"/>
        <v>#VALUE!</v>
      </c>
      <c r="AC140" s="125" t="s">
        <v>158</v>
      </c>
      <c r="AD140" s="72">
        <v>91</v>
      </c>
      <c r="AE140" s="72">
        <f t="shared" si="67"/>
        <v>8.6</v>
      </c>
      <c r="AF140" s="125">
        <v>0.4</v>
      </c>
      <c r="AG140" s="17" t="s">
        <v>69</v>
      </c>
      <c r="AH140" s="18" t="s">
        <v>333</v>
      </c>
      <c r="AI140" s="73"/>
      <c r="AJ140" s="73"/>
      <c r="AN140" s="20"/>
      <c r="AO140" s="20"/>
      <c r="AP140" s="20"/>
      <c r="AQ140" s="237" t="s">
        <v>89</v>
      </c>
      <c r="AR140" s="231"/>
      <c r="AS140" s="17" t="s">
        <v>90</v>
      </c>
      <c r="AT140" s="17" t="s">
        <v>90</v>
      </c>
      <c r="AU140" s="17" t="s">
        <v>90</v>
      </c>
      <c r="AV140" s="222" t="s">
        <v>90</v>
      </c>
      <c r="AW140" s="20">
        <f t="shared" si="66"/>
        <v>3.5757599999999998</v>
      </c>
      <c r="AX140" s="20">
        <f t="shared" si="61"/>
        <v>3.3637999999999999</v>
      </c>
      <c r="AY140" s="20">
        <f t="shared" si="63"/>
        <v>3.1399999999999997</v>
      </c>
      <c r="AZ140" s="20">
        <f t="shared" si="68"/>
        <v>2.7198600000000002</v>
      </c>
      <c r="BA140" s="221"/>
      <c r="BB140" s="17">
        <v>18.5</v>
      </c>
      <c r="BC140" s="17">
        <v>79.400000000000006</v>
      </c>
      <c r="BD140" s="17">
        <v>1</v>
      </c>
      <c r="BE140" s="222">
        <v>0.3</v>
      </c>
    </row>
    <row r="141" spans="1:58" s="17" customFormat="1">
      <c r="A141" s="17" t="s">
        <v>604</v>
      </c>
      <c r="B141" s="69" t="s">
        <v>605</v>
      </c>
      <c r="C141" s="70" t="s">
        <v>378</v>
      </c>
      <c r="D141" s="70" t="s">
        <v>60</v>
      </c>
      <c r="E141" s="17" t="s">
        <v>280</v>
      </c>
      <c r="G141" s="17" t="s">
        <v>300</v>
      </c>
      <c r="H141" s="17" t="s">
        <v>379</v>
      </c>
      <c r="J141" s="17">
        <v>0</v>
      </c>
      <c r="K141" s="17">
        <v>45</v>
      </c>
      <c r="L141" s="17" t="s">
        <v>64</v>
      </c>
      <c r="M141" s="17" t="s">
        <v>65</v>
      </c>
      <c r="N141" s="17" t="s">
        <v>562</v>
      </c>
      <c r="O141" s="17" t="s">
        <v>384</v>
      </c>
      <c r="P141" s="17">
        <v>0</v>
      </c>
      <c r="Q141" s="17" t="s">
        <v>381</v>
      </c>
      <c r="R141" s="124">
        <f t="shared" si="69"/>
        <v>18.649193548387096</v>
      </c>
      <c r="S141" s="71">
        <f t="shared" si="69"/>
        <v>80.040322580645167</v>
      </c>
      <c r="T141" s="71">
        <f t="shared" si="69"/>
        <v>1.0080645161290323</v>
      </c>
      <c r="U141" s="71">
        <f t="shared" si="69"/>
        <v>0.30241935483870969</v>
      </c>
      <c r="V141" s="124">
        <v>27.3</v>
      </c>
      <c r="W141" s="152">
        <f t="shared" si="65"/>
        <v>72.7</v>
      </c>
      <c r="X141" s="72">
        <v>22.6</v>
      </c>
      <c r="Y141" s="72">
        <f t="shared" si="60"/>
        <v>75.5</v>
      </c>
      <c r="Z141" s="72">
        <v>1.9</v>
      </c>
      <c r="AA141" s="161" t="s">
        <v>158</v>
      </c>
      <c r="AB141" s="72" t="e">
        <f t="shared" si="64"/>
        <v>#VALUE!</v>
      </c>
      <c r="AC141" s="125" t="s">
        <v>158</v>
      </c>
      <c r="AD141" s="72">
        <v>91</v>
      </c>
      <c r="AE141" s="72">
        <f t="shared" si="67"/>
        <v>8.6</v>
      </c>
      <c r="AF141" s="125">
        <v>0.4</v>
      </c>
      <c r="AG141" s="17" t="s">
        <v>69</v>
      </c>
      <c r="AH141" s="18" t="s">
        <v>333</v>
      </c>
      <c r="AI141" s="73"/>
      <c r="AJ141" s="73"/>
      <c r="AN141" s="20"/>
      <c r="AO141" s="20"/>
      <c r="AP141" s="20"/>
      <c r="AQ141" s="237" t="s">
        <v>89</v>
      </c>
      <c r="AR141" s="221"/>
      <c r="AS141" s="17" t="s">
        <v>90</v>
      </c>
      <c r="AT141" s="17" t="s">
        <v>90</v>
      </c>
      <c r="AU141" s="17" t="s">
        <v>90</v>
      </c>
      <c r="AV141" s="222" t="s">
        <v>90</v>
      </c>
      <c r="AW141" s="20">
        <f t="shared" si="66"/>
        <v>3.5757599999999998</v>
      </c>
      <c r="AX141" s="20">
        <f t="shared" si="61"/>
        <v>3.3637999999999999</v>
      </c>
      <c r="AY141" s="20">
        <f t="shared" si="63"/>
        <v>3.1399999999999997</v>
      </c>
      <c r="AZ141" s="20">
        <f t="shared" si="68"/>
        <v>2.7198600000000002</v>
      </c>
      <c r="BA141" s="221"/>
      <c r="BB141" s="17">
        <v>18.5</v>
      </c>
      <c r="BC141" s="17">
        <v>79.400000000000006</v>
      </c>
      <c r="BD141" s="17">
        <v>1</v>
      </c>
      <c r="BE141" s="222">
        <v>0.3</v>
      </c>
    </row>
    <row r="142" spans="1:58" s="17" customFormat="1">
      <c r="A142" s="17" t="s">
        <v>606</v>
      </c>
      <c r="B142" s="69" t="s">
        <v>607</v>
      </c>
      <c r="C142" s="70" t="s">
        <v>378</v>
      </c>
      <c r="D142" s="70" t="s">
        <v>60</v>
      </c>
      <c r="E142" s="17" t="s">
        <v>61</v>
      </c>
      <c r="G142" s="17" t="s">
        <v>300</v>
      </c>
      <c r="H142" s="17" t="s">
        <v>379</v>
      </c>
      <c r="J142" s="17">
        <v>0</v>
      </c>
      <c r="K142" s="17">
        <v>1000</v>
      </c>
      <c r="L142" s="17" t="s">
        <v>64</v>
      </c>
      <c r="M142" s="17" t="s">
        <v>387</v>
      </c>
      <c r="N142" s="17" t="s">
        <v>562</v>
      </c>
      <c r="O142" s="17" t="s">
        <v>384</v>
      </c>
      <c r="P142" s="17">
        <v>0</v>
      </c>
      <c r="Q142" s="17" t="s">
        <v>381</v>
      </c>
      <c r="R142" s="124">
        <f t="shared" si="69"/>
        <v>18.649193548387096</v>
      </c>
      <c r="S142" s="71">
        <f t="shared" si="69"/>
        <v>80.040322580645167</v>
      </c>
      <c r="T142" s="71">
        <f t="shared" si="69"/>
        <v>1.0080645161290323</v>
      </c>
      <c r="U142" s="71">
        <f t="shared" si="69"/>
        <v>0.30241935483870969</v>
      </c>
      <c r="V142" s="124">
        <v>27.3</v>
      </c>
      <c r="W142" s="152">
        <f t="shared" si="65"/>
        <v>72.7</v>
      </c>
      <c r="X142" s="72">
        <v>22.6</v>
      </c>
      <c r="Y142" s="72">
        <f t="shared" si="60"/>
        <v>75.5</v>
      </c>
      <c r="Z142" s="72">
        <v>1.9</v>
      </c>
      <c r="AA142" s="161" t="s">
        <v>158</v>
      </c>
      <c r="AB142" s="72" t="e">
        <f t="shared" si="64"/>
        <v>#VALUE!</v>
      </c>
      <c r="AC142" s="125" t="s">
        <v>158</v>
      </c>
      <c r="AD142" s="72">
        <v>91</v>
      </c>
      <c r="AE142" s="72">
        <f t="shared" si="67"/>
        <v>8.6</v>
      </c>
      <c r="AF142" s="125">
        <v>0.4</v>
      </c>
      <c r="AG142" s="17" t="s">
        <v>69</v>
      </c>
      <c r="AH142" s="18" t="s">
        <v>333</v>
      </c>
      <c r="AI142" s="73"/>
      <c r="AJ142" s="73"/>
      <c r="AN142" s="20"/>
      <c r="AO142" s="20"/>
      <c r="AP142" s="20"/>
      <c r="AQ142" s="237" t="s">
        <v>89</v>
      </c>
      <c r="AR142" s="221"/>
      <c r="AS142" s="17" t="s">
        <v>90</v>
      </c>
      <c r="AT142" s="17" t="s">
        <v>90</v>
      </c>
      <c r="AU142" s="17" t="s">
        <v>90</v>
      </c>
      <c r="AV142" s="222" t="s">
        <v>90</v>
      </c>
      <c r="AW142" s="20">
        <f t="shared" si="66"/>
        <v>3.5757599999999998</v>
      </c>
      <c r="AX142" s="20">
        <f t="shared" si="61"/>
        <v>3.3637999999999999</v>
      </c>
      <c r="AY142" s="20">
        <f t="shared" si="63"/>
        <v>3.1399999999999997</v>
      </c>
      <c r="AZ142" s="20">
        <f t="shared" si="68"/>
        <v>2.7198600000000002</v>
      </c>
      <c r="BA142" s="221"/>
      <c r="BB142" s="17">
        <v>18.5</v>
      </c>
      <c r="BC142" s="17">
        <v>79.400000000000006</v>
      </c>
      <c r="BD142" s="17">
        <v>1</v>
      </c>
      <c r="BE142" s="222">
        <v>0.3</v>
      </c>
    </row>
    <row r="143" spans="1:58" s="17" customFormat="1" ht="14.4">
      <c r="A143" s="17" t="s">
        <v>608</v>
      </c>
      <c r="B143" s="70" t="s">
        <v>609</v>
      </c>
      <c r="C143" s="70" t="s">
        <v>378</v>
      </c>
      <c r="D143" s="70" t="s">
        <v>60</v>
      </c>
      <c r="E143" s="17" t="s">
        <v>61</v>
      </c>
      <c r="G143" s="17" t="s">
        <v>300</v>
      </c>
      <c r="H143" s="17" t="s">
        <v>379</v>
      </c>
      <c r="J143" s="17">
        <v>0</v>
      </c>
      <c r="K143" s="17">
        <v>0</v>
      </c>
      <c r="M143" s="17" t="s">
        <v>187</v>
      </c>
      <c r="N143" s="17" t="s">
        <v>409</v>
      </c>
      <c r="O143" s="17" t="s">
        <v>384</v>
      </c>
      <c r="P143" s="17">
        <v>0</v>
      </c>
      <c r="Q143" s="17" t="s">
        <v>381</v>
      </c>
      <c r="R143" s="124">
        <f t="shared" si="69"/>
        <v>1.3052208835341366</v>
      </c>
      <c r="S143" s="71">
        <f t="shared" si="69"/>
        <v>89.959839357429715</v>
      </c>
      <c r="T143" s="71">
        <f t="shared" si="69"/>
        <v>8.7349397590361448</v>
      </c>
      <c r="U143" s="71">
        <f t="shared" si="69"/>
        <v>0</v>
      </c>
      <c r="V143" s="124">
        <v>27</v>
      </c>
      <c r="W143" s="152">
        <f t="shared" si="65"/>
        <v>73</v>
      </c>
      <c r="X143" s="72">
        <v>25.3</v>
      </c>
      <c r="Y143" s="72">
        <f t="shared" si="60"/>
        <v>71.8</v>
      </c>
      <c r="Z143" s="72">
        <v>2.9</v>
      </c>
      <c r="AA143" s="161" t="s">
        <v>158</v>
      </c>
      <c r="AB143" s="72" t="e">
        <f t="shared" si="64"/>
        <v>#VALUE!</v>
      </c>
      <c r="AC143" s="125" t="s">
        <v>158</v>
      </c>
      <c r="AD143" s="72">
        <v>0</v>
      </c>
      <c r="AE143" s="72">
        <v>0</v>
      </c>
      <c r="AF143" s="125">
        <v>0</v>
      </c>
      <c r="AG143" s="17" t="s">
        <v>69</v>
      </c>
      <c r="AH143" s="18" t="s">
        <v>333</v>
      </c>
      <c r="AI143" s="199" t="s">
        <v>591</v>
      </c>
      <c r="AJ143" s="73"/>
      <c r="AN143" s="20"/>
      <c r="AO143" s="20"/>
      <c r="AP143" s="20"/>
      <c r="AQ143" s="237" t="s">
        <v>89</v>
      </c>
      <c r="AR143" s="231"/>
      <c r="AS143" s="17" t="s">
        <v>90</v>
      </c>
      <c r="AT143" s="17" t="s">
        <v>90</v>
      </c>
      <c r="AU143" s="17" t="s">
        <v>90</v>
      </c>
      <c r="AV143" s="222" t="s">
        <v>90</v>
      </c>
      <c r="AW143" s="20">
        <f t="shared" si="66"/>
        <v>3.5723999999999996</v>
      </c>
      <c r="AX143" s="20">
        <f t="shared" si="61"/>
        <v>3.3810500000000001</v>
      </c>
      <c r="AY143" s="20">
        <f t="shared" si="63"/>
        <v>3.1399999999999997</v>
      </c>
      <c r="AZ143" s="20">
        <v>1</v>
      </c>
      <c r="BA143" s="221"/>
      <c r="BB143" s="17">
        <v>1.3</v>
      </c>
      <c r="BC143" s="17">
        <v>89.6</v>
      </c>
      <c r="BD143" s="17">
        <v>8.6999999999999993</v>
      </c>
      <c r="BE143" s="222">
        <v>0</v>
      </c>
    </row>
    <row r="144" spans="1:58" s="17" customFormat="1">
      <c r="A144" s="17" t="s">
        <v>610</v>
      </c>
      <c r="B144" s="69" t="s">
        <v>611</v>
      </c>
      <c r="C144" s="70" t="s">
        <v>378</v>
      </c>
      <c r="D144" s="70" t="s">
        <v>60</v>
      </c>
      <c r="E144" s="17" t="s">
        <v>280</v>
      </c>
      <c r="G144" s="17" t="s">
        <v>300</v>
      </c>
      <c r="H144" s="17" t="s">
        <v>379</v>
      </c>
      <c r="J144" s="17">
        <v>0</v>
      </c>
      <c r="K144" s="17">
        <v>45</v>
      </c>
      <c r="L144" s="17" t="s">
        <v>64</v>
      </c>
      <c r="M144" s="17" t="s">
        <v>65</v>
      </c>
      <c r="N144" s="17" t="s">
        <v>409</v>
      </c>
      <c r="O144" s="17" t="s">
        <v>384</v>
      </c>
      <c r="P144" s="17">
        <v>0</v>
      </c>
      <c r="Q144" s="17" t="s">
        <v>381</v>
      </c>
      <c r="R144" s="124">
        <f t="shared" si="69"/>
        <v>1.3052208835341366</v>
      </c>
      <c r="S144" s="71">
        <f t="shared" si="69"/>
        <v>89.959839357429715</v>
      </c>
      <c r="T144" s="71">
        <f t="shared" si="69"/>
        <v>8.7349397590361448</v>
      </c>
      <c r="U144" s="71">
        <f t="shared" si="69"/>
        <v>0</v>
      </c>
      <c r="V144" s="124">
        <v>27</v>
      </c>
      <c r="W144" s="152">
        <f t="shared" si="65"/>
        <v>73</v>
      </c>
      <c r="X144" s="72">
        <v>25.3</v>
      </c>
      <c r="Y144" s="72">
        <f t="shared" si="60"/>
        <v>71.8</v>
      </c>
      <c r="Z144" s="72">
        <v>2.9</v>
      </c>
      <c r="AA144" s="161" t="s">
        <v>158</v>
      </c>
      <c r="AB144" s="72" t="e">
        <f t="shared" si="64"/>
        <v>#VALUE!</v>
      </c>
      <c r="AC144" s="125" t="s">
        <v>158</v>
      </c>
      <c r="AD144" s="72">
        <v>0</v>
      </c>
      <c r="AE144" s="72">
        <v>0</v>
      </c>
      <c r="AF144" s="125">
        <v>0</v>
      </c>
      <c r="AG144" s="17" t="s">
        <v>69</v>
      </c>
      <c r="AH144" s="18" t="s">
        <v>333</v>
      </c>
      <c r="AI144" s="199" t="s">
        <v>591</v>
      </c>
      <c r="AJ144" s="73"/>
      <c r="AN144" s="20"/>
      <c r="AO144" s="20"/>
      <c r="AP144" s="20"/>
      <c r="AQ144" s="237" t="s">
        <v>89</v>
      </c>
      <c r="AR144" s="221"/>
      <c r="AS144" s="17" t="s">
        <v>90</v>
      </c>
      <c r="AT144" s="17" t="s">
        <v>90</v>
      </c>
      <c r="AU144" s="17" t="s">
        <v>90</v>
      </c>
      <c r="AV144" s="222" t="s">
        <v>90</v>
      </c>
      <c r="AW144" s="20">
        <f t="shared" si="66"/>
        <v>3.5723999999999996</v>
      </c>
      <c r="AX144" s="20">
        <f t="shared" si="61"/>
        <v>3.3810500000000001</v>
      </c>
      <c r="AY144" s="20">
        <f t="shared" si="63"/>
        <v>3.1399999999999997</v>
      </c>
      <c r="AZ144" s="20">
        <v>1</v>
      </c>
      <c r="BA144" s="221"/>
      <c r="BB144" s="17">
        <v>1.3</v>
      </c>
      <c r="BC144" s="17">
        <v>89.6</v>
      </c>
      <c r="BD144" s="17">
        <v>8.6999999999999993</v>
      </c>
      <c r="BE144" s="222">
        <v>0</v>
      </c>
    </row>
    <row r="145" spans="1:57" s="17" customFormat="1">
      <c r="A145" s="17" t="s">
        <v>612</v>
      </c>
      <c r="B145" s="70" t="s">
        <v>613</v>
      </c>
      <c r="C145" s="70" t="s">
        <v>378</v>
      </c>
      <c r="D145" s="70" t="s">
        <v>60</v>
      </c>
      <c r="E145" s="17" t="s">
        <v>61</v>
      </c>
      <c r="G145" s="17" t="s">
        <v>300</v>
      </c>
      <c r="H145" s="17" t="s">
        <v>379</v>
      </c>
      <c r="J145" s="17">
        <v>0</v>
      </c>
      <c r="K145" s="17">
        <v>1000</v>
      </c>
      <c r="L145" s="17" t="s">
        <v>64</v>
      </c>
      <c r="M145" s="17" t="s">
        <v>387</v>
      </c>
      <c r="N145" s="17" t="s">
        <v>409</v>
      </c>
      <c r="O145" s="17" t="s">
        <v>384</v>
      </c>
      <c r="P145" s="17">
        <v>0</v>
      </c>
      <c r="Q145" s="17" t="s">
        <v>381</v>
      </c>
      <c r="R145" s="124">
        <f t="shared" si="69"/>
        <v>1.3052208835341366</v>
      </c>
      <c r="S145" s="71">
        <f t="shared" si="69"/>
        <v>89.959839357429715</v>
      </c>
      <c r="T145" s="71">
        <f t="shared" si="69"/>
        <v>8.7349397590361448</v>
      </c>
      <c r="U145" s="71">
        <f t="shared" si="69"/>
        <v>0</v>
      </c>
      <c r="V145" s="124">
        <v>27</v>
      </c>
      <c r="W145" s="152">
        <f t="shared" si="65"/>
        <v>73</v>
      </c>
      <c r="X145" s="72">
        <v>25.3</v>
      </c>
      <c r="Y145" s="72">
        <f t="shared" si="60"/>
        <v>71.8</v>
      </c>
      <c r="Z145" s="72">
        <v>2.9</v>
      </c>
      <c r="AA145" s="161" t="s">
        <v>158</v>
      </c>
      <c r="AB145" s="72" t="e">
        <f t="shared" si="64"/>
        <v>#VALUE!</v>
      </c>
      <c r="AC145" s="125" t="s">
        <v>158</v>
      </c>
      <c r="AD145" s="72">
        <v>0</v>
      </c>
      <c r="AE145" s="72">
        <v>0</v>
      </c>
      <c r="AF145" s="125">
        <v>0</v>
      </c>
      <c r="AG145" s="17" t="s">
        <v>69</v>
      </c>
      <c r="AH145" s="18" t="s">
        <v>333</v>
      </c>
      <c r="AI145" s="199" t="s">
        <v>591</v>
      </c>
      <c r="AJ145" s="73"/>
      <c r="AN145" s="20"/>
      <c r="AO145" s="20"/>
      <c r="AP145" s="20"/>
      <c r="AQ145" s="237" t="s">
        <v>89</v>
      </c>
      <c r="AR145" s="221"/>
      <c r="AS145" s="17" t="s">
        <v>90</v>
      </c>
      <c r="AT145" s="17" t="s">
        <v>90</v>
      </c>
      <c r="AU145" s="17" t="s">
        <v>90</v>
      </c>
      <c r="AV145" s="222" t="s">
        <v>90</v>
      </c>
      <c r="AW145" s="20">
        <f t="shared" si="66"/>
        <v>3.5723999999999996</v>
      </c>
      <c r="AX145" s="20">
        <f t="shared" si="61"/>
        <v>3.3810500000000001</v>
      </c>
      <c r="AY145" s="20">
        <f t="shared" si="63"/>
        <v>3.1399999999999997</v>
      </c>
      <c r="AZ145" s="20">
        <v>1</v>
      </c>
      <c r="BA145" s="221"/>
      <c r="BB145" s="17">
        <v>1.3</v>
      </c>
      <c r="BC145" s="17">
        <v>89.6</v>
      </c>
      <c r="BD145" s="17">
        <v>8.6999999999999993</v>
      </c>
      <c r="BE145" s="222">
        <v>0</v>
      </c>
    </row>
    <row r="146" spans="1:57" s="17" customFormat="1" ht="14.4">
      <c r="A146" s="17" t="s">
        <v>614</v>
      </c>
      <c r="B146" s="70" t="s">
        <v>615</v>
      </c>
      <c r="C146" s="70" t="s">
        <v>378</v>
      </c>
      <c r="D146" s="70" t="s">
        <v>60</v>
      </c>
      <c r="E146" s="17" t="s">
        <v>61</v>
      </c>
      <c r="G146" s="17" t="s">
        <v>300</v>
      </c>
      <c r="H146" s="17" t="s">
        <v>379</v>
      </c>
      <c r="J146" s="17">
        <v>0</v>
      </c>
      <c r="K146" s="17">
        <v>0</v>
      </c>
      <c r="M146" s="17" t="s">
        <v>187</v>
      </c>
      <c r="N146" s="17" t="s">
        <v>616</v>
      </c>
      <c r="O146" s="17" t="s">
        <v>384</v>
      </c>
      <c r="P146" s="17">
        <v>0</v>
      </c>
      <c r="Q146" s="17" t="s">
        <v>381</v>
      </c>
      <c r="R146" s="124">
        <f t="shared" si="69"/>
        <v>1.6096579476861168</v>
      </c>
      <c r="S146" s="71">
        <f t="shared" si="69"/>
        <v>94.366197183098592</v>
      </c>
      <c r="T146" s="71">
        <f t="shared" si="69"/>
        <v>1.8108651911468814</v>
      </c>
      <c r="U146" s="71">
        <f t="shared" si="69"/>
        <v>2.2132796780684107</v>
      </c>
      <c r="V146" s="124">
        <v>38.299999999999997</v>
      </c>
      <c r="W146" s="152">
        <f t="shared" si="65"/>
        <v>61.7</v>
      </c>
      <c r="X146" s="72">
        <v>30.7</v>
      </c>
      <c r="Y146" s="72">
        <f t="shared" si="60"/>
        <v>64.7</v>
      </c>
      <c r="Z146" s="72">
        <v>4.5999999999999996</v>
      </c>
      <c r="AA146" s="161" t="s">
        <v>158</v>
      </c>
      <c r="AB146" s="72" t="e">
        <f t="shared" si="64"/>
        <v>#VALUE!</v>
      </c>
      <c r="AC146" s="125" t="s">
        <v>158</v>
      </c>
      <c r="AD146" s="72">
        <v>96.5</v>
      </c>
      <c r="AE146" s="72">
        <f t="shared" ref="AE146:AE157" si="70">100 - $AD146 - $AF146</f>
        <v>3.5</v>
      </c>
      <c r="AF146" s="125">
        <v>0</v>
      </c>
      <c r="AG146" s="17" t="s">
        <v>69</v>
      </c>
      <c r="AH146" s="18" t="s">
        <v>333</v>
      </c>
      <c r="AI146" s="198" t="s">
        <v>591</v>
      </c>
      <c r="AJ146" s="73"/>
      <c r="AN146" s="20"/>
      <c r="AO146" s="20"/>
      <c r="AP146" s="20"/>
      <c r="AQ146" s="237" t="s">
        <v>89</v>
      </c>
      <c r="AR146" s="231"/>
      <c r="AS146" s="17" t="s">
        <v>90</v>
      </c>
      <c r="AT146" s="17" t="s">
        <v>90</v>
      </c>
      <c r="AU146" s="17" t="s">
        <v>90</v>
      </c>
      <c r="AV146" s="222" t="s">
        <v>90</v>
      </c>
      <c r="AW146" s="20">
        <f t="shared" si="66"/>
        <v>3.6989599999999996</v>
      </c>
      <c r="AX146" s="20">
        <f t="shared" si="61"/>
        <v>3.4164500000000002</v>
      </c>
      <c r="AY146" s="20">
        <f t="shared" si="63"/>
        <v>3.1399999999999997</v>
      </c>
      <c r="AZ146" s="20">
        <f t="shared" ref="AZ146:AZ157" si="71">AD146*$AC$2+AE146*$AD$2+AF146*$AE$2</f>
        <v>2.7261500000000001</v>
      </c>
      <c r="BA146" s="221"/>
      <c r="BB146" s="17">
        <v>1.6</v>
      </c>
      <c r="BC146" s="17">
        <v>93.8</v>
      </c>
      <c r="BD146" s="17">
        <v>1.8</v>
      </c>
      <c r="BE146" s="222">
        <v>2.2000000000000002</v>
      </c>
    </row>
    <row r="147" spans="1:57" s="17" customFormat="1">
      <c r="A147" s="17" t="s">
        <v>617</v>
      </c>
      <c r="B147" s="69" t="s">
        <v>618</v>
      </c>
      <c r="C147" s="70" t="s">
        <v>378</v>
      </c>
      <c r="D147" s="70" t="s">
        <v>60</v>
      </c>
      <c r="E147" s="17" t="s">
        <v>280</v>
      </c>
      <c r="G147" s="17" t="s">
        <v>300</v>
      </c>
      <c r="H147" s="17" t="s">
        <v>379</v>
      </c>
      <c r="J147" s="17">
        <v>0</v>
      </c>
      <c r="K147" s="17">
        <v>45</v>
      </c>
      <c r="L147" s="17" t="s">
        <v>64</v>
      </c>
      <c r="M147" s="17" t="s">
        <v>65</v>
      </c>
      <c r="N147" s="17" t="s">
        <v>616</v>
      </c>
      <c r="O147" s="17" t="s">
        <v>384</v>
      </c>
      <c r="P147" s="17">
        <v>0</v>
      </c>
      <c r="Q147" s="17" t="s">
        <v>381</v>
      </c>
      <c r="R147" s="124">
        <f t="shared" si="69"/>
        <v>1.6096579476861168</v>
      </c>
      <c r="S147" s="71">
        <f t="shared" si="69"/>
        <v>94.366197183098592</v>
      </c>
      <c r="T147" s="71">
        <f t="shared" si="69"/>
        <v>1.8108651911468814</v>
      </c>
      <c r="U147" s="71">
        <f t="shared" si="69"/>
        <v>2.2132796780684107</v>
      </c>
      <c r="V147" s="124">
        <v>38.299999999999997</v>
      </c>
      <c r="W147" s="152">
        <f t="shared" si="65"/>
        <v>61.7</v>
      </c>
      <c r="X147" s="72">
        <v>30.7</v>
      </c>
      <c r="Y147" s="72">
        <f t="shared" si="60"/>
        <v>64.7</v>
      </c>
      <c r="Z147" s="72">
        <v>4.5999999999999996</v>
      </c>
      <c r="AA147" s="161" t="s">
        <v>158</v>
      </c>
      <c r="AB147" s="72" t="e">
        <f t="shared" si="64"/>
        <v>#VALUE!</v>
      </c>
      <c r="AC147" s="125" t="s">
        <v>158</v>
      </c>
      <c r="AD147" s="72">
        <v>96.5</v>
      </c>
      <c r="AE147" s="72">
        <f t="shared" si="70"/>
        <v>3.5</v>
      </c>
      <c r="AF147" s="125">
        <v>0</v>
      </c>
      <c r="AG147" s="17" t="s">
        <v>69</v>
      </c>
      <c r="AH147" s="18" t="s">
        <v>333</v>
      </c>
      <c r="AI147" s="198" t="s">
        <v>591</v>
      </c>
      <c r="AJ147" s="73"/>
      <c r="AN147" s="20"/>
      <c r="AO147" s="20"/>
      <c r="AP147" s="20"/>
      <c r="AQ147" s="237" t="s">
        <v>89</v>
      </c>
      <c r="AR147" s="221"/>
      <c r="AS147" s="17" t="s">
        <v>90</v>
      </c>
      <c r="AT147" s="17" t="s">
        <v>90</v>
      </c>
      <c r="AU147" s="17" t="s">
        <v>90</v>
      </c>
      <c r="AV147" s="222" t="s">
        <v>90</v>
      </c>
      <c r="AW147" s="20">
        <f t="shared" si="66"/>
        <v>3.6989599999999996</v>
      </c>
      <c r="AX147" s="20">
        <f t="shared" si="61"/>
        <v>3.4164500000000002</v>
      </c>
      <c r="AY147" s="20">
        <f t="shared" si="63"/>
        <v>3.1399999999999997</v>
      </c>
      <c r="AZ147" s="20">
        <f t="shared" si="71"/>
        <v>2.7261500000000001</v>
      </c>
      <c r="BA147" s="221"/>
      <c r="BB147" s="17">
        <v>1.6</v>
      </c>
      <c r="BC147" s="17">
        <v>93.8</v>
      </c>
      <c r="BD147" s="17">
        <v>1.8</v>
      </c>
      <c r="BE147" s="222">
        <v>2.2000000000000002</v>
      </c>
    </row>
    <row r="148" spans="1:57" s="17" customFormat="1">
      <c r="A148" s="17" t="s">
        <v>619</v>
      </c>
      <c r="B148" s="70" t="s">
        <v>620</v>
      </c>
      <c r="C148" s="70" t="s">
        <v>378</v>
      </c>
      <c r="D148" s="70" t="s">
        <v>60</v>
      </c>
      <c r="E148" s="17" t="s">
        <v>61</v>
      </c>
      <c r="G148" s="17" t="s">
        <v>300</v>
      </c>
      <c r="H148" s="17" t="s">
        <v>379</v>
      </c>
      <c r="J148" s="17">
        <v>0</v>
      </c>
      <c r="K148" s="17">
        <v>1000</v>
      </c>
      <c r="L148" s="17" t="s">
        <v>64</v>
      </c>
      <c r="M148" s="17" t="s">
        <v>387</v>
      </c>
      <c r="N148" s="17" t="s">
        <v>616</v>
      </c>
      <c r="O148" s="17" t="s">
        <v>384</v>
      </c>
      <c r="P148" s="17">
        <v>0</v>
      </c>
      <c r="Q148" s="17" t="s">
        <v>381</v>
      </c>
      <c r="R148" s="124">
        <f t="shared" si="69"/>
        <v>1.6096579476861168</v>
      </c>
      <c r="S148" s="71">
        <f t="shared" si="69"/>
        <v>94.366197183098592</v>
      </c>
      <c r="T148" s="71">
        <f t="shared" si="69"/>
        <v>1.8108651911468814</v>
      </c>
      <c r="U148" s="71">
        <f t="shared" si="69"/>
        <v>2.2132796780684107</v>
      </c>
      <c r="V148" s="124">
        <v>38.299999999999997</v>
      </c>
      <c r="W148" s="152">
        <f t="shared" si="65"/>
        <v>61.7</v>
      </c>
      <c r="X148" s="72">
        <v>30.7</v>
      </c>
      <c r="Y148" s="72">
        <f t="shared" si="60"/>
        <v>64.7</v>
      </c>
      <c r="Z148" s="72">
        <v>4.5999999999999996</v>
      </c>
      <c r="AA148" s="161" t="s">
        <v>158</v>
      </c>
      <c r="AB148" s="72" t="e">
        <f t="shared" si="64"/>
        <v>#VALUE!</v>
      </c>
      <c r="AC148" s="125" t="s">
        <v>158</v>
      </c>
      <c r="AD148" s="72">
        <v>96.5</v>
      </c>
      <c r="AE148" s="72">
        <f t="shared" si="70"/>
        <v>3.5</v>
      </c>
      <c r="AF148" s="125">
        <v>0</v>
      </c>
      <c r="AG148" s="17" t="s">
        <v>69</v>
      </c>
      <c r="AH148" s="18" t="s">
        <v>333</v>
      </c>
      <c r="AI148" s="198" t="s">
        <v>591</v>
      </c>
      <c r="AJ148" s="73"/>
      <c r="AN148" s="20"/>
      <c r="AO148" s="20"/>
      <c r="AP148" s="20"/>
      <c r="AQ148" s="237" t="s">
        <v>89</v>
      </c>
      <c r="AR148" s="221"/>
      <c r="AS148" s="17" t="s">
        <v>90</v>
      </c>
      <c r="AT148" s="17" t="s">
        <v>90</v>
      </c>
      <c r="AU148" s="17" t="s">
        <v>90</v>
      </c>
      <c r="AV148" s="222" t="s">
        <v>90</v>
      </c>
      <c r="AW148" s="20">
        <f t="shared" si="66"/>
        <v>3.6989599999999996</v>
      </c>
      <c r="AX148" s="20">
        <f t="shared" si="61"/>
        <v>3.4164500000000002</v>
      </c>
      <c r="AY148" s="20">
        <f t="shared" si="63"/>
        <v>3.1399999999999997</v>
      </c>
      <c r="AZ148" s="20">
        <f t="shared" si="71"/>
        <v>2.7261500000000001</v>
      </c>
      <c r="BA148" s="221"/>
      <c r="BB148" s="17">
        <v>1.6</v>
      </c>
      <c r="BC148" s="17">
        <v>93.8</v>
      </c>
      <c r="BD148" s="17">
        <v>1.8</v>
      </c>
      <c r="BE148" s="222">
        <v>2.2000000000000002</v>
      </c>
    </row>
    <row r="149" spans="1:57" s="17" customFormat="1">
      <c r="A149" s="17" t="s">
        <v>621</v>
      </c>
      <c r="B149" s="70" t="s">
        <v>622</v>
      </c>
      <c r="C149" s="70" t="s">
        <v>378</v>
      </c>
      <c r="D149" s="70" t="s">
        <v>60</v>
      </c>
      <c r="E149" s="17" t="s">
        <v>61</v>
      </c>
      <c r="G149" s="17" t="s">
        <v>300</v>
      </c>
      <c r="H149" s="17" t="s">
        <v>379</v>
      </c>
      <c r="J149" s="17">
        <v>0</v>
      </c>
      <c r="K149" s="17">
        <v>0</v>
      </c>
      <c r="M149" s="17" t="s">
        <v>187</v>
      </c>
      <c r="N149" s="17" t="s">
        <v>572</v>
      </c>
      <c r="O149" s="17" t="s">
        <v>384</v>
      </c>
      <c r="P149" s="17">
        <v>0</v>
      </c>
      <c r="Q149" s="17" t="s">
        <v>381</v>
      </c>
      <c r="R149" s="124">
        <f t="shared" si="69"/>
        <v>3.7336024217961659</v>
      </c>
      <c r="S149" s="71">
        <f t="shared" si="69"/>
        <v>87.588294651866804</v>
      </c>
      <c r="T149" s="71">
        <f t="shared" si="69"/>
        <v>7.3662966700302732</v>
      </c>
      <c r="U149" s="71">
        <f t="shared" si="69"/>
        <v>1.311806256306761</v>
      </c>
      <c r="V149" s="124">
        <v>25.9</v>
      </c>
      <c r="W149" s="152">
        <f t="shared" si="65"/>
        <v>74.099999999999994</v>
      </c>
      <c r="X149" s="72">
        <v>23.6</v>
      </c>
      <c r="Y149" s="72">
        <f t="shared" si="60"/>
        <v>73.900000000000006</v>
      </c>
      <c r="Z149" s="72">
        <v>2.5</v>
      </c>
      <c r="AA149" s="161" t="s">
        <v>158</v>
      </c>
      <c r="AB149" s="72" t="e">
        <f t="shared" si="64"/>
        <v>#VALUE!</v>
      </c>
      <c r="AC149" s="125" t="s">
        <v>158</v>
      </c>
      <c r="AD149" s="72">
        <v>84.6</v>
      </c>
      <c r="AE149" s="72">
        <f t="shared" si="70"/>
        <v>14.700000000000006</v>
      </c>
      <c r="AF149" s="125">
        <v>0.7</v>
      </c>
      <c r="AG149" s="17" t="s">
        <v>69</v>
      </c>
      <c r="AH149" s="199" t="s">
        <v>333</v>
      </c>
      <c r="AI149" s="198" t="s">
        <v>591</v>
      </c>
      <c r="AJ149" s="73"/>
      <c r="AN149" s="20"/>
      <c r="AO149" s="20"/>
      <c r="AP149" s="20"/>
      <c r="AQ149" s="237" t="s">
        <v>89</v>
      </c>
      <c r="AR149" s="221"/>
      <c r="AS149" s="17" t="s">
        <v>90</v>
      </c>
      <c r="AT149" s="17" t="s">
        <v>90</v>
      </c>
      <c r="AU149" s="17" t="s">
        <v>90</v>
      </c>
      <c r="AV149" s="222" t="s">
        <v>90</v>
      </c>
      <c r="AW149" s="20">
        <f t="shared" si="66"/>
        <v>3.5600799999999992</v>
      </c>
      <c r="AX149" s="20">
        <f t="shared" si="61"/>
        <v>3.3694999999999999</v>
      </c>
      <c r="AY149" s="20">
        <f t="shared" si="63"/>
        <v>3.1399999999999997</v>
      </c>
      <c r="AZ149" s="20">
        <f t="shared" si="71"/>
        <v>2.7126400000000004</v>
      </c>
      <c r="BA149" s="221"/>
      <c r="BB149" s="17">
        <v>3.7</v>
      </c>
      <c r="BC149" s="17">
        <v>86.8</v>
      </c>
      <c r="BD149" s="17">
        <v>7.3</v>
      </c>
      <c r="BE149" s="222">
        <v>1.3</v>
      </c>
    </row>
    <row r="150" spans="1:57" s="17" customFormat="1">
      <c r="A150" s="17" t="s">
        <v>623</v>
      </c>
      <c r="B150" s="69" t="s">
        <v>624</v>
      </c>
      <c r="C150" s="70" t="s">
        <v>378</v>
      </c>
      <c r="D150" s="70" t="s">
        <v>60</v>
      </c>
      <c r="E150" s="17" t="s">
        <v>280</v>
      </c>
      <c r="G150" s="17" t="s">
        <v>300</v>
      </c>
      <c r="H150" s="17" t="s">
        <v>379</v>
      </c>
      <c r="J150" s="17">
        <v>0</v>
      </c>
      <c r="K150" s="17">
        <v>45</v>
      </c>
      <c r="L150" s="17" t="s">
        <v>64</v>
      </c>
      <c r="M150" s="17" t="s">
        <v>65</v>
      </c>
      <c r="N150" s="17" t="s">
        <v>572</v>
      </c>
      <c r="O150" s="17" t="s">
        <v>384</v>
      </c>
      <c r="P150" s="17">
        <v>0</v>
      </c>
      <c r="Q150" s="17" t="s">
        <v>381</v>
      </c>
      <c r="R150" s="124">
        <f t="shared" si="69"/>
        <v>3.7336024217961659</v>
      </c>
      <c r="S150" s="71">
        <f t="shared" si="69"/>
        <v>87.588294651866804</v>
      </c>
      <c r="T150" s="71">
        <f t="shared" si="69"/>
        <v>7.3662966700302732</v>
      </c>
      <c r="U150" s="71">
        <f t="shared" si="69"/>
        <v>1.311806256306761</v>
      </c>
      <c r="V150" s="124">
        <v>25.9</v>
      </c>
      <c r="W150" s="152">
        <f t="shared" si="65"/>
        <v>74.099999999999994</v>
      </c>
      <c r="X150" s="72">
        <v>23.6</v>
      </c>
      <c r="Y150" s="72">
        <f t="shared" si="60"/>
        <v>73.900000000000006</v>
      </c>
      <c r="Z150" s="72">
        <v>2.5</v>
      </c>
      <c r="AA150" s="161" t="s">
        <v>158</v>
      </c>
      <c r="AB150" s="72" t="e">
        <f t="shared" si="64"/>
        <v>#VALUE!</v>
      </c>
      <c r="AC150" s="125" t="s">
        <v>158</v>
      </c>
      <c r="AD150" s="72">
        <v>84.6</v>
      </c>
      <c r="AE150" s="72">
        <f t="shared" si="70"/>
        <v>14.700000000000006</v>
      </c>
      <c r="AF150" s="125">
        <v>0.7</v>
      </c>
      <c r="AG150" s="17" t="s">
        <v>69</v>
      </c>
      <c r="AH150" s="199" t="s">
        <v>333</v>
      </c>
      <c r="AI150" s="198" t="s">
        <v>591</v>
      </c>
      <c r="AJ150" s="73"/>
      <c r="AN150" s="20"/>
      <c r="AO150" s="20"/>
      <c r="AP150" s="20"/>
      <c r="AQ150" s="237" t="s">
        <v>89</v>
      </c>
      <c r="AR150" s="221"/>
      <c r="AS150" s="17" t="s">
        <v>90</v>
      </c>
      <c r="AT150" s="17" t="s">
        <v>90</v>
      </c>
      <c r="AU150" s="17" t="s">
        <v>90</v>
      </c>
      <c r="AV150" s="222" t="s">
        <v>90</v>
      </c>
      <c r="AW150" s="20">
        <f t="shared" si="66"/>
        <v>3.5600799999999992</v>
      </c>
      <c r="AX150" s="20">
        <f t="shared" si="61"/>
        <v>3.3694999999999999</v>
      </c>
      <c r="AY150" s="20">
        <f t="shared" si="63"/>
        <v>3.1399999999999997</v>
      </c>
      <c r="AZ150" s="20">
        <f t="shared" si="71"/>
        <v>2.7126400000000004</v>
      </c>
      <c r="BA150" s="221"/>
      <c r="BB150" s="17">
        <v>3.7</v>
      </c>
      <c r="BC150" s="17">
        <v>86.8</v>
      </c>
      <c r="BD150" s="17">
        <v>7.3</v>
      </c>
      <c r="BE150" s="222">
        <v>1.3</v>
      </c>
    </row>
    <row r="151" spans="1:57" s="17" customFormat="1" ht="14.4">
      <c r="A151" s="17" t="s">
        <v>625</v>
      </c>
      <c r="B151" s="70" t="s">
        <v>626</v>
      </c>
      <c r="C151" s="70" t="s">
        <v>378</v>
      </c>
      <c r="D151" s="70" t="s">
        <v>60</v>
      </c>
      <c r="E151" s="17" t="s">
        <v>61</v>
      </c>
      <c r="G151" s="17" t="s">
        <v>300</v>
      </c>
      <c r="H151" s="17" t="s">
        <v>379</v>
      </c>
      <c r="J151" s="17">
        <v>0</v>
      </c>
      <c r="K151" s="17">
        <v>1000</v>
      </c>
      <c r="L151" s="17" t="s">
        <v>64</v>
      </c>
      <c r="M151" s="17" t="s">
        <v>387</v>
      </c>
      <c r="N151" s="17" t="s">
        <v>572</v>
      </c>
      <c r="O151" s="17" t="s">
        <v>384</v>
      </c>
      <c r="P151" s="17">
        <v>0</v>
      </c>
      <c r="Q151" s="17" t="s">
        <v>381</v>
      </c>
      <c r="R151" s="124">
        <f t="shared" si="69"/>
        <v>3.7336024217961659</v>
      </c>
      <c r="S151" s="71">
        <f t="shared" si="69"/>
        <v>87.588294651866804</v>
      </c>
      <c r="T151" s="71">
        <f t="shared" si="69"/>
        <v>7.3662966700302732</v>
      </c>
      <c r="U151" s="71">
        <f t="shared" si="69"/>
        <v>1.311806256306761</v>
      </c>
      <c r="V151" s="124">
        <v>25.9</v>
      </c>
      <c r="W151" s="152">
        <f t="shared" si="65"/>
        <v>74.099999999999994</v>
      </c>
      <c r="X151" s="72">
        <v>23.6</v>
      </c>
      <c r="Y151" s="72">
        <f t="shared" si="60"/>
        <v>73.900000000000006</v>
      </c>
      <c r="Z151" s="72">
        <v>2.5</v>
      </c>
      <c r="AA151" s="161" t="s">
        <v>158</v>
      </c>
      <c r="AB151" s="72" t="e">
        <f t="shared" si="64"/>
        <v>#VALUE!</v>
      </c>
      <c r="AC151" s="125" t="s">
        <v>158</v>
      </c>
      <c r="AD151" s="72">
        <v>84.6</v>
      </c>
      <c r="AE151" s="72">
        <f t="shared" si="70"/>
        <v>14.700000000000006</v>
      </c>
      <c r="AF151" s="125">
        <v>0.7</v>
      </c>
      <c r="AG151" s="17" t="s">
        <v>69</v>
      </c>
      <c r="AH151" s="199" t="s">
        <v>333</v>
      </c>
      <c r="AI151" s="198" t="s">
        <v>591</v>
      </c>
      <c r="AJ151" s="73"/>
      <c r="AN151" s="20"/>
      <c r="AO151" s="20"/>
      <c r="AP151" s="20"/>
      <c r="AQ151" s="237" t="s">
        <v>89</v>
      </c>
      <c r="AR151" s="231"/>
      <c r="AS151" s="17" t="s">
        <v>90</v>
      </c>
      <c r="AT151" s="17" t="s">
        <v>90</v>
      </c>
      <c r="AU151" s="17" t="s">
        <v>90</v>
      </c>
      <c r="AV151" s="222" t="s">
        <v>90</v>
      </c>
      <c r="AW151" s="20">
        <f t="shared" si="66"/>
        <v>3.5600799999999992</v>
      </c>
      <c r="AX151" s="20">
        <f t="shared" si="61"/>
        <v>3.3694999999999999</v>
      </c>
      <c r="AY151" s="20">
        <f t="shared" si="63"/>
        <v>3.1399999999999997</v>
      </c>
      <c r="AZ151" s="20">
        <f t="shared" si="71"/>
        <v>2.7126400000000004</v>
      </c>
      <c r="BA151" s="221"/>
      <c r="BB151" s="17">
        <v>3.7</v>
      </c>
      <c r="BC151" s="17">
        <v>86.8</v>
      </c>
      <c r="BD151" s="17">
        <v>7.3</v>
      </c>
      <c r="BE151" s="222">
        <v>1.3</v>
      </c>
    </row>
    <row r="152" spans="1:57" s="17" customFormat="1">
      <c r="A152" s="17" t="s">
        <v>627</v>
      </c>
      <c r="B152" s="70" t="s">
        <v>628</v>
      </c>
      <c r="C152" s="70" t="s">
        <v>378</v>
      </c>
      <c r="D152" s="70" t="s">
        <v>60</v>
      </c>
      <c r="E152" s="17" t="s">
        <v>61</v>
      </c>
      <c r="G152" s="17" t="s">
        <v>300</v>
      </c>
      <c r="H152" s="17" t="s">
        <v>379</v>
      </c>
      <c r="J152" s="17">
        <v>0</v>
      </c>
      <c r="K152" s="17">
        <v>0</v>
      </c>
      <c r="M152" s="17" t="s">
        <v>187</v>
      </c>
      <c r="N152" s="17" t="s">
        <v>629</v>
      </c>
      <c r="O152" s="17" t="s">
        <v>384</v>
      </c>
      <c r="P152" s="17">
        <v>0</v>
      </c>
      <c r="Q152" s="17" t="s">
        <v>381</v>
      </c>
      <c r="R152" s="124">
        <f t="shared" si="69"/>
        <v>4.6277665995975843</v>
      </c>
      <c r="S152" s="71">
        <f t="shared" si="69"/>
        <v>89.537223340040242</v>
      </c>
      <c r="T152" s="71">
        <f t="shared" si="69"/>
        <v>1.9114688128772632</v>
      </c>
      <c r="U152" s="71">
        <f t="shared" si="69"/>
        <v>3.9235412474849096</v>
      </c>
      <c r="V152" s="124">
        <v>31.2</v>
      </c>
      <c r="W152" s="152">
        <f t="shared" si="65"/>
        <v>68.8</v>
      </c>
      <c r="X152" s="72">
        <v>26.2</v>
      </c>
      <c r="Y152" s="72">
        <f t="shared" si="60"/>
        <v>70.399999999999991</v>
      </c>
      <c r="Z152" s="72">
        <v>3.4</v>
      </c>
      <c r="AA152" s="161" t="s">
        <v>158</v>
      </c>
      <c r="AB152" s="72" t="e">
        <f t="shared" si="64"/>
        <v>#VALUE!</v>
      </c>
      <c r="AC152" s="125" t="s">
        <v>158</v>
      </c>
      <c r="AD152" s="72">
        <v>82.8</v>
      </c>
      <c r="AE152" s="72">
        <f t="shared" si="70"/>
        <v>16.100000000000001</v>
      </c>
      <c r="AF152" s="125">
        <v>1.1000000000000001</v>
      </c>
      <c r="AG152" s="17" t="s">
        <v>69</v>
      </c>
      <c r="AH152" s="18" t="s">
        <v>333</v>
      </c>
      <c r="AI152" s="198" t="s">
        <v>591</v>
      </c>
      <c r="AJ152" s="73"/>
      <c r="AN152" s="20"/>
      <c r="AO152" s="20"/>
      <c r="AP152" s="20"/>
      <c r="AQ152" s="237" t="s">
        <v>89</v>
      </c>
      <c r="AR152" s="221"/>
      <c r="AS152" s="17" t="s">
        <v>90</v>
      </c>
      <c r="AT152" s="17" t="s">
        <v>90</v>
      </c>
      <c r="AU152" s="17" t="s">
        <v>90</v>
      </c>
      <c r="AV152" s="222" t="s">
        <v>90</v>
      </c>
      <c r="AW152" s="20">
        <f t="shared" si="66"/>
        <v>3.6194399999999995</v>
      </c>
      <c r="AX152" s="20">
        <f t="shared" si="61"/>
        <v>3.3862999999999994</v>
      </c>
      <c r="AY152" s="20">
        <f t="shared" si="63"/>
        <v>3.1399999999999997</v>
      </c>
      <c r="AZ152" s="20">
        <f t="shared" si="71"/>
        <v>2.7104200000000001</v>
      </c>
      <c r="BA152" s="221"/>
      <c r="BB152" s="17">
        <v>4.5999999999999996</v>
      </c>
      <c r="BC152" s="17">
        <v>89</v>
      </c>
      <c r="BD152" s="17">
        <v>1.9</v>
      </c>
      <c r="BE152" s="222">
        <v>3.9</v>
      </c>
    </row>
    <row r="153" spans="1:57" s="17" customFormat="1">
      <c r="A153" s="17" t="s">
        <v>630</v>
      </c>
      <c r="B153" s="69" t="s">
        <v>631</v>
      </c>
      <c r="C153" s="70" t="s">
        <v>378</v>
      </c>
      <c r="D153" s="70" t="s">
        <v>60</v>
      </c>
      <c r="E153" s="17" t="s">
        <v>280</v>
      </c>
      <c r="G153" s="17" t="s">
        <v>300</v>
      </c>
      <c r="H153" s="17" t="s">
        <v>379</v>
      </c>
      <c r="J153" s="17">
        <v>0</v>
      </c>
      <c r="K153" s="17">
        <v>45</v>
      </c>
      <c r="L153" s="17" t="s">
        <v>64</v>
      </c>
      <c r="M153" s="17" t="s">
        <v>65</v>
      </c>
      <c r="N153" s="17" t="s">
        <v>629</v>
      </c>
      <c r="O153" s="17" t="s">
        <v>384</v>
      </c>
      <c r="P153" s="17">
        <v>0</v>
      </c>
      <c r="Q153" s="17" t="s">
        <v>381</v>
      </c>
      <c r="R153" s="124">
        <f t="shared" si="69"/>
        <v>4.6277665995975843</v>
      </c>
      <c r="S153" s="71">
        <f t="shared" si="69"/>
        <v>89.537223340040242</v>
      </c>
      <c r="T153" s="71">
        <f t="shared" si="69"/>
        <v>1.9114688128772632</v>
      </c>
      <c r="U153" s="71">
        <f t="shared" si="69"/>
        <v>3.9235412474849096</v>
      </c>
      <c r="V153" s="124">
        <v>31.2</v>
      </c>
      <c r="W153" s="152">
        <f t="shared" si="65"/>
        <v>68.8</v>
      </c>
      <c r="X153" s="72">
        <v>26.2</v>
      </c>
      <c r="Y153" s="72">
        <f t="shared" si="60"/>
        <v>70.399999999999991</v>
      </c>
      <c r="Z153" s="72">
        <v>3.4</v>
      </c>
      <c r="AA153" s="161" t="s">
        <v>158</v>
      </c>
      <c r="AB153" s="72" t="e">
        <f t="shared" si="64"/>
        <v>#VALUE!</v>
      </c>
      <c r="AC153" s="125" t="s">
        <v>158</v>
      </c>
      <c r="AD153" s="72">
        <v>82.8</v>
      </c>
      <c r="AE153" s="72">
        <f t="shared" si="70"/>
        <v>16.100000000000001</v>
      </c>
      <c r="AF153" s="125">
        <v>1.1000000000000001</v>
      </c>
      <c r="AG153" s="17" t="s">
        <v>69</v>
      </c>
      <c r="AH153" s="18" t="s">
        <v>333</v>
      </c>
      <c r="AI153" s="198" t="s">
        <v>591</v>
      </c>
      <c r="AJ153" s="73"/>
      <c r="AN153" s="20"/>
      <c r="AO153" s="20"/>
      <c r="AP153" s="20"/>
      <c r="AQ153" s="237" t="s">
        <v>89</v>
      </c>
      <c r="AR153" s="221"/>
      <c r="AS153" s="17" t="s">
        <v>90</v>
      </c>
      <c r="AT153" s="17" t="s">
        <v>90</v>
      </c>
      <c r="AU153" s="17" t="s">
        <v>90</v>
      </c>
      <c r="AV153" s="222" t="s">
        <v>90</v>
      </c>
      <c r="AW153" s="20">
        <f t="shared" si="66"/>
        <v>3.6194399999999995</v>
      </c>
      <c r="AX153" s="20">
        <f t="shared" si="61"/>
        <v>3.3862999999999994</v>
      </c>
      <c r="AY153" s="20">
        <f t="shared" si="63"/>
        <v>3.1399999999999997</v>
      </c>
      <c r="AZ153" s="20">
        <f t="shared" si="71"/>
        <v>2.7104200000000001</v>
      </c>
      <c r="BA153" s="221"/>
      <c r="BB153" s="17">
        <v>4.5999999999999996</v>
      </c>
      <c r="BC153" s="17">
        <v>89</v>
      </c>
      <c r="BD153" s="17">
        <v>1.9</v>
      </c>
      <c r="BE153" s="222">
        <v>3.9</v>
      </c>
    </row>
    <row r="154" spans="1:57" s="17" customFormat="1" ht="14.4">
      <c r="A154" s="17" t="s">
        <v>632</v>
      </c>
      <c r="B154" s="70" t="s">
        <v>633</v>
      </c>
      <c r="C154" s="70" t="s">
        <v>378</v>
      </c>
      <c r="D154" s="70" t="s">
        <v>60</v>
      </c>
      <c r="E154" s="17" t="s">
        <v>61</v>
      </c>
      <c r="G154" s="17" t="s">
        <v>300</v>
      </c>
      <c r="H154" s="17" t="s">
        <v>379</v>
      </c>
      <c r="J154" s="17">
        <v>0</v>
      </c>
      <c r="K154" s="17">
        <v>1000</v>
      </c>
      <c r="L154" s="17" t="s">
        <v>64</v>
      </c>
      <c r="M154" s="17" t="s">
        <v>387</v>
      </c>
      <c r="N154" s="17" t="s">
        <v>629</v>
      </c>
      <c r="O154" s="17" t="s">
        <v>384</v>
      </c>
      <c r="P154" s="17">
        <v>0</v>
      </c>
      <c r="Q154" s="17" t="s">
        <v>381</v>
      </c>
      <c r="R154" s="124">
        <f t="shared" si="69"/>
        <v>4.6277665995975843</v>
      </c>
      <c r="S154" s="71">
        <f t="shared" si="69"/>
        <v>89.537223340040242</v>
      </c>
      <c r="T154" s="71">
        <f t="shared" si="69"/>
        <v>1.9114688128772632</v>
      </c>
      <c r="U154" s="71">
        <f t="shared" si="69"/>
        <v>3.9235412474849096</v>
      </c>
      <c r="V154" s="124">
        <v>31.2</v>
      </c>
      <c r="W154" s="152">
        <f t="shared" si="65"/>
        <v>68.8</v>
      </c>
      <c r="X154" s="72">
        <v>26.2</v>
      </c>
      <c r="Y154" s="72">
        <f t="shared" si="60"/>
        <v>70.399999999999991</v>
      </c>
      <c r="Z154" s="72">
        <v>3.4</v>
      </c>
      <c r="AA154" s="161" t="s">
        <v>158</v>
      </c>
      <c r="AB154" s="72" t="e">
        <f t="shared" si="64"/>
        <v>#VALUE!</v>
      </c>
      <c r="AC154" s="125" t="s">
        <v>158</v>
      </c>
      <c r="AD154" s="72">
        <v>82.8</v>
      </c>
      <c r="AE154" s="72">
        <f t="shared" si="70"/>
        <v>16.100000000000001</v>
      </c>
      <c r="AF154" s="125">
        <v>1.1000000000000001</v>
      </c>
      <c r="AG154" s="17" t="s">
        <v>69</v>
      </c>
      <c r="AH154" s="18" t="s">
        <v>333</v>
      </c>
      <c r="AI154" s="198" t="s">
        <v>591</v>
      </c>
      <c r="AJ154" s="73"/>
      <c r="AN154" s="20"/>
      <c r="AO154" s="20"/>
      <c r="AP154" s="20"/>
      <c r="AQ154" s="237" t="s">
        <v>89</v>
      </c>
      <c r="AR154" s="231"/>
      <c r="AS154" s="17" t="s">
        <v>90</v>
      </c>
      <c r="AT154" s="17" t="s">
        <v>90</v>
      </c>
      <c r="AU154" s="17" t="s">
        <v>90</v>
      </c>
      <c r="AV154" s="222" t="s">
        <v>90</v>
      </c>
      <c r="AW154" s="20">
        <f t="shared" si="66"/>
        <v>3.6194399999999995</v>
      </c>
      <c r="AX154" s="20">
        <f t="shared" si="61"/>
        <v>3.3862999999999994</v>
      </c>
      <c r="AY154" s="20">
        <f t="shared" si="63"/>
        <v>3.1399999999999997</v>
      </c>
      <c r="AZ154" s="20">
        <f t="shared" si="71"/>
        <v>2.7104200000000001</v>
      </c>
      <c r="BA154" s="221"/>
      <c r="BB154" s="17">
        <v>4.5999999999999996</v>
      </c>
      <c r="BC154" s="17">
        <v>89</v>
      </c>
      <c r="BD154" s="17">
        <v>1.9</v>
      </c>
      <c r="BE154" s="222">
        <v>3.9</v>
      </c>
    </row>
    <row r="155" spans="1:57" s="17" customFormat="1" ht="14.4">
      <c r="A155" s="17" t="s">
        <v>634</v>
      </c>
      <c r="B155" s="70" t="s">
        <v>635</v>
      </c>
      <c r="C155" s="70" t="s">
        <v>378</v>
      </c>
      <c r="D155" s="70" t="s">
        <v>60</v>
      </c>
      <c r="E155" s="17" t="s">
        <v>61</v>
      </c>
      <c r="G155" s="17" t="s">
        <v>300</v>
      </c>
      <c r="H155" s="17" t="s">
        <v>379</v>
      </c>
      <c r="J155" s="17">
        <v>0</v>
      </c>
      <c r="K155" s="17">
        <v>0</v>
      </c>
      <c r="M155" s="17" t="s">
        <v>187</v>
      </c>
      <c r="N155" s="17" t="s">
        <v>578</v>
      </c>
      <c r="O155" s="17" t="s">
        <v>384</v>
      </c>
      <c r="P155" s="17">
        <v>0</v>
      </c>
      <c r="Q155" s="17" t="s">
        <v>381</v>
      </c>
      <c r="R155" s="124">
        <f t="shared" si="69"/>
        <v>6.1183550651955878</v>
      </c>
      <c r="S155" s="71">
        <f t="shared" si="69"/>
        <v>88.866599799398188</v>
      </c>
      <c r="T155" s="71">
        <f t="shared" si="69"/>
        <v>1.4042126379137412</v>
      </c>
      <c r="U155" s="71">
        <f t="shared" si="69"/>
        <v>3.6108324974924777</v>
      </c>
      <c r="V155" s="124">
        <v>28.8</v>
      </c>
      <c r="W155" s="152">
        <f t="shared" si="65"/>
        <v>71.2</v>
      </c>
      <c r="X155" s="72">
        <v>28.4</v>
      </c>
      <c r="Y155" s="72">
        <f t="shared" si="60"/>
        <v>68.8</v>
      </c>
      <c r="Z155" s="72">
        <v>2.8</v>
      </c>
      <c r="AA155" s="161" t="s">
        <v>158</v>
      </c>
      <c r="AB155" s="72" t="e">
        <f t="shared" si="64"/>
        <v>#VALUE!</v>
      </c>
      <c r="AC155" s="125" t="s">
        <v>158</v>
      </c>
      <c r="AD155" s="72">
        <v>93.4</v>
      </c>
      <c r="AE155" s="72">
        <f t="shared" si="70"/>
        <v>6.5999999999999943</v>
      </c>
      <c r="AF155" s="125">
        <v>0</v>
      </c>
      <c r="AG155" s="17" t="s">
        <v>69</v>
      </c>
      <c r="AH155" s="18" t="s">
        <v>333</v>
      </c>
      <c r="AI155" s="198" t="s">
        <v>591</v>
      </c>
      <c r="AJ155" s="73"/>
      <c r="AN155" s="20"/>
      <c r="AO155" s="20"/>
      <c r="AP155" s="20"/>
      <c r="AQ155" s="237" t="s">
        <v>89</v>
      </c>
      <c r="AR155" s="231"/>
      <c r="AS155" s="17" t="s">
        <v>90</v>
      </c>
      <c r="AT155" s="17" t="s">
        <v>90</v>
      </c>
      <c r="AU155" s="17" t="s">
        <v>90</v>
      </c>
      <c r="AV155" s="222" t="s">
        <v>90</v>
      </c>
      <c r="AW155" s="20">
        <f t="shared" si="66"/>
        <v>3.5925599999999998</v>
      </c>
      <c r="AX155" s="20">
        <f t="shared" si="61"/>
        <v>3.4045999999999998</v>
      </c>
      <c r="AY155" s="20">
        <f t="shared" si="63"/>
        <v>3.1399999999999997</v>
      </c>
      <c r="AZ155" s="20">
        <f t="shared" si="71"/>
        <v>2.7227400000000004</v>
      </c>
      <c r="BA155" s="221"/>
      <c r="BB155" s="17">
        <v>6.1</v>
      </c>
      <c r="BC155" s="17">
        <v>88.6</v>
      </c>
      <c r="BD155" s="17">
        <v>1.4</v>
      </c>
      <c r="BE155" s="222">
        <v>3.6</v>
      </c>
    </row>
    <row r="156" spans="1:57" s="17" customFormat="1">
      <c r="A156" s="17" t="s">
        <v>636</v>
      </c>
      <c r="B156" s="69" t="s">
        <v>637</v>
      </c>
      <c r="C156" s="70" t="s">
        <v>378</v>
      </c>
      <c r="D156" s="70" t="s">
        <v>60</v>
      </c>
      <c r="E156" s="17" t="s">
        <v>280</v>
      </c>
      <c r="G156" s="17" t="s">
        <v>300</v>
      </c>
      <c r="H156" s="17" t="s">
        <v>379</v>
      </c>
      <c r="J156" s="17">
        <v>0</v>
      </c>
      <c r="K156" s="17">
        <v>45</v>
      </c>
      <c r="L156" s="17" t="s">
        <v>64</v>
      </c>
      <c r="M156" s="17" t="s">
        <v>65</v>
      </c>
      <c r="N156" s="17" t="s">
        <v>578</v>
      </c>
      <c r="O156" s="17" t="s">
        <v>384</v>
      </c>
      <c r="P156" s="17">
        <v>0</v>
      </c>
      <c r="Q156" s="17" t="s">
        <v>381</v>
      </c>
      <c r="R156" s="124">
        <f t="shared" si="69"/>
        <v>6.1183550651955878</v>
      </c>
      <c r="S156" s="71">
        <f t="shared" si="69"/>
        <v>88.866599799398188</v>
      </c>
      <c r="T156" s="71">
        <f t="shared" si="69"/>
        <v>1.4042126379137412</v>
      </c>
      <c r="U156" s="71">
        <f t="shared" si="69"/>
        <v>3.6108324974924777</v>
      </c>
      <c r="V156" s="124">
        <v>28.8</v>
      </c>
      <c r="W156" s="152">
        <f t="shared" si="65"/>
        <v>71.2</v>
      </c>
      <c r="X156" s="72">
        <v>28.4</v>
      </c>
      <c r="Y156" s="72">
        <f t="shared" si="60"/>
        <v>68.8</v>
      </c>
      <c r="Z156" s="72">
        <v>2.8</v>
      </c>
      <c r="AA156" s="161" t="s">
        <v>158</v>
      </c>
      <c r="AB156" s="72" t="e">
        <f t="shared" si="64"/>
        <v>#VALUE!</v>
      </c>
      <c r="AC156" s="125" t="s">
        <v>158</v>
      </c>
      <c r="AD156" s="72">
        <v>93.4</v>
      </c>
      <c r="AE156" s="72">
        <f t="shared" si="70"/>
        <v>6.5999999999999943</v>
      </c>
      <c r="AF156" s="125">
        <v>0</v>
      </c>
      <c r="AG156" s="17" t="s">
        <v>69</v>
      </c>
      <c r="AH156" s="18" t="s">
        <v>333</v>
      </c>
      <c r="AI156" s="198" t="s">
        <v>591</v>
      </c>
      <c r="AJ156" s="73"/>
      <c r="AN156" s="20"/>
      <c r="AO156" s="20"/>
      <c r="AP156" s="20"/>
      <c r="AQ156" s="237" t="s">
        <v>89</v>
      </c>
      <c r="AR156" s="221"/>
      <c r="AS156" s="17" t="s">
        <v>90</v>
      </c>
      <c r="AT156" s="17" t="s">
        <v>90</v>
      </c>
      <c r="AU156" s="17" t="s">
        <v>90</v>
      </c>
      <c r="AV156" s="222" t="s">
        <v>90</v>
      </c>
      <c r="AW156" s="20">
        <f t="shared" si="66"/>
        <v>3.5925599999999998</v>
      </c>
      <c r="AX156" s="20">
        <f t="shared" si="61"/>
        <v>3.4045999999999998</v>
      </c>
      <c r="AY156" s="20">
        <f t="shared" si="63"/>
        <v>3.1399999999999997</v>
      </c>
      <c r="AZ156" s="20">
        <f t="shared" si="71"/>
        <v>2.7227400000000004</v>
      </c>
      <c r="BA156" s="221"/>
      <c r="BB156" s="17">
        <v>6.1</v>
      </c>
      <c r="BC156" s="17">
        <v>88.6</v>
      </c>
      <c r="BD156" s="17">
        <v>1.4</v>
      </c>
      <c r="BE156" s="222">
        <v>3.6</v>
      </c>
    </row>
    <row r="157" spans="1:57" s="17" customFormat="1">
      <c r="A157" s="17" t="s">
        <v>638</v>
      </c>
      <c r="B157" s="70" t="s">
        <v>639</v>
      </c>
      <c r="C157" s="70" t="s">
        <v>378</v>
      </c>
      <c r="D157" s="70" t="s">
        <v>60</v>
      </c>
      <c r="E157" s="17" t="s">
        <v>61</v>
      </c>
      <c r="G157" s="17" t="s">
        <v>300</v>
      </c>
      <c r="H157" s="17" t="s">
        <v>379</v>
      </c>
      <c r="J157" s="17">
        <v>0</v>
      </c>
      <c r="K157" s="17">
        <v>1000</v>
      </c>
      <c r="L157" s="17" t="s">
        <v>64</v>
      </c>
      <c r="M157" s="17" t="s">
        <v>387</v>
      </c>
      <c r="N157" s="17" t="s">
        <v>578</v>
      </c>
      <c r="O157" s="17" t="s">
        <v>384</v>
      </c>
      <c r="P157" s="17">
        <v>0</v>
      </c>
      <c r="Q157" s="17" t="s">
        <v>381</v>
      </c>
      <c r="R157" s="124">
        <f t="shared" si="69"/>
        <v>6.1183550651955878</v>
      </c>
      <c r="S157" s="71">
        <f t="shared" si="69"/>
        <v>88.866599799398188</v>
      </c>
      <c r="T157" s="71">
        <f t="shared" si="69"/>
        <v>1.4042126379137412</v>
      </c>
      <c r="U157" s="71">
        <f t="shared" si="69"/>
        <v>3.6108324974924777</v>
      </c>
      <c r="V157" s="124">
        <v>28.8</v>
      </c>
      <c r="W157" s="152">
        <f t="shared" si="65"/>
        <v>71.2</v>
      </c>
      <c r="X157" s="72">
        <v>28.4</v>
      </c>
      <c r="Y157" s="72">
        <f t="shared" ref="Y157:Y188" si="72">100 - $X157 - $Z157</f>
        <v>68.8</v>
      </c>
      <c r="Z157" s="72">
        <v>2.8</v>
      </c>
      <c r="AA157" s="161" t="s">
        <v>158</v>
      </c>
      <c r="AB157" s="72" t="e">
        <f t="shared" si="64"/>
        <v>#VALUE!</v>
      </c>
      <c r="AC157" s="125" t="s">
        <v>158</v>
      </c>
      <c r="AD157" s="72">
        <v>93.4</v>
      </c>
      <c r="AE157" s="72">
        <f t="shared" si="70"/>
        <v>6.5999999999999943</v>
      </c>
      <c r="AF157" s="125">
        <v>0</v>
      </c>
      <c r="AG157" s="17" t="s">
        <v>69</v>
      </c>
      <c r="AH157" s="18" t="s">
        <v>333</v>
      </c>
      <c r="AI157" s="198" t="s">
        <v>591</v>
      </c>
      <c r="AJ157" s="73"/>
      <c r="AN157" s="20"/>
      <c r="AO157" s="20"/>
      <c r="AP157" s="20"/>
      <c r="AQ157" s="237" t="s">
        <v>89</v>
      </c>
      <c r="AR157" s="221"/>
      <c r="AS157" s="17" t="s">
        <v>90</v>
      </c>
      <c r="AT157" s="17" t="s">
        <v>90</v>
      </c>
      <c r="AU157" s="17" t="s">
        <v>90</v>
      </c>
      <c r="AV157" s="222" t="s">
        <v>90</v>
      </c>
      <c r="AW157" s="20">
        <f t="shared" si="66"/>
        <v>3.5925599999999998</v>
      </c>
      <c r="AX157" s="20">
        <f t="shared" ref="AX157:AX188" si="73">X157*$Z$2+Y157*$AA$2+Z157*$AB$2</f>
        <v>3.4045999999999998</v>
      </c>
      <c r="AY157" s="20">
        <f t="shared" si="63"/>
        <v>3.1399999999999997</v>
      </c>
      <c r="AZ157" s="20">
        <f t="shared" si="71"/>
        <v>2.7227400000000004</v>
      </c>
      <c r="BA157" s="221"/>
      <c r="BB157" s="17">
        <v>6.1</v>
      </c>
      <c r="BC157" s="17">
        <v>88.6</v>
      </c>
      <c r="BD157" s="17">
        <v>1.4</v>
      </c>
      <c r="BE157" s="222">
        <v>3.6</v>
      </c>
    </row>
    <row r="158" spans="1:57" s="11" customFormat="1">
      <c r="A158" s="11" t="s">
        <v>640</v>
      </c>
      <c r="B158" s="11" t="s">
        <v>641</v>
      </c>
      <c r="C158" s="11" t="s">
        <v>106</v>
      </c>
      <c r="D158" s="11" t="s">
        <v>642</v>
      </c>
      <c r="E158" s="11" t="s">
        <v>643</v>
      </c>
      <c r="G158" s="11" t="s">
        <v>644</v>
      </c>
      <c r="H158" s="11" t="s">
        <v>645</v>
      </c>
      <c r="J158" s="11">
        <v>0</v>
      </c>
      <c r="K158" s="11">
        <v>38</v>
      </c>
      <c r="L158" s="11" t="s">
        <v>64</v>
      </c>
      <c r="M158" s="11" t="s">
        <v>65</v>
      </c>
      <c r="O158" s="11" t="s">
        <v>646</v>
      </c>
      <c r="P158" s="11">
        <v>0</v>
      </c>
      <c r="Q158" s="11" t="s">
        <v>647</v>
      </c>
      <c r="R158" s="126">
        <f t="shared" si="69"/>
        <v>0</v>
      </c>
      <c r="S158" s="75">
        <f t="shared" si="69"/>
        <v>84.18578044655969</v>
      </c>
      <c r="T158" s="75">
        <f t="shared" si="69"/>
        <v>15.814219553440315</v>
      </c>
      <c r="U158" s="75">
        <f t="shared" si="69"/>
        <v>0</v>
      </c>
      <c r="V158" s="126">
        <v>0</v>
      </c>
      <c r="W158" s="127">
        <v>0</v>
      </c>
      <c r="X158" s="75">
        <v>23.443999999999999</v>
      </c>
      <c r="Y158" s="76">
        <f t="shared" si="72"/>
        <v>73.555999999999997</v>
      </c>
      <c r="Z158" s="75">
        <v>3</v>
      </c>
      <c r="AA158" s="126">
        <v>9.7080000000000002</v>
      </c>
      <c r="AB158" s="76">
        <f t="shared" si="64"/>
        <v>53.652999999999999</v>
      </c>
      <c r="AC158" s="127">
        <v>36.639000000000003</v>
      </c>
      <c r="AD158" s="75">
        <v>0</v>
      </c>
      <c r="AE158" s="76">
        <v>0</v>
      </c>
      <c r="AF158" s="127">
        <v>0</v>
      </c>
      <c r="AG158" s="11" t="s">
        <v>69</v>
      </c>
      <c r="AN158" s="33"/>
      <c r="AO158" s="33"/>
      <c r="AP158" s="33"/>
      <c r="AQ158" s="238" t="s">
        <v>73</v>
      </c>
      <c r="AR158" s="223"/>
      <c r="AS158" s="11">
        <v>0</v>
      </c>
      <c r="AT158" s="11">
        <v>85</v>
      </c>
      <c r="AU158" s="11">
        <v>15</v>
      </c>
      <c r="AV158" s="224">
        <v>0</v>
      </c>
      <c r="AW158" s="33">
        <v>1</v>
      </c>
      <c r="AX158" s="33">
        <f t="shared" si="73"/>
        <v>3.3668299999999998</v>
      </c>
      <c r="AY158" s="33">
        <f>AA158*$Z$2+AB158*$AA$2+AC158*$AB$2</f>
        <v>3.1628930000000004</v>
      </c>
      <c r="AZ158" s="33">
        <v>1</v>
      </c>
      <c r="BA158" s="223"/>
      <c r="BB158" s="11">
        <f t="shared" ref="BB158:BB189" si="74">AS158/AW158</f>
        <v>0</v>
      </c>
      <c r="BC158" s="11">
        <f t="shared" ref="BC158:BC189" si="75">AT158/AX158</f>
        <v>25.246299931983501</v>
      </c>
      <c r="BD158" s="11">
        <f t="shared" ref="BD158:BD189" si="76">AU158/AY158</f>
        <v>4.7424936600763914</v>
      </c>
      <c r="BE158" s="224">
        <f t="shared" ref="BE158:BE189" si="77">AV158/AZ158</f>
        <v>0</v>
      </c>
    </row>
    <row r="159" spans="1:57" s="11" customFormat="1">
      <c r="A159" s="11" t="s">
        <v>648</v>
      </c>
      <c r="B159" s="11" t="s">
        <v>649</v>
      </c>
      <c r="C159" s="11" t="s">
        <v>106</v>
      </c>
      <c r="D159" s="11" t="s">
        <v>642</v>
      </c>
      <c r="E159" s="11" t="s">
        <v>643</v>
      </c>
      <c r="G159" s="11" t="s">
        <v>644</v>
      </c>
      <c r="H159" s="11" t="s">
        <v>645</v>
      </c>
      <c r="J159" s="11">
        <v>0</v>
      </c>
      <c r="K159" s="11">
        <v>38</v>
      </c>
      <c r="L159" s="11" t="s">
        <v>64</v>
      </c>
      <c r="M159" s="11" t="s">
        <v>65</v>
      </c>
      <c r="O159" s="11" t="s">
        <v>646</v>
      </c>
      <c r="P159" s="11">
        <v>0</v>
      </c>
      <c r="Q159" s="11" t="s">
        <v>647</v>
      </c>
      <c r="R159" s="126">
        <f t="shared" ref="R159:R178" si="78">BB159/SUMIF($BB159:$BE159, "&lt;&gt;#VALUE!")*100</f>
        <v>0</v>
      </c>
      <c r="S159" s="75">
        <f t="shared" ref="S159:S178" si="79">BC159/SUMIF($BB159:$BE159, "&lt;&gt;#VALUE!")*100</f>
        <v>48.438394706789254</v>
      </c>
      <c r="T159" s="75">
        <f t="shared" ref="T159:T178" si="80">BD159/SUMIF($BB159:$BE159, "&lt;&gt;#VALUE!")*100</f>
        <v>51.561605293210746</v>
      </c>
      <c r="U159" s="75">
        <f t="shared" ref="U159:U178" si="81">BE159/SUMIF($BB159:$BE159, "&lt;&gt;#VALUE!")*100</f>
        <v>0</v>
      </c>
      <c r="V159" s="126">
        <v>0</v>
      </c>
      <c r="W159" s="127">
        <v>0</v>
      </c>
      <c r="X159" s="75">
        <v>23.443999999999999</v>
      </c>
      <c r="Y159" s="76">
        <f t="shared" si="72"/>
        <v>73.555999999999997</v>
      </c>
      <c r="Z159" s="75">
        <v>3</v>
      </c>
      <c r="AA159" s="126">
        <v>9.7080000000000002</v>
      </c>
      <c r="AB159" s="76">
        <f t="shared" si="64"/>
        <v>53.652999999999999</v>
      </c>
      <c r="AC159" s="127">
        <v>36.639000000000003</v>
      </c>
      <c r="AD159" s="75">
        <v>0</v>
      </c>
      <c r="AE159" s="76">
        <v>0</v>
      </c>
      <c r="AF159" s="127">
        <v>0</v>
      </c>
      <c r="AG159" s="11" t="s">
        <v>69</v>
      </c>
      <c r="AN159" s="33"/>
      <c r="AO159" s="33"/>
      <c r="AP159" s="33"/>
      <c r="AQ159" s="238" t="s">
        <v>73</v>
      </c>
      <c r="AR159" s="223"/>
      <c r="AS159" s="11">
        <v>0</v>
      </c>
      <c r="AT159" s="11">
        <v>50</v>
      </c>
      <c r="AU159" s="11">
        <v>50</v>
      </c>
      <c r="AV159" s="224">
        <v>0</v>
      </c>
      <c r="AW159" s="33">
        <v>1</v>
      </c>
      <c r="AX159" s="33">
        <f t="shared" si="73"/>
        <v>3.3668299999999998</v>
      </c>
      <c r="AY159" s="33">
        <f>AA159*$Z$2+AB159*$AA$2+AC159*$AB$2</f>
        <v>3.1628930000000004</v>
      </c>
      <c r="AZ159" s="33">
        <v>1</v>
      </c>
      <c r="BA159" s="223"/>
      <c r="BB159" s="11">
        <f t="shared" si="74"/>
        <v>0</v>
      </c>
      <c r="BC159" s="11">
        <f t="shared" si="75"/>
        <v>14.850764665872648</v>
      </c>
      <c r="BD159" s="11">
        <f t="shared" si="76"/>
        <v>15.808312200254639</v>
      </c>
      <c r="BE159" s="224">
        <f t="shared" si="77"/>
        <v>0</v>
      </c>
    </row>
    <row r="160" spans="1:57" s="11" customFormat="1">
      <c r="A160" s="11" t="s">
        <v>650</v>
      </c>
      <c r="B160" s="11" t="s">
        <v>651</v>
      </c>
      <c r="C160" s="11" t="s">
        <v>106</v>
      </c>
      <c r="D160" s="11" t="s">
        <v>642</v>
      </c>
      <c r="E160" s="11" t="s">
        <v>643</v>
      </c>
      <c r="G160" s="11" t="s">
        <v>644</v>
      </c>
      <c r="H160" s="11" t="s">
        <v>652</v>
      </c>
      <c r="J160" s="11">
        <v>0</v>
      </c>
      <c r="K160" s="11">
        <v>38</v>
      </c>
      <c r="L160" s="11" t="s">
        <v>64</v>
      </c>
      <c r="M160" s="11" t="s">
        <v>65</v>
      </c>
      <c r="O160" s="11" t="s">
        <v>646</v>
      </c>
      <c r="P160" s="11">
        <v>0</v>
      </c>
      <c r="Q160" s="11" t="s">
        <v>647</v>
      </c>
      <c r="R160" s="126">
        <f t="shared" si="78"/>
        <v>69.920838221373742</v>
      </c>
      <c r="S160" s="75">
        <f t="shared" si="79"/>
        <v>30.079161778626258</v>
      </c>
      <c r="T160" s="75">
        <f t="shared" si="80"/>
        <v>0</v>
      </c>
      <c r="U160" s="75">
        <f t="shared" si="81"/>
        <v>0</v>
      </c>
      <c r="V160" s="126">
        <v>9.7799999999999994</v>
      </c>
      <c r="W160" s="127">
        <f t="shared" ref="W160:W172" si="82">100 - $V160</f>
        <v>90.22</v>
      </c>
      <c r="X160" s="75">
        <v>23.443999999999999</v>
      </c>
      <c r="Y160" s="76">
        <f t="shared" si="72"/>
        <v>73.555999999999997</v>
      </c>
      <c r="Z160" s="75">
        <v>3</v>
      </c>
      <c r="AA160" s="126">
        <v>0</v>
      </c>
      <c r="AB160" s="76">
        <v>0</v>
      </c>
      <c r="AC160" s="127">
        <v>0</v>
      </c>
      <c r="AD160" s="75">
        <v>0</v>
      </c>
      <c r="AE160" s="76">
        <v>0</v>
      </c>
      <c r="AF160" s="127">
        <v>0</v>
      </c>
      <c r="AG160" s="11" t="s">
        <v>69</v>
      </c>
      <c r="AN160" s="33"/>
      <c r="AO160" s="33"/>
      <c r="AP160" s="33"/>
      <c r="AQ160" s="238" t="s">
        <v>73</v>
      </c>
      <c r="AR160" s="223"/>
      <c r="AS160" s="11">
        <v>70</v>
      </c>
      <c r="AT160" s="11">
        <v>30</v>
      </c>
      <c r="AU160" s="11">
        <v>0</v>
      </c>
      <c r="AV160" s="224">
        <v>0</v>
      </c>
      <c r="AW160" s="33">
        <f t="shared" ref="AW160:AW172" si="83">V160*$X$2 + W160*$Y$2</f>
        <v>3.3795359999999999</v>
      </c>
      <c r="AX160" s="33">
        <f t="shared" si="73"/>
        <v>3.3668299999999998</v>
      </c>
      <c r="AY160" s="33">
        <v>1</v>
      </c>
      <c r="AZ160" s="33">
        <v>1</v>
      </c>
      <c r="BA160" s="223"/>
      <c r="BB160" s="11">
        <f t="shared" si="74"/>
        <v>20.712902599646817</v>
      </c>
      <c r="BC160" s="11">
        <f t="shared" si="75"/>
        <v>8.9104587995235889</v>
      </c>
      <c r="BD160" s="11">
        <f t="shared" si="76"/>
        <v>0</v>
      </c>
      <c r="BE160" s="224">
        <f t="shared" si="77"/>
        <v>0</v>
      </c>
    </row>
    <row r="161" spans="1:57" s="11" customFormat="1">
      <c r="A161" s="11" t="s">
        <v>653</v>
      </c>
      <c r="B161" s="11" t="s">
        <v>654</v>
      </c>
      <c r="C161" s="11" t="s">
        <v>106</v>
      </c>
      <c r="D161" s="11" t="s">
        <v>642</v>
      </c>
      <c r="E161" s="11" t="s">
        <v>643</v>
      </c>
      <c r="G161" s="11" t="s">
        <v>644</v>
      </c>
      <c r="H161" s="11" t="s">
        <v>655</v>
      </c>
      <c r="J161" s="11">
        <v>0</v>
      </c>
      <c r="K161" s="11">
        <v>38</v>
      </c>
      <c r="L161" s="11" t="s">
        <v>64</v>
      </c>
      <c r="M161" s="11" t="s">
        <v>65</v>
      </c>
      <c r="O161" s="11" t="s">
        <v>646</v>
      </c>
      <c r="P161" s="11">
        <v>0</v>
      </c>
      <c r="Q161" s="11" t="s">
        <v>647</v>
      </c>
      <c r="R161" s="126">
        <f t="shared" si="78"/>
        <v>39.679026622542992</v>
      </c>
      <c r="S161" s="75">
        <f t="shared" si="79"/>
        <v>50.781682210773674</v>
      </c>
      <c r="T161" s="75">
        <f t="shared" si="80"/>
        <v>9.5392911666833324</v>
      </c>
      <c r="U161" s="75">
        <f t="shared" si="81"/>
        <v>0</v>
      </c>
      <c r="V161" s="126">
        <v>9.7799999999999994</v>
      </c>
      <c r="W161" s="127">
        <f t="shared" si="82"/>
        <v>90.22</v>
      </c>
      <c r="X161" s="75">
        <v>23.443999999999999</v>
      </c>
      <c r="Y161" s="76">
        <f t="shared" si="72"/>
        <v>73.555999999999997</v>
      </c>
      <c r="Z161" s="75">
        <v>3</v>
      </c>
      <c r="AA161" s="126">
        <v>9.7080000000000002</v>
      </c>
      <c r="AB161" s="76">
        <f>100 - $AA161 - $AC161</f>
        <v>53.652999999999999</v>
      </c>
      <c r="AC161" s="127">
        <v>36.639000000000003</v>
      </c>
      <c r="AD161" s="75">
        <v>0</v>
      </c>
      <c r="AE161" s="76">
        <v>0</v>
      </c>
      <c r="AF161" s="127">
        <v>0</v>
      </c>
      <c r="AG161" s="11" t="s">
        <v>69</v>
      </c>
      <c r="AN161" s="33"/>
      <c r="AO161" s="33"/>
      <c r="AP161" s="33"/>
      <c r="AQ161" s="238" t="s">
        <v>73</v>
      </c>
      <c r="AR161" s="223"/>
      <c r="AS161" s="11">
        <v>40</v>
      </c>
      <c r="AT161" s="11">
        <v>51</v>
      </c>
      <c r="AU161" s="11">
        <v>9</v>
      </c>
      <c r="AV161" s="224">
        <v>0</v>
      </c>
      <c r="AW161" s="33">
        <f t="shared" si="83"/>
        <v>3.3795359999999999</v>
      </c>
      <c r="AX161" s="33">
        <f t="shared" si="73"/>
        <v>3.3668299999999998</v>
      </c>
      <c r="AY161" s="33">
        <f>AA161*$Z$2+AB161*$AA$2+AC161*$AB$2</f>
        <v>3.1628930000000004</v>
      </c>
      <c r="AZ161" s="33">
        <v>1</v>
      </c>
      <c r="BA161" s="223"/>
      <c r="BB161" s="11">
        <f t="shared" si="74"/>
        <v>11.835944342655324</v>
      </c>
      <c r="BC161" s="11">
        <f t="shared" si="75"/>
        <v>15.1477799591901</v>
      </c>
      <c r="BD161" s="11">
        <f t="shared" si="76"/>
        <v>2.8454961960458349</v>
      </c>
      <c r="BE161" s="224">
        <f t="shared" si="77"/>
        <v>0</v>
      </c>
    </row>
    <row r="162" spans="1:57" s="11" customFormat="1">
      <c r="A162" s="11" t="s">
        <v>656</v>
      </c>
      <c r="B162" s="11" t="s">
        <v>657</v>
      </c>
      <c r="C162" s="11" t="s">
        <v>106</v>
      </c>
      <c r="D162" s="11" t="s">
        <v>642</v>
      </c>
      <c r="E162" s="11" t="s">
        <v>643</v>
      </c>
      <c r="G162" s="11" t="s">
        <v>644</v>
      </c>
      <c r="H162" s="11" t="s">
        <v>658</v>
      </c>
      <c r="J162" s="11">
        <v>0</v>
      </c>
      <c r="K162" s="11">
        <v>38</v>
      </c>
      <c r="L162" s="11" t="s">
        <v>64</v>
      </c>
      <c r="M162" s="11" t="s">
        <v>65</v>
      </c>
      <c r="O162" s="11" t="s">
        <v>646</v>
      </c>
      <c r="P162" s="11">
        <v>0</v>
      </c>
      <c r="Q162" s="11" t="s">
        <v>647</v>
      </c>
      <c r="R162" s="126">
        <f t="shared" si="78"/>
        <v>77.91240047242492</v>
      </c>
      <c r="S162" s="75">
        <f t="shared" si="79"/>
        <v>8.309433425006997</v>
      </c>
      <c r="T162" s="75">
        <f t="shared" si="80"/>
        <v>1.5609192413577757</v>
      </c>
      <c r="U162" s="75">
        <f t="shared" si="81"/>
        <v>12.21724686121029</v>
      </c>
      <c r="V162" s="126">
        <v>9.7799999999999994</v>
      </c>
      <c r="W162" s="127">
        <f t="shared" si="82"/>
        <v>90.22</v>
      </c>
      <c r="X162" s="75">
        <v>23.443999999999999</v>
      </c>
      <c r="Y162" s="76">
        <f t="shared" si="72"/>
        <v>73.555999999999997</v>
      </c>
      <c r="Z162" s="75">
        <v>3</v>
      </c>
      <c r="AA162" s="126">
        <v>9.7080000000000002</v>
      </c>
      <c r="AB162" s="76">
        <f>100 - $AA162 - $AC162</f>
        <v>53.652999999999999</v>
      </c>
      <c r="AC162" s="127">
        <v>36.639000000000003</v>
      </c>
      <c r="AD162" s="75">
        <v>67.869795999999994</v>
      </c>
      <c r="AE162" s="76">
        <f>100 - $AD162 - $AF162</f>
        <v>31.063849000000005</v>
      </c>
      <c r="AF162" s="127">
        <v>1.0663549999999999</v>
      </c>
      <c r="AG162" s="11" t="s">
        <v>69</v>
      </c>
      <c r="AN162" s="33"/>
      <c r="AO162" s="33"/>
      <c r="AP162" s="33"/>
      <c r="AQ162" s="238" t="s">
        <v>73</v>
      </c>
      <c r="AR162" s="223"/>
      <c r="AS162" s="11">
        <v>80</v>
      </c>
      <c r="AT162" s="11">
        <v>8.5</v>
      </c>
      <c r="AU162" s="11">
        <v>1.5</v>
      </c>
      <c r="AV162" s="224">
        <v>10</v>
      </c>
      <c r="AW162" s="33">
        <f t="shared" si="83"/>
        <v>3.3795359999999999</v>
      </c>
      <c r="AX162" s="33">
        <f t="shared" si="73"/>
        <v>3.3668299999999998</v>
      </c>
      <c r="AY162" s="33">
        <f>AA162*$Z$2+AB162*$AA$2+AC162*$AB$2</f>
        <v>3.1628930000000004</v>
      </c>
      <c r="AZ162" s="33">
        <f>AD162*$AC$2+AE162*$AD$2+AF162*$AE$2</f>
        <v>2.6940169626000001</v>
      </c>
      <c r="BA162" s="223"/>
      <c r="BB162" s="11">
        <f t="shared" si="74"/>
        <v>23.671888685310648</v>
      </c>
      <c r="BC162" s="11">
        <f t="shared" si="75"/>
        <v>2.5246299931983498</v>
      </c>
      <c r="BD162" s="11">
        <f t="shared" si="76"/>
        <v>0.47424936600763917</v>
      </c>
      <c r="BE162" s="224">
        <f t="shared" si="77"/>
        <v>3.7119291150821057</v>
      </c>
    </row>
    <row r="163" spans="1:57" s="11" customFormat="1">
      <c r="A163" s="11" t="s">
        <v>659</v>
      </c>
      <c r="B163" s="11" t="s">
        <v>660</v>
      </c>
      <c r="C163" s="11" t="s">
        <v>106</v>
      </c>
      <c r="D163" s="11" t="s">
        <v>642</v>
      </c>
      <c r="E163" s="11" t="s">
        <v>643</v>
      </c>
      <c r="G163" s="11" t="s">
        <v>644</v>
      </c>
      <c r="H163" s="11" t="s">
        <v>652</v>
      </c>
      <c r="J163" s="11">
        <v>0</v>
      </c>
      <c r="K163" s="11">
        <v>38</v>
      </c>
      <c r="L163" s="11" t="s">
        <v>64</v>
      </c>
      <c r="M163" s="11" t="s">
        <v>65</v>
      </c>
      <c r="O163" s="11" t="s">
        <v>646</v>
      </c>
      <c r="P163" s="11">
        <v>0</v>
      </c>
      <c r="Q163" s="11" t="s">
        <v>647</v>
      </c>
      <c r="R163" s="126">
        <f t="shared" si="78"/>
        <v>9.9661500840046511</v>
      </c>
      <c r="S163" s="75">
        <f t="shared" si="79"/>
        <v>90.033849915995347</v>
      </c>
      <c r="T163" s="75">
        <f t="shared" si="80"/>
        <v>0</v>
      </c>
      <c r="U163" s="75">
        <f t="shared" si="81"/>
        <v>0</v>
      </c>
      <c r="V163" s="126">
        <v>9.7799999999999994</v>
      </c>
      <c r="W163" s="127">
        <f t="shared" si="82"/>
        <v>90.22</v>
      </c>
      <c r="X163" s="75">
        <v>23.443999999999999</v>
      </c>
      <c r="Y163" s="76">
        <f t="shared" si="72"/>
        <v>73.555999999999997</v>
      </c>
      <c r="Z163" s="75">
        <v>3</v>
      </c>
      <c r="AA163" s="126">
        <v>0</v>
      </c>
      <c r="AB163" s="76">
        <v>0</v>
      </c>
      <c r="AC163" s="127">
        <v>0</v>
      </c>
      <c r="AD163" s="75">
        <v>0</v>
      </c>
      <c r="AE163" s="76">
        <v>0</v>
      </c>
      <c r="AF163" s="127">
        <v>0</v>
      </c>
      <c r="AG163" s="11" t="s">
        <v>69</v>
      </c>
      <c r="AN163" s="33"/>
      <c r="AO163" s="33"/>
      <c r="AP163" s="33"/>
      <c r="AQ163" s="238" t="s">
        <v>73</v>
      </c>
      <c r="AR163" s="223"/>
      <c r="AS163" s="11">
        <v>10</v>
      </c>
      <c r="AT163" s="11">
        <v>90</v>
      </c>
      <c r="AU163" s="11">
        <v>0</v>
      </c>
      <c r="AV163" s="224">
        <v>0</v>
      </c>
      <c r="AW163" s="33">
        <f t="shared" si="83"/>
        <v>3.3795359999999999</v>
      </c>
      <c r="AX163" s="33">
        <f t="shared" si="73"/>
        <v>3.3668299999999998</v>
      </c>
      <c r="AY163" s="33">
        <v>1</v>
      </c>
      <c r="AZ163" s="33">
        <v>1</v>
      </c>
      <c r="BA163" s="223"/>
      <c r="BB163" s="11">
        <f t="shared" si="74"/>
        <v>2.958986085663831</v>
      </c>
      <c r="BC163" s="11">
        <f t="shared" si="75"/>
        <v>26.731376398570763</v>
      </c>
      <c r="BD163" s="11">
        <f t="shared" si="76"/>
        <v>0</v>
      </c>
      <c r="BE163" s="224">
        <f t="shared" si="77"/>
        <v>0</v>
      </c>
    </row>
    <row r="164" spans="1:57" s="11" customFormat="1">
      <c r="A164" s="11" t="s">
        <v>661</v>
      </c>
      <c r="B164" s="11" t="s">
        <v>662</v>
      </c>
      <c r="C164" s="11" t="s">
        <v>106</v>
      </c>
      <c r="D164" s="11" t="s">
        <v>642</v>
      </c>
      <c r="E164" s="11" t="s">
        <v>643</v>
      </c>
      <c r="G164" s="11" t="s">
        <v>644</v>
      </c>
      <c r="H164" s="11" t="s">
        <v>652</v>
      </c>
      <c r="J164" s="11">
        <v>0</v>
      </c>
      <c r="K164" s="11">
        <v>38</v>
      </c>
      <c r="L164" s="11" t="s">
        <v>64</v>
      </c>
      <c r="M164" s="11" t="s">
        <v>65</v>
      </c>
      <c r="O164" s="11" t="s">
        <v>646</v>
      </c>
      <c r="P164" s="11">
        <v>0</v>
      </c>
      <c r="Q164" s="11" t="s">
        <v>647</v>
      </c>
      <c r="R164" s="126">
        <f t="shared" si="78"/>
        <v>29.920957405228783</v>
      </c>
      <c r="S164" s="75">
        <f t="shared" si="79"/>
        <v>70.079042594771224</v>
      </c>
      <c r="T164" s="75">
        <f t="shared" si="80"/>
        <v>0</v>
      </c>
      <c r="U164" s="75">
        <f t="shared" si="81"/>
        <v>0</v>
      </c>
      <c r="V164" s="126">
        <v>9.7799999999999994</v>
      </c>
      <c r="W164" s="127">
        <f t="shared" si="82"/>
        <v>90.22</v>
      </c>
      <c r="X164" s="75">
        <v>23.443999999999999</v>
      </c>
      <c r="Y164" s="76">
        <f t="shared" si="72"/>
        <v>73.555999999999997</v>
      </c>
      <c r="Z164" s="75">
        <v>3</v>
      </c>
      <c r="AA164" s="126">
        <v>0</v>
      </c>
      <c r="AB164" s="76">
        <v>0</v>
      </c>
      <c r="AC164" s="127">
        <v>0</v>
      </c>
      <c r="AD164" s="75">
        <v>0</v>
      </c>
      <c r="AE164" s="76">
        <v>0</v>
      </c>
      <c r="AF164" s="127">
        <v>0</v>
      </c>
      <c r="AG164" s="11" t="s">
        <v>69</v>
      </c>
      <c r="AN164" s="33"/>
      <c r="AO164" s="33"/>
      <c r="AP164" s="33"/>
      <c r="AQ164" s="238" t="s">
        <v>73</v>
      </c>
      <c r="AR164" s="223"/>
      <c r="AS164" s="11">
        <v>30</v>
      </c>
      <c r="AT164" s="11">
        <v>70</v>
      </c>
      <c r="AU164" s="11">
        <v>0</v>
      </c>
      <c r="AV164" s="224">
        <v>0</v>
      </c>
      <c r="AW164" s="33">
        <f t="shared" si="83"/>
        <v>3.3795359999999999</v>
      </c>
      <c r="AX164" s="33">
        <f t="shared" si="73"/>
        <v>3.3668299999999998</v>
      </c>
      <c r="AY164" s="33">
        <v>1</v>
      </c>
      <c r="AZ164" s="33">
        <v>1</v>
      </c>
      <c r="BA164" s="223"/>
      <c r="BB164" s="11">
        <f t="shared" si="74"/>
        <v>8.8769582569914931</v>
      </c>
      <c r="BC164" s="11">
        <f t="shared" si="75"/>
        <v>20.791070532221706</v>
      </c>
      <c r="BD164" s="11">
        <f t="shared" si="76"/>
        <v>0</v>
      </c>
      <c r="BE164" s="224">
        <f t="shared" si="77"/>
        <v>0</v>
      </c>
    </row>
    <row r="165" spans="1:57" s="11" customFormat="1">
      <c r="A165" s="11" t="s">
        <v>663</v>
      </c>
      <c r="B165" s="11" t="s">
        <v>664</v>
      </c>
      <c r="C165" s="11" t="s">
        <v>106</v>
      </c>
      <c r="D165" s="11" t="s">
        <v>642</v>
      </c>
      <c r="E165" s="11" t="s">
        <v>643</v>
      </c>
      <c r="G165" s="11" t="s">
        <v>644</v>
      </c>
      <c r="H165" s="11" t="s">
        <v>652</v>
      </c>
      <c r="J165" s="11">
        <v>0</v>
      </c>
      <c r="K165" s="11">
        <v>38</v>
      </c>
      <c r="L165" s="11" t="s">
        <v>64</v>
      </c>
      <c r="M165" s="11" t="s">
        <v>65</v>
      </c>
      <c r="O165" s="11" t="s">
        <v>646</v>
      </c>
      <c r="P165" s="11">
        <v>0</v>
      </c>
      <c r="Q165" s="11" t="s">
        <v>647</v>
      </c>
      <c r="R165" s="126">
        <f t="shared" si="78"/>
        <v>49.905830783565555</v>
      </c>
      <c r="S165" s="75">
        <f t="shared" si="79"/>
        <v>50.094169216434445</v>
      </c>
      <c r="T165" s="75">
        <f t="shared" si="80"/>
        <v>0</v>
      </c>
      <c r="U165" s="75">
        <f t="shared" si="81"/>
        <v>0</v>
      </c>
      <c r="V165" s="126">
        <v>9.7799999999999994</v>
      </c>
      <c r="W165" s="127">
        <f t="shared" si="82"/>
        <v>90.22</v>
      </c>
      <c r="X165" s="75">
        <v>23.443999999999999</v>
      </c>
      <c r="Y165" s="76">
        <f t="shared" si="72"/>
        <v>73.555999999999997</v>
      </c>
      <c r="Z165" s="75">
        <v>3</v>
      </c>
      <c r="AA165" s="126">
        <v>0</v>
      </c>
      <c r="AB165" s="76">
        <v>0</v>
      </c>
      <c r="AC165" s="127">
        <v>0</v>
      </c>
      <c r="AD165" s="75">
        <v>0</v>
      </c>
      <c r="AE165" s="76">
        <v>0</v>
      </c>
      <c r="AF165" s="127">
        <v>0</v>
      </c>
      <c r="AG165" s="11" t="s">
        <v>69</v>
      </c>
      <c r="AN165" s="33"/>
      <c r="AO165" s="33"/>
      <c r="AP165" s="33"/>
      <c r="AQ165" s="238" t="s">
        <v>73</v>
      </c>
      <c r="AR165" s="223"/>
      <c r="AS165" s="11">
        <v>50</v>
      </c>
      <c r="AT165" s="11">
        <v>50</v>
      </c>
      <c r="AU165" s="11">
        <v>0</v>
      </c>
      <c r="AV165" s="224">
        <v>0</v>
      </c>
      <c r="AW165" s="33">
        <f t="shared" si="83"/>
        <v>3.3795359999999999</v>
      </c>
      <c r="AX165" s="33">
        <f t="shared" si="73"/>
        <v>3.3668299999999998</v>
      </c>
      <c r="AY165" s="33">
        <v>1</v>
      </c>
      <c r="AZ165" s="33">
        <v>1</v>
      </c>
      <c r="BA165" s="223"/>
      <c r="BB165" s="11">
        <f t="shared" si="74"/>
        <v>14.794930428319155</v>
      </c>
      <c r="BC165" s="11">
        <f t="shared" si="75"/>
        <v>14.850764665872648</v>
      </c>
      <c r="BD165" s="11">
        <f t="shared" si="76"/>
        <v>0</v>
      </c>
      <c r="BE165" s="224">
        <f t="shared" si="77"/>
        <v>0</v>
      </c>
    </row>
    <row r="166" spans="1:57" s="11" customFormat="1">
      <c r="A166" s="11" t="s">
        <v>665</v>
      </c>
      <c r="B166" s="11" t="s">
        <v>666</v>
      </c>
      <c r="C166" s="11" t="s">
        <v>106</v>
      </c>
      <c r="D166" s="11" t="s">
        <v>642</v>
      </c>
      <c r="E166" s="11" t="s">
        <v>643</v>
      </c>
      <c r="G166" s="11" t="s">
        <v>644</v>
      </c>
      <c r="H166" s="11" t="s">
        <v>652</v>
      </c>
      <c r="J166" s="11">
        <v>0</v>
      </c>
      <c r="K166" s="11">
        <v>38</v>
      </c>
      <c r="L166" s="11" t="s">
        <v>64</v>
      </c>
      <c r="M166" s="11" t="s">
        <v>65</v>
      </c>
      <c r="O166" s="11" t="s">
        <v>646</v>
      </c>
      <c r="P166" s="11">
        <v>0</v>
      </c>
      <c r="Q166" s="11" t="s">
        <v>647</v>
      </c>
      <c r="R166" s="126">
        <f t="shared" si="78"/>
        <v>89.966047926240691</v>
      </c>
      <c r="S166" s="75">
        <f t="shared" si="79"/>
        <v>10.033952073759316</v>
      </c>
      <c r="T166" s="75">
        <f t="shared" si="80"/>
        <v>0</v>
      </c>
      <c r="U166" s="75">
        <f t="shared" si="81"/>
        <v>0</v>
      </c>
      <c r="V166" s="126">
        <v>9.7799999999999994</v>
      </c>
      <c r="W166" s="127">
        <f t="shared" si="82"/>
        <v>90.22</v>
      </c>
      <c r="X166" s="75">
        <v>23.443999999999999</v>
      </c>
      <c r="Y166" s="76">
        <f t="shared" si="72"/>
        <v>73.555999999999997</v>
      </c>
      <c r="Z166" s="75">
        <v>3</v>
      </c>
      <c r="AA166" s="126">
        <v>0</v>
      </c>
      <c r="AB166" s="76">
        <v>0</v>
      </c>
      <c r="AC166" s="127">
        <v>0</v>
      </c>
      <c r="AD166" s="75">
        <v>0</v>
      </c>
      <c r="AE166" s="76">
        <v>0</v>
      </c>
      <c r="AF166" s="127">
        <v>0</v>
      </c>
      <c r="AG166" s="11" t="s">
        <v>69</v>
      </c>
      <c r="AN166" s="33"/>
      <c r="AO166" s="33"/>
      <c r="AP166" s="33"/>
      <c r="AQ166" s="238" t="s">
        <v>73</v>
      </c>
      <c r="AR166" s="223"/>
      <c r="AS166" s="11">
        <v>90</v>
      </c>
      <c r="AT166" s="11">
        <v>10</v>
      </c>
      <c r="AU166" s="11">
        <v>0</v>
      </c>
      <c r="AV166" s="224">
        <v>0</v>
      </c>
      <c r="AW166" s="33">
        <f t="shared" si="83"/>
        <v>3.3795359999999999</v>
      </c>
      <c r="AX166" s="33">
        <f t="shared" si="73"/>
        <v>3.3668299999999998</v>
      </c>
      <c r="AY166" s="33">
        <v>1</v>
      </c>
      <c r="AZ166" s="33">
        <v>1</v>
      </c>
      <c r="BA166" s="223"/>
      <c r="BB166" s="11">
        <f t="shared" si="74"/>
        <v>26.630874770974479</v>
      </c>
      <c r="BC166" s="11">
        <f t="shared" si="75"/>
        <v>2.9701529331745293</v>
      </c>
      <c r="BD166" s="11">
        <f t="shared" si="76"/>
        <v>0</v>
      </c>
      <c r="BE166" s="224">
        <f t="shared" si="77"/>
        <v>0</v>
      </c>
    </row>
    <row r="167" spans="1:57" s="11" customFormat="1">
      <c r="A167" s="11" t="s">
        <v>667</v>
      </c>
      <c r="B167" s="11" t="s">
        <v>668</v>
      </c>
      <c r="C167" s="11" t="s">
        <v>106</v>
      </c>
      <c r="D167" s="11" t="s">
        <v>642</v>
      </c>
      <c r="E167" s="11" t="s">
        <v>643</v>
      </c>
      <c r="G167" s="11" t="s">
        <v>644</v>
      </c>
      <c r="H167" s="11" t="s">
        <v>655</v>
      </c>
      <c r="J167" s="11">
        <v>0</v>
      </c>
      <c r="K167" s="11">
        <v>38</v>
      </c>
      <c r="L167" s="11" t="s">
        <v>64</v>
      </c>
      <c r="M167" s="11" t="s">
        <v>65</v>
      </c>
      <c r="O167" s="11" t="s">
        <v>646</v>
      </c>
      <c r="P167" s="11">
        <v>0</v>
      </c>
      <c r="Q167" s="11" t="s">
        <v>647</v>
      </c>
      <c r="R167" s="126">
        <f t="shared" si="78"/>
        <v>19.786588576573372</v>
      </c>
      <c r="S167" s="75">
        <f t="shared" si="79"/>
        <v>67.528286429621559</v>
      </c>
      <c r="T167" s="75">
        <f t="shared" si="80"/>
        <v>12.685124993805061</v>
      </c>
      <c r="U167" s="75">
        <f t="shared" si="81"/>
        <v>0</v>
      </c>
      <c r="V167" s="126">
        <v>9.7799999999999994</v>
      </c>
      <c r="W167" s="127">
        <f t="shared" si="82"/>
        <v>90.22</v>
      </c>
      <c r="X167" s="75">
        <v>23.443999999999999</v>
      </c>
      <c r="Y167" s="76">
        <f t="shared" si="72"/>
        <v>73.555999999999997</v>
      </c>
      <c r="Z167" s="75">
        <v>3</v>
      </c>
      <c r="AA167" s="126">
        <v>9.7080000000000002</v>
      </c>
      <c r="AB167" s="76">
        <f t="shared" ref="AB167:AB197" si="84">100 - $AA167 - $AC167</f>
        <v>53.652999999999999</v>
      </c>
      <c r="AC167" s="127">
        <v>36.639000000000003</v>
      </c>
      <c r="AD167" s="75">
        <v>0</v>
      </c>
      <c r="AE167" s="76">
        <v>0</v>
      </c>
      <c r="AF167" s="127">
        <v>0</v>
      </c>
      <c r="AG167" s="11" t="s">
        <v>69</v>
      </c>
      <c r="AN167" s="33"/>
      <c r="AO167" s="33"/>
      <c r="AP167" s="33"/>
      <c r="AQ167" s="238" t="s">
        <v>73</v>
      </c>
      <c r="AR167" s="223"/>
      <c r="AS167" s="11">
        <v>20</v>
      </c>
      <c r="AT167" s="11">
        <v>68</v>
      </c>
      <c r="AU167" s="11">
        <v>12</v>
      </c>
      <c r="AV167" s="224">
        <v>0</v>
      </c>
      <c r="AW167" s="33">
        <f t="shared" si="83"/>
        <v>3.3795359999999999</v>
      </c>
      <c r="AX167" s="33">
        <f t="shared" si="73"/>
        <v>3.3668299999999998</v>
      </c>
      <c r="AY167" s="33">
        <f t="shared" ref="AY167:AY197" si="85">AA167*$Z$2+AB167*$AA$2+AC167*$AB$2</f>
        <v>3.1628930000000004</v>
      </c>
      <c r="AZ167" s="33">
        <v>1</v>
      </c>
      <c r="BA167" s="223"/>
      <c r="BB167" s="11">
        <f t="shared" si="74"/>
        <v>5.9179721713276621</v>
      </c>
      <c r="BC167" s="11">
        <f t="shared" si="75"/>
        <v>20.197039945586798</v>
      </c>
      <c r="BD167" s="11">
        <f t="shared" si="76"/>
        <v>3.7939949280611134</v>
      </c>
      <c r="BE167" s="224">
        <f t="shared" si="77"/>
        <v>0</v>
      </c>
    </row>
    <row r="168" spans="1:57" s="11" customFormat="1">
      <c r="A168" s="11" t="s">
        <v>669</v>
      </c>
      <c r="B168" s="11" t="s">
        <v>670</v>
      </c>
      <c r="C168" s="11" t="s">
        <v>106</v>
      </c>
      <c r="D168" s="11" t="s">
        <v>642</v>
      </c>
      <c r="E168" s="11" t="s">
        <v>643</v>
      </c>
      <c r="G168" s="11" t="s">
        <v>644</v>
      </c>
      <c r="H168" s="11" t="s">
        <v>655</v>
      </c>
      <c r="J168" s="11">
        <v>0</v>
      </c>
      <c r="K168" s="11">
        <v>38</v>
      </c>
      <c r="L168" s="11" t="s">
        <v>64</v>
      </c>
      <c r="M168" s="11" t="s">
        <v>65</v>
      </c>
      <c r="O168" s="11" t="s">
        <v>646</v>
      </c>
      <c r="P168" s="11">
        <v>0</v>
      </c>
      <c r="Q168" s="11" t="s">
        <v>647</v>
      </c>
      <c r="R168" s="126">
        <f t="shared" si="78"/>
        <v>29.719523401063697</v>
      </c>
      <c r="S168" s="75">
        <f t="shared" si="79"/>
        <v>59.166167726376273</v>
      </c>
      <c r="T168" s="75">
        <f t="shared" si="80"/>
        <v>11.114308872560031</v>
      </c>
      <c r="U168" s="75">
        <f t="shared" si="81"/>
        <v>0</v>
      </c>
      <c r="V168" s="126">
        <v>9.7799999999999994</v>
      </c>
      <c r="W168" s="127">
        <f t="shared" si="82"/>
        <v>90.22</v>
      </c>
      <c r="X168" s="75">
        <v>23.443999999999999</v>
      </c>
      <c r="Y168" s="76">
        <f t="shared" si="72"/>
        <v>73.555999999999997</v>
      </c>
      <c r="Z168" s="75">
        <v>3</v>
      </c>
      <c r="AA168" s="126">
        <v>9.7080000000000002</v>
      </c>
      <c r="AB168" s="76">
        <f t="shared" si="84"/>
        <v>53.652999999999999</v>
      </c>
      <c r="AC168" s="127">
        <v>36.639000000000003</v>
      </c>
      <c r="AD168" s="75">
        <v>0</v>
      </c>
      <c r="AE168" s="76">
        <v>0</v>
      </c>
      <c r="AF168" s="127">
        <v>0</v>
      </c>
      <c r="AG168" s="11" t="s">
        <v>69</v>
      </c>
      <c r="AN168" s="33"/>
      <c r="AO168" s="33"/>
      <c r="AP168" s="33"/>
      <c r="AQ168" s="238" t="s">
        <v>73</v>
      </c>
      <c r="AR168" s="223"/>
      <c r="AS168" s="11">
        <v>30</v>
      </c>
      <c r="AT168" s="11">
        <v>59.5</v>
      </c>
      <c r="AU168" s="11">
        <v>10.5</v>
      </c>
      <c r="AV168" s="224">
        <v>0</v>
      </c>
      <c r="AW168" s="33">
        <f t="shared" si="83"/>
        <v>3.3795359999999999</v>
      </c>
      <c r="AX168" s="33">
        <f t="shared" si="73"/>
        <v>3.3668299999999998</v>
      </c>
      <c r="AY168" s="33">
        <f t="shared" si="85"/>
        <v>3.1628930000000004</v>
      </c>
      <c r="AZ168" s="33">
        <v>1</v>
      </c>
      <c r="BA168" s="223"/>
      <c r="BB168" s="11">
        <f t="shared" si="74"/>
        <v>8.8769582569914931</v>
      </c>
      <c r="BC168" s="11">
        <f t="shared" si="75"/>
        <v>17.672409952388449</v>
      </c>
      <c r="BD168" s="11">
        <f t="shared" si="76"/>
        <v>3.3197455620534742</v>
      </c>
      <c r="BE168" s="224">
        <f t="shared" si="77"/>
        <v>0</v>
      </c>
    </row>
    <row r="169" spans="1:57" s="11" customFormat="1">
      <c r="A169" s="11" t="s">
        <v>671</v>
      </c>
      <c r="B169" s="11" t="s">
        <v>672</v>
      </c>
      <c r="C169" s="11" t="s">
        <v>106</v>
      </c>
      <c r="D169" s="11" t="s">
        <v>642</v>
      </c>
      <c r="E169" s="11" t="s">
        <v>643</v>
      </c>
      <c r="G169" s="11" t="s">
        <v>644</v>
      </c>
      <c r="H169" s="11" t="s">
        <v>655</v>
      </c>
      <c r="J169" s="11">
        <v>0</v>
      </c>
      <c r="K169" s="11">
        <v>38</v>
      </c>
      <c r="L169" s="11" t="s">
        <v>64</v>
      </c>
      <c r="M169" s="11" t="s">
        <v>65</v>
      </c>
      <c r="O169" s="11" t="s">
        <v>646</v>
      </c>
      <c r="P169" s="11">
        <v>0</v>
      </c>
      <c r="Q169" s="11" t="s">
        <v>647</v>
      </c>
      <c r="R169" s="126">
        <f t="shared" si="78"/>
        <v>49.665204980615087</v>
      </c>
      <c r="S169" s="75">
        <f t="shared" si="79"/>
        <v>42.374740023245245</v>
      </c>
      <c r="T169" s="75">
        <f t="shared" si="80"/>
        <v>7.9600549961396707</v>
      </c>
      <c r="U169" s="75">
        <f t="shared" si="81"/>
        <v>0</v>
      </c>
      <c r="V169" s="126">
        <v>9.7799999999999994</v>
      </c>
      <c r="W169" s="127">
        <f t="shared" si="82"/>
        <v>90.22</v>
      </c>
      <c r="X169" s="75">
        <v>23.443999999999999</v>
      </c>
      <c r="Y169" s="76">
        <f t="shared" si="72"/>
        <v>73.555999999999997</v>
      </c>
      <c r="Z169" s="75">
        <v>3</v>
      </c>
      <c r="AA169" s="126">
        <v>9.7080000000000002</v>
      </c>
      <c r="AB169" s="76">
        <f t="shared" si="84"/>
        <v>53.652999999999999</v>
      </c>
      <c r="AC169" s="127">
        <v>36.639000000000003</v>
      </c>
      <c r="AD169" s="75">
        <v>0</v>
      </c>
      <c r="AE169" s="76">
        <v>0</v>
      </c>
      <c r="AF169" s="127">
        <v>0</v>
      </c>
      <c r="AG169" s="11" t="s">
        <v>69</v>
      </c>
      <c r="AN169" s="33"/>
      <c r="AO169" s="33"/>
      <c r="AP169" s="33"/>
      <c r="AQ169" s="238" t="s">
        <v>73</v>
      </c>
      <c r="AR169" s="223"/>
      <c r="AS169" s="11">
        <v>50</v>
      </c>
      <c r="AT169" s="11">
        <v>42.5</v>
      </c>
      <c r="AU169" s="11">
        <v>7.5</v>
      </c>
      <c r="AV169" s="224">
        <v>0</v>
      </c>
      <c r="AW169" s="33">
        <f t="shared" si="83"/>
        <v>3.3795359999999999</v>
      </c>
      <c r="AX169" s="33">
        <f t="shared" si="73"/>
        <v>3.3668299999999998</v>
      </c>
      <c r="AY169" s="33">
        <f t="shared" si="85"/>
        <v>3.1628930000000004</v>
      </c>
      <c r="AZ169" s="33">
        <v>1</v>
      </c>
      <c r="BA169" s="223"/>
      <c r="BB169" s="11">
        <f t="shared" si="74"/>
        <v>14.794930428319155</v>
      </c>
      <c r="BC169" s="11">
        <f t="shared" si="75"/>
        <v>12.62314996599175</v>
      </c>
      <c r="BD169" s="11">
        <f t="shared" si="76"/>
        <v>2.3712468300381957</v>
      </c>
      <c r="BE169" s="224">
        <f t="shared" si="77"/>
        <v>0</v>
      </c>
    </row>
    <row r="170" spans="1:57" s="11" customFormat="1">
      <c r="A170" s="11" t="s">
        <v>673</v>
      </c>
      <c r="B170" s="11" t="s">
        <v>674</v>
      </c>
      <c r="C170" s="11" t="s">
        <v>106</v>
      </c>
      <c r="D170" s="11" t="s">
        <v>642</v>
      </c>
      <c r="E170" s="11" t="s">
        <v>643</v>
      </c>
      <c r="G170" s="11" t="s">
        <v>644</v>
      </c>
      <c r="H170" s="11" t="s">
        <v>655</v>
      </c>
      <c r="J170" s="11">
        <v>0</v>
      </c>
      <c r="K170" s="11">
        <v>38</v>
      </c>
      <c r="L170" s="11" t="s">
        <v>64</v>
      </c>
      <c r="M170" s="11" t="s">
        <v>65</v>
      </c>
      <c r="O170" s="11" t="s">
        <v>646</v>
      </c>
      <c r="P170" s="11">
        <v>0</v>
      </c>
      <c r="Q170" s="11" t="s">
        <v>647</v>
      </c>
      <c r="R170" s="126">
        <f t="shared" si="78"/>
        <v>59.678165787424739</v>
      </c>
      <c r="S170" s="75">
        <f t="shared" si="79"/>
        <v>33.945250822224402</v>
      </c>
      <c r="T170" s="75">
        <f t="shared" si="80"/>
        <v>6.3765833903508664</v>
      </c>
      <c r="U170" s="75">
        <f t="shared" si="81"/>
        <v>0</v>
      </c>
      <c r="V170" s="126">
        <v>9.7799999999999994</v>
      </c>
      <c r="W170" s="127">
        <f t="shared" si="82"/>
        <v>90.22</v>
      </c>
      <c r="X170" s="75">
        <v>23.443999999999999</v>
      </c>
      <c r="Y170" s="76">
        <f t="shared" si="72"/>
        <v>73.555999999999997</v>
      </c>
      <c r="Z170" s="75">
        <v>3</v>
      </c>
      <c r="AA170" s="126">
        <v>9.7080000000000002</v>
      </c>
      <c r="AB170" s="76">
        <f t="shared" si="84"/>
        <v>53.652999999999999</v>
      </c>
      <c r="AC170" s="127">
        <v>36.639000000000003</v>
      </c>
      <c r="AD170" s="75">
        <v>0</v>
      </c>
      <c r="AE170" s="76">
        <v>0</v>
      </c>
      <c r="AF170" s="127">
        <v>0</v>
      </c>
      <c r="AG170" s="11" t="s">
        <v>69</v>
      </c>
      <c r="AN170" s="33"/>
      <c r="AO170" s="33"/>
      <c r="AP170" s="33"/>
      <c r="AQ170" s="238" t="s">
        <v>73</v>
      </c>
      <c r="AR170" s="223"/>
      <c r="AS170" s="11">
        <v>60</v>
      </c>
      <c r="AT170" s="11">
        <v>34</v>
      </c>
      <c r="AU170" s="11">
        <v>6</v>
      </c>
      <c r="AV170" s="224">
        <v>0</v>
      </c>
      <c r="AW170" s="33">
        <f t="shared" si="83"/>
        <v>3.3795359999999999</v>
      </c>
      <c r="AX170" s="33">
        <f t="shared" si="73"/>
        <v>3.3668299999999998</v>
      </c>
      <c r="AY170" s="33">
        <f t="shared" si="85"/>
        <v>3.1628930000000004</v>
      </c>
      <c r="AZ170" s="33">
        <v>1</v>
      </c>
      <c r="BA170" s="223"/>
      <c r="BB170" s="11">
        <f t="shared" si="74"/>
        <v>17.753916513982986</v>
      </c>
      <c r="BC170" s="11">
        <f t="shared" si="75"/>
        <v>10.098519972793399</v>
      </c>
      <c r="BD170" s="11">
        <f t="shared" si="76"/>
        <v>1.8969974640305567</v>
      </c>
      <c r="BE170" s="224">
        <f t="shared" si="77"/>
        <v>0</v>
      </c>
    </row>
    <row r="171" spans="1:57" s="11" customFormat="1">
      <c r="A171" s="11" t="s">
        <v>675</v>
      </c>
      <c r="B171" s="11" t="s">
        <v>676</v>
      </c>
      <c r="C171" s="11" t="s">
        <v>106</v>
      </c>
      <c r="D171" s="11" t="s">
        <v>642</v>
      </c>
      <c r="E171" s="11" t="s">
        <v>643</v>
      </c>
      <c r="G171" s="11" t="s">
        <v>644</v>
      </c>
      <c r="H171" s="11" t="s">
        <v>655</v>
      </c>
      <c r="J171" s="11">
        <v>0</v>
      </c>
      <c r="K171" s="11">
        <v>38</v>
      </c>
      <c r="L171" s="11" t="s">
        <v>64</v>
      </c>
      <c r="M171" s="11" t="s">
        <v>65</v>
      </c>
      <c r="O171" s="11" t="s">
        <v>646</v>
      </c>
      <c r="P171" s="11">
        <v>0</v>
      </c>
      <c r="Q171" s="11" t="s">
        <v>647</v>
      </c>
      <c r="R171" s="126">
        <f t="shared" si="78"/>
        <v>69.718016931501595</v>
      </c>
      <c r="S171" s="75">
        <f t="shared" si="79"/>
        <v>25.493123780910437</v>
      </c>
      <c r="T171" s="75">
        <f t="shared" si="80"/>
        <v>4.7888592875879592</v>
      </c>
      <c r="U171" s="75">
        <f t="shared" si="81"/>
        <v>0</v>
      </c>
      <c r="V171" s="126">
        <v>9.7799999999999994</v>
      </c>
      <c r="W171" s="127">
        <f t="shared" si="82"/>
        <v>90.22</v>
      </c>
      <c r="X171" s="75">
        <v>23.443999999999999</v>
      </c>
      <c r="Y171" s="76">
        <f t="shared" si="72"/>
        <v>73.555999999999997</v>
      </c>
      <c r="Z171" s="75">
        <v>3</v>
      </c>
      <c r="AA171" s="126">
        <v>9.7080000000000002</v>
      </c>
      <c r="AB171" s="76">
        <f t="shared" si="84"/>
        <v>53.652999999999999</v>
      </c>
      <c r="AC171" s="127">
        <v>36.639000000000003</v>
      </c>
      <c r="AD171" s="75">
        <v>0</v>
      </c>
      <c r="AE171" s="76">
        <v>0</v>
      </c>
      <c r="AF171" s="127">
        <v>0</v>
      </c>
      <c r="AG171" s="11" t="s">
        <v>69</v>
      </c>
      <c r="AN171" s="33"/>
      <c r="AO171" s="33"/>
      <c r="AP171" s="33"/>
      <c r="AQ171" s="238" t="s">
        <v>73</v>
      </c>
      <c r="AR171" s="223"/>
      <c r="AS171" s="11">
        <v>70</v>
      </c>
      <c r="AT171" s="11">
        <v>25.5</v>
      </c>
      <c r="AU171" s="11">
        <v>4.5</v>
      </c>
      <c r="AV171" s="224">
        <v>0</v>
      </c>
      <c r="AW171" s="33">
        <f t="shared" si="83"/>
        <v>3.3795359999999999</v>
      </c>
      <c r="AX171" s="33">
        <f t="shared" si="73"/>
        <v>3.3668299999999998</v>
      </c>
      <c r="AY171" s="33">
        <f t="shared" si="85"/>
        <v>3.1628930000000004</v>
      </c>
      <c r="AZ171" s="33">
        <v>1</v>
      </c>
      <c r="BA171" s="223"/>
      <c r="BB171" s="11">
        <f t="shared" si="74"/>
        <v>20.712902599646817</v>
      </c>
      <c r="BC171" s="11">
        <f t="shared" si="75"/>
        <v>7.5738899795950498</v>
      </c>
      <c r="BD171" s="11">
        <f t="shared" si="76"/>
        <v>1.4227480980229175</v>
      </c>
      <c r="BE171" s="224">
        <f t="shared" si="77"/>
        <v>0</v>
      </c>
    </row>
    <row r="172" spans="1:57" s="11" customFormat="1">
      <c r="A172" s="11" t="s">
        <v>677</v>
      </c>
      <c r="B172" s="11" t="s">
        <v>678</v>
      </c>
      <c r="C172" s="11" t="s">
        <v>106</v>
      </c>
      <c r="D172" s="11" t="s">
        <v>642</v>
      </c>
      <c r="E172" s="11" t="s">
        <v>643</v>
      </c>
      <c r="G172" s="11" t="s">
        <v>644</v>
      </c>
      <c r="H172" s="11" t="s">
        <v>655</v>
      </c>
      <c r="J172" s="11">
        <v>0</v>
      </c>
      <c r="K172" s="11">
        <v>38</v>
      </c>
      <c r="L172" s="11" t="s">
        <v>64</v>
      </c>
      <c r="M172" s="11" t="s">
        <v>65</v>
      </c>
      <c r="O172" s="11" t="s">
        <v>646</v>
      </c>
      <c r="P172" s="11">
        <v>0</v>
      </c>
      <c r="Q172" s="11" t="s">
        <v>647</v>
      </c>
      <c r="R172" s="126">
        <f t="shared" si="78"/>
        <v>79.784866881635267</v>
      </c>
      <c r="S172" s="75">
        <f t="shared" si="79"/>
        <v>17.01826758400632</v>
      </c>
      <c r="T172" s="75">
        <f t="shared" si="80"/>
        <v>3.1968655343584262</v>
      </c>
      <c r="U172" s="75">
        <f t="shared" si="81"/>
        <v>0</v>
      </c>
      <c r="V172" s="126">
        <v>9.7799999999999994</v>
      </c>
      <c r="W172" s="127">
        <f t="shared" si="82"/>
        <v>90.22</v>
      </c>
      <c r="X172" s="75">
        <v>23.443999999999999</v>
      </c>
      <c r="Y172" s="76">
        <f t="shared" si="72"/>
        <v>73.555999999999997</v>
      </c>
      <c r="Z172" s="75">
        <v>3</v>
      </c>
      <c r="AA172" s="126">
        <v>9.7080000000000002</v>
      </c>
      <c r="AB172" s="76">
        <f t="shared" si="84"/>
        <v>53.652999999999999</v>
      </c>
      <c r="AC172" s="127">
        <v>36.639000000000003</v>
      </c>
      <c r="AD172" s="75">
        <v>0</v>
      </c>
      <c r="AE172" s="76">
        <v>0</v>
      </c>
      <c r="AF172" s="127">
        <v>0</v>
      </c>
      <c r="AG172" s="11" t="s">
        <v>69</v>
      </c>
      <c r="AN172" s="33"/>
      <c r="AO172" s="33"/>
      <c r="AP172" s="33"/>
      <c r="AQ172" s="238" t="s">
        <v>73</v>
      </c>
      <c r="AR172" s="223"/>
      <c r="AS172" s="11">
        <v>80</v>
      </c>
      <c r="AT172" s="11">
        <v>17</v>
      </c>
      <c r="AU172" s="11">
        <v>3</v>
      </c>
      <c r="AV172" s="224">
        <v>0</v>
      </c>
      <c r="AW172" s="33">
        <f t="shared" si="83"/>
        <v>3.3795359999999999</v>
      </c>
      <c r="AX172" s="33">
        <f t="shared" si="73"/>
        <v>3.3668299999999998</v>
      </c>
      <c r="AY172" s="33">
        <f t="shared" si="85"/>
        <v>3.1628930000000004</v>
      </c>
      <c r="AZ172" s="33">
        <v>1</v>
      </c>
      <c r="BA172" s="223"/>
      <c r="BB172" s="11">
        <f t="shared" si="74"/>
        <v>23.671888685310648</v>
      </c>
      <c r="BC172" s="11">
        <f t="shared" si="75"/>
        <v>5.0492599863966996</v>
      </c>
      <c r="BD172" s="11">
        <f t="shared" si="76"/>
        <v>0.94849873201527835</v>
      </c>
      <c r="BE172" s="224">
        <f t="shared" si="77"/>
        <v>0</v>
      </c>
    </row>
    <row r="173" spans="1:57" s="11" customFormat="1">
      <c r="A173" s="11" t="s">
        <v>679</v>
      </c>
      <c r="B173" s="11" t="s">
        <v>680</v>
      </c>
      <c r="C173" s="11" t="s">
        <v>106</v>
      </c>
      <c r="D173" s="11" t="s">
        <v>642</v>
      </c>
      <c r="E173" s="11" t="s">
        <v>643</v>
      </c>
      <c r="G173" s="11" t="s">
        <v>644</v>
      </c>
      <c r="H173" s="11" t="s">
        <v>681</v>
      </c>
      <c r="J173" s="11">
        <v>0</v>
      </c>
      <c r="K173" s="11">
        <v>38</v>
      </c>
      <c r="L173" s="11" t="s">
        <v>64</v>
      </c>
      <c r="M173" s="11" t="s">
        <v>65</v>
      </c>
      <c r="O173" s="11" t="s">
        <v>646</v>
      </c>
      <c r="P173" s="11">
        <v>0</v>
      </c>
      <c r="Q173" s="11" t="s">
        <v>647</v>
      </c>
      <c r="R173" s="126">
        <f t="shared" si="78"/>
        <v>0</v>
      </c>
      <c r="S173" s="75">
        <f t="shared" si="79"/>
        <v>42.694924876157735</v>
      </c>
      <c r="T173" s="75">
        <f t="shared" si="80"/>
        <v>45.447808041813026</v>
      </c>
      <c r="U173" s="75">
        <f t="shared" si="81"/>
        <v>11.857267082029237</v>
      </c>
      <c r="V173" s="126">
        <v>0</v>
      </c>
      <c r="W173" s="127">
        <v>0</v>
      </c>
      <c r="X173" s="75">
        <v>23.443999999999999</v>
      </c>
      <c r="Y173" s="76">
        <f t="shared" si="72"/>
        <v>73.555999999999997</v>
      </c>
      <c r="Z173" s="75">
        <v>3</v>
      </c>
      <c r="AA173" s="126">
        <v>9.7080000000000002</v>
      </c>
      <c r="AB173" s="76">
        <f t="shared" si="84"/>
        <v>53.652999999999999</v>
      </c>
      <c r="AC173" s="127">
        <v>36.639000000000003</v>
      </c>
      <c r="AD173" s="75">
        <v>67.869795999999994</v>
      </c>
      <c r="AE173" s="76">
        <f t="shared" ref="AE173:AE180" si="86">100 - $AD173 - $AF173</f>
        <v>31.063849000000005</v>
      </c>
      <c r="AF173" s="127">
        <v>1.0663549999999999</v>
      </c>
      <c r="AG173" s="11" t="s">
        <v>69</v>
      </c>
      <c r="AN173" s="33"/>
      <c r="AO173" s="33"/>
      <c r="AP173" s="33"/>
      <c r="AQ173" s="238" t="s">
        <v>73</v>
      </c>
      <c r="AR173" s="223"/>
      <c r="AS173" s="11">
        <v>0</v>
      </c>
      <c r="AT173" s="11">
        <v>45</v>
      </c>
      <c r="AU173" s="11">
        <v>45</v>
      </c>
      <c r="AV173" s="224">
        <v>10</v>
      </c>
      <c r="AW173" s="33">
        <v>1</v>
      </c>
      <c r="AX173" s="33">
        <f t="shared" si="73"/>
        <v>3.3668299999999998</v>
      </c>
      <c r="AY173" s="33">
        <f t="shared" si="85"/>
        <v>3.1628930000000004</v>
      </c>
      <c r="AZ173" s="33">
        <f t="shared" ref="AZ173:AZ180" si="87">AD173*$AC$2+AE173*$AD$2+AF173*$AE$2</f>
        <v>2.6940169626000001</v>
      </c>
      <c r="BA173" s="223"/>
      <c r="BB173" s="11">
        <f t="shared" si="74"/>
        <v>0</v>
      </c>
      <c r="BC173" s="11">
        <f t="shared" si="75"/>
        <v>13.365688199285382</v>
      </c>
      <c r="BD173" s="11">
        <f t="shared" si="76"/>
        <v>14.227480980229174</v>
      </c>
      <c r="BE173" s="224">
        <f t="shared" si="77"/>
        <v>3.7119291150821057</v>
      </c>
    </row>
    <row r="174" spans="1:57" s="11" customFormat="1">
      <c r="A174" s="11" t="s">
        <v>682</v>
      </c>
      <c r="B174" s="11" t="s">
        <v>683</v>
      </c>
      <c r="C174" s="11" t="s">
        <v>106</v>
      </c>
      <c r="D174" s="11" t="s">
        <v>642</v>
      </c>
      <c r="E174" s="11" t="s">
        <v>643</v>
      </c>
      <c r="G174" s="11" t="s">
        <v>644</v>
      </c>
      <c r="H174" s="11" t="s">
        <v>681</v>
      </c>
      <c r="J174" s="11">
        <v>0</v>
      </c>
      <c r="K174" s="11">
        <v>38</v>
      </c>
      <c r="L174" s="11" t="s">
        <v>64</v>
      </c>
      <c r="M174" s="11" t="s">
        <v>65</v>
      </c>
      <c r="O174" s="11" t="s">
        <v>646</v>
      </c>
      <c r="P174" s="11">
        <v>0</v>
      </c>
      <c r="Q174" s="11" t="s">
        <v>647</v>
      </c>
      <c r="R174" s="126">
        <f t="shared" si="78"/>
        <v>0</v>
      </c>
      <c r="S174" s="75">
        <f t="shared" si="79"/>
        <v>37.183710103659713</v>
      </c>
      <c r="T174" s="75">
        <f t="shared" si="80"/>
        <v>39.581241189096374</v>
      </c>
      <c r="U174" s="75">
        <f t="shared" si="81"/>
        <v>23.235048707243916</v>
      </c>
      <c r="V174" s="126">
        <v>0</v>
      </c>
      <c r="W174" s="127">
        <v>0</v>
      </c>
      <c r="X174" s="75">
        <v>23.443999999999999</v>
      </c>
      <c r="Y174" s="76">
        <f t="shared" si="72"/>
        <v>73.555999999999997</v>
      </c>
      <c r="Z174" s="75">
        <v>3</v>
      </c>
      <c r="AA174" s="126">
        <v>9.7080000000000002</v>
      </c>
      <c r="AB174" s="76">
        <f t="shared" si="84"/>
        <v>53.652999999999999</v>
      </c>
      <c r="AC174" s="127">
        <v>36.639000000000003</v>
      </c>
      <c r="AD174" s="75">
        <v>67.869795999999994</v>
      </c>
      <c r="AE174" s="76">
        <f t="shared" si="86"/>
        <v>31.063849000000005</v>
      </c>
      <c r="AF174" s="127">
        <v>1.0663549999999999</v>
      </c>
      <c r="AG174" s="11" t="s">
        <v>69</v>
      </c>
      <c r="AN174" s="33"/>
      <c r="AO174" s="33"/>
      <c r="AP174" s="33"/>
      <c r="AQ174" s="238" t="s">
        <v>73</v>
      </c>
      <c r="AR174" s="223"/>
      <c r="AS174" s="11">
        <v>0</v>
      </c>
      <c r="AT174" s="11">
        <v>40</v>
      </c>
      <c r="AU174" s="11">
        <v>40</v>
      </c>
      <c r="AV174" s="224">
        <v>20</v>
      </c>
      <c r="AW174" s="33">
        <v>1</v>
      </c>
      <c r="AX174" s="33">
        <f t="shared" si="73"/>
        <v>3.3668299999999998</v>
      </c>
      <c r="AY174" s="33">
        <f t="shared" si="85"/>
        <v>3.1628930000000004</v>
      </c>
      <c r="AZ174" s="33">
        <f t="shared" si="87"/>
        <v>2.6940169626000001</v>
      </c>
      <c r="BA174" s="223"/>
      <c r="BB174" s="11">
        <f t="shared" si="74"/>
        <v>0</v>
      </c>
      <c r="BC174" s="11">
        <f t="shared" si="75"/>
        <v>11.880611732698117</v>
      </c>
      <c r="BD174" s="11">
        <f t="shared" si="76"/>
        <v>12.64664976020371</v>
      </c>
      <c r="BE174" s="224">
        <f t="shared" si="77"/>
        <v>7.4238582301642113</v>
      </c>
    </row>
    <row r="175" spans="1:57" s="11" customFormat="1">
      <c r="A175" s="11" t="s">
        <v>684</v>
      </c>
      <c r="B175" s="11" t="s">
        <v>685</v>
      </c>
      <c r="C175" s="11" t="s">
        <v>106</v>
      </c>
      <c r="D175" s="11" t="s">
        <v>642</v>
      </c>
      <c r="E175" s="11" t="s">
        <v>643</v>
      </c>
      <c r="G175" s="11" t="s">
        <v>644</v>
      </c>
      <c r="H175" s="11" t="s">
        <v>681</v>
      </c>
      <c r="J175" s="11">
        <v>0</v>
      </c>
      <c r="K175" s="11">
        <v>38</v>
      </c>
      <c r="L175" s="11" t="s">
        <v>64</v>
      </c>
      <c r="M175" s="11" t="s">
        <v>65</v>
      </c>
      <c r="O175" s="11" t="s">
        <v>646</v>
      </c>
      <c r="P175" s="11">
        <v>0</v>
      </c>
      <c r="Q175" s="11" t="s">
        <v>647</v>
      </c>
      <c r="R175" s="126">
        <f t="shared" si="78"/>
        <v>0</v>
      </c>
      <c r="S175" s="75">
        <f t="shared" si="79"/>
        <v>31.890941655848842</v>
      </c>
      <c r="T175" s="75">
        <f t="shared" si="80"/>
        <v>33.947205642164164</v>
      </c>
      <c r="U175" s="75">
        <f t="shared" si="81"/>
        <v>34.161852701986987</v>
      </c>
      <c r="V175" s="126">
        <v>0</v>
      </c>
      <c r="W175" s="127">
        <v>0</v>
      </c>
      <c r="X175" s="75">
        <v>23.443999999999999</v>
      </c>
      <c r="Y175" s="76">
        <f t="shared" si="72"/>
        <v>73.555999999999997</v>
      </c>
      <c r="Z175" s="75">
        <v>3</v>
      </c>
      <c r="AA175" s="126">
        <v>9.7080000000000002</v>
      </c>
      <c r="AB175" s="76">
        <f t="shared" si="84"/>
        <v>53.652999999999999</v>
      </c>
      <c r="AC175" s="127">
        <v>36.639000000000003</v>
      </c>
      <c r="AD175" s="75">
        <v>67.869795999999994</v>
      </c>
      <c r="AE175" s="76">
        <f t="shared" si="86"/>
        <v>31.063849000000005</v>
      </c>
      <c r="AF175" s="127">
        <v>1.0663549999999999</v>
      </c>
      <c r="AG175" s="11" t="s">
        <v>69</v>
      </c>
      <c r="AN175" s="33"/>
      <c r="AO175" s="33"/>
      <c r="AP175" s="33"/>
      <c r="AQ175" s="238" t="s">
        <v>73</v>
      </c>
      <c r="AR175" s="223"/>
      <c r="AS175" s="11">
        <v>0</v>
      </c>
      <c r="AT175" s="11">
        <v>35</v>
      </c>
      <c r="AU175" s="11">
        <v>35</v>
      </c>
      <c r="AV175" s="224">
        <v>30</v>
      </c>
      <c r="AW175" s="33">
        <v>1</v>
      </c>
      <c r="AX175" s="33">
        <f t="shared" si="73"/>
        <v>3.3668299999999998</v>
      </c>
      <c r="AY175" s="33">
        <f t="shared" si="85"/>
        <v>3.1628930000000004</v>
      </c>
      <c r="AZ175" s="33">
        <f t="shared" si="87"/>
        <v>2.6940169626000001</v>
      </c>
      <c r="BA175" s="223"/>
      <c r="BB175" s="11">
        <f t="shared" si="74"/>
        <v>0</v>
      </c>
      <c r="BC175" s="11">
        <f t="shared" si="75"/>
        <v>10.395535266110853</v>
      </c>
      <c r="BD175" s="11">
        <f t="shared" si="76"/>
        <v>11.065818540178247</v>
      </c>
      <c r="BE175" s="224">
        <f t="shared" si="77"/>
        <v>11.135787345246316</v>
      </c>
    </row>
    <row r="176" spans="1:57" s="11" customFormat="1">
      <c r="A176" s="11" t="s">
        <v>686</v>
      </c>
      <c r="B176" s="11" t="s">
        <v>687</v>
      </c>
      <c r="C176" s="11" t="s">
        <v>106</v>
      </c>
      <c r="D176" s="11" t="s">
        <v>642</v>
      </c>
      <c r="E176" s="11" t="s">
        <v>643</v>
      </c>
      <c r="G176" s="11" t="s">
        <v>644</v>
      </c>
      <c r="H176" s="11" t="s">
        <v>681</v>
      </c>
      <c r="J176" s="11">
        <v>0</v>
      </c>
      <c r="K176" s="11">
        <v>38</v>
      </c>
      <c r="L176" s="11" t="s">
        <v>64</v>
      </c>
      <c r="M176" s="11" t="s">
        <v>65</v>
      </c>
      <c r="O176" s="11" t="s">
        <v>646</v>
      </c>
      <c r="P176" s="11">
        <v>0</v>
      </c>
      <c r="Q176" s="11" t="s">
        <v>647</v>
      </c>
      <c r="R176" s="126">
        <f t="shared" si="78"/>
        <v>0</v>
      </c>
      <c r="S176" s="75">
        <f t="shared" si="79"/>
        <v>26.80388419146102</v>
      </c>
      <c r="T176" s="75">
        <f t="shared" si="80"/>
        <v>28.532144910478056</v>
      </c>
      <c r="U176" s="75">
        <f t="shared" si="81"/>
        <v>44.663970898060931</v>
      </c>
      <c r="V176" s="126">
        <v>0</v>
      </c>
      <c r="W176" s="127">
        <v>0</v>
      </c>
      <c r="X176" s="75">
        <v>23.443999999999999</v>
      </c>
      <c r="Y176" s="76">
        <f t="shared" si="72"/>
        <v>73.555999999999997</v>
      </c>
      <c r="Z176" s="75">
        <v>3</v>
      </c>
      <c r="AA176" s="126">
        <v>9.7080000000000002</v>
      </c>
      <c r="AB176" s="76">
        <f t="shared" si="84"/>
        <v>53.652999999999999</v>
      </c>
      <c r="AC176" s="127">
        <v>36.639000000000003</v>
      </c>
      <c r="AD176" s="75">
        <v>67.869795999999994</v>
      </c>
      <c r="AE176" s="76">
        <f t="shared" si="86"/>
        <v>31.063849000000005</v>
      </c>
      <c r="AF176" s="127">
        <v>1.0663549999999999</v>
      </c>
      <c r="AG176" s="11" t="s">
        <v>69</v>
      </c>
      <c r="AN176" s="33"/>
      <c r="AO176" s="33"/>
      <c r="AP176" s="33"/>
      <c r="AQ176" s="238" t="s">
        <v>73</v>
      </c>
      <c r="AR176" s="223"/>
      <c r="AS176" s="11">
        <v>0</v>
      </c>
      <c r="AT176" s="11">
        <v>30</v>
      </c>
      <c r="AU176" s="11">
        <v>30</v>
      </c>
      <c r="AV176" s="224">
        <v>40</v>
      </c>
      <c r="AW176" s="33">
        <v>1</v>
      </c>
      <c r="AX176" s="33">
        <f t="shared" si="73"/>
        <v>3.3668299999999998</v>
      </c>
      <c r="AY176" s="33">
        <f t="shared" si="85"/>
        <v>3.1628930000000004</v>
      </c>
      <c r="AZ176" s="33">
        <f t="shared" si="87"/>
        <v>2.6940169626000001</v>
      </c>
      <c r="BA176" s="223"/>
      <c r="BB176" s="11">
        <f t="shared" si="74"/>
        <v>0</v>
      </c>
      <c r="BC176" s="11">
        <f t="shared" si="75"/>
        <v>8.9104587995235889</v>
      </c>
      <c r="BD176" s="11">
        <f t="shared" si="76"/>
        <v>9.4849873201527828</v>
      </c>
      <c r="BE176" s="224">
        <f t="shared" si="77"/>
        <v>14.847716460328423</v>
      </c>
    </row>
    <row r="177" spans="1:57" s="11" customFormat="1">
      <c r="A177" s="11" t="s">
        <v>688</v>
      </c>
      <c r="B177" s="11" t="s">
        <v>689</v>
      </c>
      <c r="C177" s="11" t="s">
        <v>106</v>
      </c>
      <c r="D177" s="11" t="s">
        <v>642</v>
      </c>
      <c r="E177" s="11" t="s">
        <v>643</v>
      </c>
      <c r="G177" s="11" t="s">
        <v>644</v>
      </c>
      <c r="H177" s="11" t="s">
        <v>681</v>
      </c>
      <c r="J177" s="11">
        <v>0</v>
      </c>
      <c r="K177" s="11">
        <v>38</v>
      </c>
      <c r="L177" s="11" t="s">
        <v>64</v>
      </c>
      <c r="M177" s="11" t="s">
        <v>65</v>
      </c>
      <c r="O177" s="11" t="s">
        <v>646</v>
      </c>
      <c r="P177" s="11">
        <v>0</v>
      </c>
      <c r="Q177" s="11" t="s">
        <v>647</v>
      </c>
      <c r="R177" s="126">
        <f t="shared" si="78"/>
        <v>0</v>
      </c>
      <c r="S177" s="75">
        <f t="shared" si="79"/>
        <v>21.910773452319084</v>
      </c>
      <c r="T177" s="75">
        <f t="shared" si="80"/>
        <v>23.32353620007741</v>
      </c>
      <c r="U177" s="75">
        <f t="shared" si="81"/>
        <v>54.765690347603488</v>
      </c>
      <c r="V177" s="126">
        <v>0</v>
      </c>
      <c r="W177" s="127">
        <v>0</v>
      </c>
      <c r="X177" s="75">
        <v>23.443999999999999</v>
      </c>
      <c r="Y177" s="76">
        <f t="shared" si="72"/>
        <v>73.555999999999997</v>
      </c>
      <c r="Z177" s="75">
        <v>3</v>
      </c>
      <c r="AA177" s="126">
        <v>9.7080000000000002</v>
      </c>
      <c r="AB177" s="76">
        <f t="shared" si="84"/>
        <v>53.652999999999999</v>
      </c>
      <c r="AC177" s="127">
        <v>36.639000000000003</v>
      </c>
      <c r="AD177" s="75">
        <v>67.869795999999994</v>
      </c>
      <c r="AE177" s="76">
        <f t="shared" si="86"/>
        <v>31.063849000000005</v>
      </c>
      <c r="AF177" s="127">
        <v>1.0663549999999999</v>
      </c>
      <c r="AG177" s="11" t="s">
        <v>69</v>
      </c>
      <c r="AN177" s="33"/>
      <c r="AO177" s="33"/>
      <c r="AP177" s="33"/>
      <c r="AQ177" s="238" t="s">
        <v>73</v>
      </c>
      <c r="AR177" s="223"/>
      <c r="AS177" s="11">
        <v>0</v>
      </c>
      <c r="AT177" s="11">
        <v>25</v>
      </c>
      <c r="AU177" s="11">
        <v>25</v>
      </c>
      <c r="AV177" s="224">
        <v>50</v>
      </c>
      <c r="AW177" s="33">
        <v>1</v>
      </c>
      <c r="AX177" s="33">
        <f t="shared" si="73"/>
        <v>3.3668299999999998</v>
      </c>
      <c r="AY177" s="33">
        <f t="shared" si="85"/>
        <v>3.1628930000000004</v>
      </c>
      <c r="AZ177" s="33">
        <f t="shared" si="87"/>
        <v>2.6940169626000001</v>
      </c>
      <c r="BA177" s="223"/>
      <c r="BB177" s="11">
        <f t="shared" si="74"/>
        <v>0</v>
      </c>
      <c r="BC177" s="11">
        <f t="shared" si="75"/>
        <v>7.4253823329363238</v>
      </c>
      <c r="BD177" s="11">
        <f t="shared" si="76"/>
        <v>7.9041561001273193</v>
      </c>
      <c r="BE177" s="224">
        <f t="shared" si="77"/>
        <v>18.559645575410528</v>
      </c>
    </row>
    <row r="178" spans="1:57" s="11" customFormat="1">
      <c r="A178" s="11" t="s">
        <v>690</v>
      </c>
      <c r="B178" s="11" t="s">
        <v>691</v>
      </c>
      <c r="C178" s="11" t="s">
        <v>106</v>
      </c>
      <c r="D178" s="11" t="s">
        <v>642</v>
      </c>
      <c r="E178" s="11" t="s">
        <v>643</v>
      </c>
      <c r="G178" s="11" t="s">
        <v>644</v>
      </c>
      <c r="H178" s="11" t="s">
        <v>658</v>
      </c>
      <c r="J178" s="11">
        <v>0</v>
      </c>
      <c r="K178" s="11">
        <v>38</v>
      </c>
      <c r="L178" s="11" t="s">
        <v>64</v>
      </c>
      <c r="M178" s="11" t="s">
        <v>65</v>
      </c>
      <c r="O178" s="11" t="s">
        <v>646</v>
      </c>
      <c r="P178" s="11">
        <v>0</v>
      </c>
      <c r="Q178" s="11" t="s">
        <v>647</v>
      </c>
      <c r="R178" s="126">
        <f t="shared" si="78"/>
        <v>88.810201371648674</v>
      </c>
      <c r="S178" s="75">
        <f t="shared" si="79"/>
        <v>4.2096420041226645</v>
      </c>
      <c r="T178" s="75">
        <f t="shared" si="80"/>
        <v>0.79077728496963584</v>
      </c>
      <c r="U178" s="75">
        <f t="shared" si="81"/>
        <v>6.1893793392590197</v>
      </c>
      <c r="V178" s="126">
        <v>9.7799999999999994</v>
      </c>
      <c r="W178" s="127">
        <f t="shared" ref="W178:W187" si="88">100 - $V178</f>
        <v>90.22</v>
      </c>
      <c r="X178" s="75">
        <v>23.443999999999999</v>
      </c>
      <c r="Y178" s="76">
        <f t="shared" si="72"/>
        <v>73.555999999999997</v>
      </c>
      <c r="Z178" s="75">
        <v>3</v>
      </c>
      <c r="AA178" s="126">
        <v>9.7080000000000002</v>
      </c>
      <c r="AB178" s="76">
        <f t="shared" si="84"/>
        <v>53.652999999999999</v>
      </c>
      <c r="AC178" s="127">
        <v>36.639000000000003</v>
      </c>
      <c r="AD178" s="75">
        <v>67.869795999999994</v>
      </c>
      <c r="AE178" s="76">
        <f t="shared" si="86"/>
        <v>31.063849000000005</v>
      </c>
      <c r="AF178" s="127">
        <v>1.0663549999999999</v>
      </c>
      <c r="AG178" s="11" t="s">
        <v>69</v>
      </c>
      <c r="AN178" s="33"/>
      <c r="AO178" s="33"/>
      <c r="AP178" s="33"/>
      <c r="AQ178" s="238" t="s">
        <v>73</v>
      </c>
      <c r="AR178" s="223"/>
      <c r="AS178" s="11">
        <v>90</v>
      </c>
      <c r="AT178" s="11">
        <v>4.25</v>
      </c>
      <c r="AU178" s="11">
        <v>0.75</v>
      </c>
      <c r="AV178" s="224">
        <v>5</v>
      </c>
      <c r="AW178" s="33">
        <f t="shared" ref="AW178:AW187" si="89">V178*$X$2 + W178*$Y$2</f>
        <v>3.3795359999999999</v>
      </c>
      <c r="AX178" s="33">
        <f t="shared" si="73"/>
        <v>3.3668299999999998</v>
      </c>
      <c r="AY178" s="33">
        <f t="shared" si="85"/>
        <v>3.1628930000000004</v>
      </c>
      <c r="AZ178" s="33">
        <f t="shared" si="87"/>
        <v>2.6940169626000001</v>
      </c>
      <c r="BA178" s="223"/>
      <c r="BB178" s="11">
        <f t="shared" si="74"/>
        <v>26.630874770974479</v>
      </c>
      <c r="BC178" s="11">
        <f t="shared" si="75"/>
        <v>1.2623149965991749</v>
      </c>
      <c r="BD178" s="11">
        <f t="shared" si="76"/>
        <v>0.23712468300381959</v>
      </c>
      <c r="BE178" s="224">
        <f t="shared" si="77"/>
        <v>1.8559645575410528</v>
      </c>
    </row>
    <row r="179" spans="1:57" s="11" customFormat="1">
      <c r="A179" s="11" t="s">
        <v>692</v>
      </c>
      <c r="B179" s="11" t="s">
        <v>693</v>
      </c>
      <c r="C179" s="11" t="s">
        <v>106</v>
      </c>
      <c r="D179" s="11" t="s">
        <v>642</v>
      </c>
      <c r="E179" s="11" t="s">
        <v>643</v>
      </c>
      <c r="G179" s="11" t="s">
        <v>644</v>
      </c>
      <c r="H179" s="11" t="s">
        <v>658</v>
      </c>
      <c r="J179" s="11">
        <v>0</v>
      </c>
      <c r="K179" s="11">
        <v>38</v>
      </c>
      <c r="L179" s="11" t="s">
        <v>64</v>
      </c>
      <c r="M179" s="11" t="s">
        <v>65</v>
      </c>
      <c r="O179" s="11" t="s">
        <v>646</v>
      </c>
      <c r="P179" s="11">
        <v>0</v>
      </c>
      <c r="Q179" s="11" t="s">
        <v>647</v>
      </c>
      <c r="R179" s="126">
        <f t="shared" ref="R179:U194" si="90">BB179/SUMIF($BB179:$BE179, "&lt;&gt;#VALUE!")*100</f>
        <v>67.295314989743062</v>
      </c>
      <c r="S179" s="75">
        <f t="shared" si="90"/>
        <v>12.303618708736609</v>
      </c>
      <c r="T179" s="75">
        <f t="shared" si="90"/>
        <v>2.3112231843629347</v>
      </c>
      <c r="U179" s="75">
        <f t="shared" si="90"/>
        <v>18.089843117157407</v>
      </c>
      <c r="V179" s="126">
        <v>9.7799999999999994</v>
      </c>
      <c r="W179" s="127">
        <f t="shared" si="88"/>
        <v>90.22</v>
      </c>
      <c r="X179" s="75">
        <v>23.443999999999999</v>
      </c>
      <c r="Y179" s="76">
        <f t="shared" si="72"/>
        <v>73.555999999999997</v>
      </c>
      <c r="Z179" s="75">
        <v>3</v>
      </c>
      <c r="AA179" s="126">
        <v>9.7080000000000002</v>
      </c>
      <c r="AB179" s="76">
        <f t="shared" si="84"/>
        <v>53.652999999999999</v>
      </c>
      <c r="AC179" s="127">
        <v>36.639000000000003</v>
      </c>
      <c r="AD179" s="75">
        <v>67.869795999999994</v>
      </c>
      <c r="AE179" s="76">
        <f t="shared" si="86"/>
        <v>31.063849000000005</v>
      </c>
      <c r="AF179" s="127">
        <v>1.0663549999999999</v>
      </c>
      <c r="AG179" s="11" t="s">
        <v>69</v>
      </c>
      <c r="AN179" s="33"/>
      <c r="AO179" s="33"/>
      <c r="AP179" s="33"/>
      <c r="AQ179" s="238" t="s">
        <v>73</v>
      </c>
      <c r="AR179" s="223"/>
      <c r="AS179" s="11">
        <v>70</v>
      </c>
      <c r="AT179" s="11">
        <v>12.75</v>
      </c>
      <c r="AU179" s="11">
        <v>2.25</v>
      </c>
      <c r="AV179" s="224">
        <v>15</v>
      </c>
      <c r="AW179" s="33">
        <f t="shared" si="89"/>
        <v>3.3795359999999999</v>
      </c>
      <c r="AX179" s="33">
        <f t="shared" si="73"/>
        <v>3.3668299999999998</v>
      </c>
      <c r="AY179" s="33">
        <f t="shared" si="85"/>
        <v>3.1628930000000004</v>
      </c>
      <c r="AZ179" s="33">
        <f t="shared" si="87"/>
        <v>2.6940169626000001</v>
      </c>
      <c r="BA179" s="223"/>
      <c r="BB179" s="11">
        <f t="shared" si="74"/>
        <v>20.712902599646817</v>
      </c>
      <c r="BC179" s="11">
        <f t="shared" si="75"/>
        <v>3.7869449897975249</v>
      </c>
      <c r="BD179" s="11">
        <f t="shared" si="76"/>
        <v>0.71137404901145873</v>
      </c>
      <c r="BE179" s="224">
        <f t="shared" si="77"/>
        <v>5.5678936726231578</v>
      </c>
    </row>
    <row r="180" spans="1:57" s="11" customFormat="1">
      <c r="A180" s="11" t="s">
        <v>694</v>
      </c>
      <c r="B180" s="11" t="s">
        <v>695</v>
      </c>
      <c r="C180" s="11" t="s">
        <v>106</v>
      </c>
      <c r="D180" s="11" t="s">
        <v>642</v>
      </c>
      <c r="E180" s="11" t="s">
        <v>643</v>
      </c>
      <c r="G180" s="11" t="s">
        <v>644</v>
      </c>
      <c r="H180" s="11" t="s">
        <v>658</v>
      </c>
      <c r="J180" s="11">
        <v>0</v>
      </c>
      <c r="K180" s="11">
        <v>38</v>
      </c>
      <c r="L180" s="11" t="s">
        <v>64</v>
      </c>
      <c r="M180" s="11" t="s">
        <v>65</v>
      </c>
      <c r="O180" s="11" t="s">
        <v>646</v>
      </c>
      <c r="P180" s="11">
        <v>0</v>
      </c>
      <c r="Q180" s="11" t="s">
        <v>647</v>
      </c>
      <c r="R180" s="126">
        <f t="shared" si="90"/>
        <v>56.948236460187204</v>
      </c>
      <c r="S180" s="75">
        <f t="shared" si="90"/>
        <v>16.196226417298362</v>
      </c>
      <c r="T180" s="75">
        <f t="shared" si="90"/>
        <v>3.0424458755594199</v>
      </c>
      <c r="U180" s="75">
        <f t="shared" si="90"/>
        <v>23.813091246955018</v>
      </c>
      <c r="V180" s="126">
        <v>9.7799999999999994</v>
      </c>
      <c r="W180" s="127">
        <f t="shared" si="88"/>
        <v>90.22</v>
      </c>
      <c r="X180" s="75">
        <v>23.443999999999999</v>
      </c>
      <c r="Y180" s="76">
        <f t="shared" si="72"/>
        <v>73.555999999999997</v>
      </c>
      <c r="Z180" s="75">
        <v>3</v>
      </c>
      <c r="AA180" s="126">
        <v>9.7080000000000002</v>
      </c>
      <c r="AB180" s="76">
        <f t="shared" si="84"/>
        <v>53.652999999999999</v>
      </c>
      <c r="AC180" s="127">
        <v>36.639000000000003</v>
      </c>
      <c r="AD180" s="75">
        <v>67.869795999999994</v>
      </c>
      <c r="AE180" s="76">
        <f t="shared" si="86"/>
        <v>31.063849000000005</v>
      </c>
      <c r="AF180" s="127">
        <v>1.0663549999999999</v>
      </c>
      <c r="AG180" s="11" t="s">
        <v>69</v>
      </c>
      <c r="AN180" s="33"/>
      <c r="AO180" s="33"/>
      <c r="AP180" s="33"/>
      <c r="AQ180" s="238" t="s">
        <v>73</v>
      </c>
      <c r="AR180" s="223"/>
      <c r="AS180" s="11">
        <v>60</v>
      </c>
      <c r="AT180" s="11">
        <v>17</v>
      </c>
      <c r="AU180" s="11">
        <v>3</v>
      </c>
      <c r="AV180" s="224">
        <v>20</v>
      </c>
      <c r="AW180" s="33">
        <f t="shared" si="89"/>
        <v>3.3795359999999999</v>
      </c>
      <c r="AX180" s="33">
        <f t="shared" si="73"/>
        <v>3.3668299999999998</v>
      </c>
      <c r="AY180" s="33">
        <f t="shared" si="85"/>
        <v>3.1628930000000004</v>
      </c>
      <c r="AZ180" s="33">
        <f t="shared" si="87"/>
        <v>2.6940169626000001</v>
      </c>
      <c r="BA180" s="223"/>
      <c r="BB180" s="11">
        <f t="shared" si="74"/>
        <v>17.753916513982986</v>
      </c>
      <c r="BC180" s="11">
        <f t="shared" si="75"/>
        <v>5.0492599863966996</v>
      </c>
      <c r="BD180" s="11">
        <f t="shared" si="76"/>
        <v>0.94849873201527835</v>
      </c>
      <c r="BE180" s="224">
        <f t="shared" si="77"/>
        <v>7.4238582301642113</v>
      </c>
    </row>
    <row r="181" spans="1:57" s="11" customFormat="1">
      <c r="A181" s="11" t="s">
        <v>696</v>
      </c>
      <c r="B181" s="11" t="s">
        <v>697</v>
      </c>
      <c r="C181" s="11" t="s">
        <v>106</v>
      </c>
      <c r="D181" s="11" t="s">
        <v>642</v>
      </c>
      <c r="E181" s="11" t="s">
        <v>643</v>
      </c>
      <c r="G181" s="11" t="s">
        <v>644</v>
      </c>
      <c r="H181" s="11" t="s">
        <v>655</v>
      </c>
      <c r="J181" s="11">
        <v>0</v>
      </c>
      <c r="K181" s="11">
        <v>38</v>
      </c>
      <c r="L181" s="11" t="s">
        <v>64</v>
      </c>
      <c r="M181" s="11" t="s">
        <v>65</v>
      </c>
      <c r="O181" s="11" t="s">
        <v>646</v>
      </c>
      <c r="P181" s="11">
        <v>0</v>
      </c>
      <c r="Q181" s="11" t="s">
        <v>647</v>
      </c>
      <c r="R181" s="126">
        <f t="shared" si="90"/>
        <v>19.438090824314369</v>
      </c>
      <c r="S181" s="75">
        <f t="shared" si="90"/>
        <v>39.022895549843675</v>
      </c>
      <c r="T181" s="75">
        <f t="shared" si="90"/>
        <v>41.539013625841953</v>
      </c>
      <c r="U181" s="75">
        <f t="shared" si="90"/>
        <v>0</v>
      </c>
      <c r="V181" s="126">
        <v>9.7799999999999994</v>
      </c>
      <c r="W181" s="127">
        <f t="shared" si="88"/>
        <v>90.22</v>
      </c>
      <c r="X181" s="75">
        <v>23.443999999999999</v>
      </c>
      <c r="Y181" s="76">
        <f t="shared" si="72"/>
        <v>73.555999999999997</v>
      </c>
      <c r="Z181" s="75">
        <v>3</v>
      </c>
      <c r="AA181" s="126">
        <v>9.7080000000000002</v>
      </c>
      <c r="AB181" s="76">
        <f t="shared" si="84"/>
        <v>53.652999999999999</v>
      </c>
      <c r="AC181" s="127">
        <v>36.639000000000003</v>
      </c>
      <c r="AD181" s="75">
        <v>0</v>
      </c>
      <c r="AE181" s="76">
        <v>0</v>
      </c>
      <c r="AF181" s="127">
        <v>0</v>
      </c>
      <c r="AG181" s="11" t="s">
        <v>69</v>
      </c>
      <c r="AN181" s="33"/>
      <c r="AO181" s="33"/>
      <c r="AP181" s="33"/>
      <c r="AQ181" s="238" t="s">
        <v>73</v>
      </c>
      <c r="AR181" s="223"/>
      <c r="AS181" s="11">
        <v>20</v>
      </c>
      <c r="AT181" s="11">
        <v>40</v>
      </c>
      <c r="AU181" s="11">
        <v>40</v>
      </c>
      <c r="AV181" s="224">
        <v>0</v>
      </c>
      <c r="AW181" s="33">
        <f t="shared" si="89"/>
        <v>3.3795359999999999</v>
      </c>
      <c r="AX181" s="33">
        <f t="shared" si="73"/>
        <v>3.3668299999999998</v>
      </c>
      <c r="AY181" s="33">
        <f t="shared" si="85"/>
        <v>3.1628930000000004</v>
      </c>
      <c r="AZ181" s="33">
        <v>1</v>
      </c>
      <c r="BA181" s="223"/>
      <c r="BB181" s="11">
        <f t="shared" si="74"/>
        <v>5.9179721713276621</v>
      </c>
      <c r="BC181" s="11">
        <f t="shared" si="75"/>
        <v>11.880611732698117</v>
      </c>
      <c r="BD181" s="11">
        <f t="shared" si="76"/>
        <v>12.64664976020371</v>
      </c>
      <c r="BE181" s="224">
        <f t="shared" si="77"/>
        <v>0</v>
      </c>
    </row>
    <row r="182" spans="1:57" s="11" customFormat="1">
      <c r="A182" s="11" t="s">
        <v>698</v>
      </c>
      <c r="B182" s="11" t="s">
        <v>699</v>
      </c>
      <c r="C182" s="11" t="s">
        <v>106</v>
      </c>
      <c r="D182" s="11" t="s">
        <v>642</v>
      </c>
      <c r="E182" s="11" t="s">
        <v>643</v>
      </c>
      <c r="G182" s="11" t="s">
        <v>644</v>
      </c>
      <c r="H182" s="11" t="s">
        <v>655</v>
      </c>
      <c r="J182" s="11">
        <v>0</v>
      </c>
      <c r="K182" s="11">
        <v>38</v>
      </c>
      <c r="L182" s="11" t="s">
        <v>64</v>
      </c>
      <c r="M182" s="11" t="s">
        <v>65</v>
      </c>
      <c r="O182" s="11" t="s">
        <v>646</v>
      </c>
      <c r="P182" s="11">
        <v>0</v>
      </c>
      <c r="Q182" s="11" t="s">
        <v>647</v>
      </c>
      <c r="R182" s="126">
        <f t="shared" si="90"/>
        <v>29.259895008251142</v>
      </c>
      <c r="S182" s="75">
        <f t="shared" si="90"/>
        <v>34.265371271900435</v>
      </c>
      <c r="T182" s="75">
        <f t="shared" si="90"/>
        <v>36.474733719848409</v>
      </c>
      <c r="U182" s="75">
        <f t="shared" si="90"/>
        <v>0</v>
      </c>
      <c r="V182" s="126">
        <v>9.7799999999999994</v>
      </c>
      <c r="W182" s="127">
        <f t="shared" si="88"/>
        <v>90.22</v>
      </c>
      <c r="X182" s="75">
        <v>23.443999999999999</v>
      </c>
      <c r="Y182" s="76">
        <f t="shared" si="72"/>
        <v>73.555999999999997</v>
      </c>
      <c r="Z182" s="75">
        <v>3</v>
      </c>
      <c r="AA182" s="126">
        <v>9.7080000000000002</v>
      </c>
      <c r="AB182" s="76">
        <f t="shared" si="84"/>
        <v>53.652999999999999</v>
      </c>
      <c r="AC182" s="127">
        <v>36.639000000000003</v>
      </c>
      <c r="AD182" s="75">
        <v>0</v>
      </c>
      <c r="AE182" s="76">
        <v>0</v>
      </c>
      <c r="AF182" s="127">
        <v>0</v>
      </c>
      <c r="AG182" s="11" t="s">
        <v>69</v>
      </c>
      <c r="AN182" s="33"/>
      <c r="AO182" s="33"/>
      <c r="AP182" s="33"/>
      <c r="AQ182" s="238" t="s">
        <v>73</v>
      </c>
      <c r="AR182" s="223"/>
      <c r="AS182" s="11">
        <v>30</v>
      </c>
      <c r="AT182" s="11">
        <v>35</v>
      </c>
      <c r="AU182" s="11">
        <v>35</v>
      </c>
      <c r="AV182" s="224">
        <v>0</v>
      </c>
      <c r="AW182" s="33">
        <f t="shared" si="89"/>
        <v>3.3795359999999999</v>
      </c>
      <c r="AX182" s="33">
        <f t="shared" si="73"/>
        <v>3.3668299999999998</v>
      </c>
      <c r="AY182" s="33">
        <f t="shared" si="85"/>
        <v>3.1628930000000004</v>
      </c>
      <c r="AZ182" s="33">
        <v>1</v>
      </c>
      <c r="BA182" s="223"/>
      <c r="BB182" s="11">
        <f t="shared" si="74"/>
        <v>8.8769582569914931</v>
      </c>
      <c r="BC182" s="11">
        <f t="shared" si="75"/>
        <v>10.395535266110853</v>
      </c>
      <c r="BD182" s="11">
        <f t="shared" si="76"/>
        <v>11.065818540178247</v>
      </c>
      <c r="BE182" s="224">
        <f t="shared" si="77"/>
        <v>0</v>
      </c>
    </row>
    <row r="183" spans="1:57" s="11" customFormat="1">
      <c r="A183" s="11" t="s">
        <v>700</v>
      </c>
      <c r="B183" s="11" t="s">
        <v>701</v>
      </c>
      <c r="C183" s="11" t="s">
        <v>106</v>
      </c>
      <c r="D183" s="11" t="s">
        <v>642</v>
      </c>
      <c r="E183" s="11" t="s">
        <v>643</v>
      </c>
      <c r="G183" s="11" t="s">
        <v>644</v>
      </c>
      <c r="H183" s="11" t="s">
        <v>655</v>
      </c>
      <c r="J183" s="11">
        <v>0</v>
      </c>
      <c r="K183" s="11">
        <v>38</v>
      </c>
      <c r="L183" s="11" t="s">
        <v>64</v>
      </c>
      <c r="M183" s="11" t="s">
        <v>65</v>
      </c>
      <c r="O183" s="11" t="s">
        <v>646</v>
      </c>
      <c r="P183" s="11">
        <v>0</v>
      </c>
      <c r="Q183" s="11" t="s">
        <v>647</v>
      </c>
      <c r="R183" s="126">
        <f t="shared" si="90"/>
        <v>39.151174198894054</v>
      </c>
      <c r="S183" s="75">
        <f t="shared" si="90"/>
        <v>29.474194415986315</v>
      </c>
      <c r="T183" s="75">
        <f t="shared" si="90"/>
        <v>31.374631385119628</v>
      </c>
      <c r="U183" s="75">
        <f t="shared" si="90"/>
        <v>0</v>
      </c>
      <c r="V183" s="126">
        <v>9.7799999999999994</v>
      </c>
      <c r="W183" s="127">
        <f t="shared" si="88"/>
        <v>90.22</v>
      </c>
      <c r="X183" s="75">
        <v>23.443999999999999</v>
      </c>
      <c r="Y183" s="76">
        <f t="shared" si="72"/>
        <v>73.555999999999997</v>
      </c>
      <c r="Z183" s="75">
        <v>3</v>
      </c>
      <c r="AA183" s="126">
        <v>9.7080000000000002</v>
      </c>
      <c r="AB183" s="76">
        <f t="shared" si="84"/>
        <v>53.652999999999999</v>
      </c>
      <c r="AC183" s="127">
        <v>36.639000000000003</v>
      </c>
      <c r="AD183" s="75">
        <v>0</v>
      </c>
      <c r="AE183" s="76">
        <v>0</v>
      </c>
      <c r="AF183" s="127">
        <v>0</v>
      </c>
      <c r="AG183" s="11" t="s">
        <v>69</v>
      </c>
      <c r="AN183" s="33"/>
      <c r="AO183" s="33"/>
      <c r="AP183" s="33"/>
      <c r="AQ183" s="238" t="s">
        <v>73</v>
      </c>
      <c r="AR183" s="223"/>
      <c r="AS183" s="11">
        <v>40</v>
      </c>
      <c r="AT183" s="11">
        <v>30</v>
      </c>
      <c r="AU183" s="11">
        <v>30</v>
      </c>
      <c r="AV183" s="224">
        <v>0</v>
      </c>
      <c r="AW183" s="33">
        <f t="shared" si="89"/>
        <v>3.3795359999999999</v>
      </c>
      <c r="AX183" s="33">
        <f t="shared" si="73"/>
        <v>3.3668299999999998</v>
      </c>
      <c r="AY183" s="33">
        <f t="shared" si="85"/>
        <v>3.1628930000000004</v>
      </c>
      <c r="AZ183" s="33">
        <v>1</v>
      </c>
      <c r="BA183" s="223"/>
      <c r="BB183" s="11">
        <f t="shared" si="74"/>
        <v>11.835944342655324</v>
      </c>
      <c r="BC183" s="11">
        <f t="shared" si="75"/>
        <v>8.9104587995235889</v>
      </c>
      <c r="BD183" s="11">
        <f t="shared" si="76"/>
        <v>9.4849873201527828</v>
      </c>
      <c r="BE183" s="224">
        <f t="shared" si="77"/>
        <v>0</v>
      </c>
    </row>
    <row r="184" spans="1:57" s="11" customFormat="1">
      <c r="A184" s="11" t="s">
        <v>702</v>
      </c>
      <c r="B184" s="11" t="s">
        <v>703</v>
      </c>
      <c r="C184" s="11" t="s">
        <v>106</v>
      </c>
      <c r="D184" s="11" t="s">
        <v>642</v>
      </c>
      <c r="E184" s="11" t="s">
        <v>643</v>
      </c>
      <c r="G184" s="11" t="s">
        <v>644</v>
      </c>
      <c r="H184" s="11" t="s">
        <v>655</v>
      </c>
      <c r="J184" s="11">
        <v>0</v>
      </c>
      <c r="K184" s="11">
        <v>38</v>
      </c>
      <c r="L184" s="11" t="s">
        <v>64</v>
      </c>
      <c r="M184" s="11" t="s">
        <v>65</v>
      </c>
      <c r="O184" s="11" t="s">
        <v>646</v>
      </c>
      <c r="P184" s="11">
        <v>0</v>
      </c>
      <c r="Q184" s="11" t="s">
        <v>647</v>
      </c>
      <c r="R184" s="126">
        <f t="shared" si="90"/>
        <v>49.112668164865454</v>
      </c>
      <c r="S184" s="75">
        <f t="shared" si="90"/>
        <v>24.649006650056098</v>
      </c>
      <c r="T184" s="75">
        <f t="shared" si="90"/>
        <v>26.238325185078455</v>
      </c>
      <c r="U184" s="75">
        <f t="shared" si="90"/>
        <v>0</v>
      </c>
      <c r="V184" s="126">
        <v>9.7799999999999994</v>
      </c>
      <c r="W184" s="127">
        <f t="shared" si="88"/>
        <v>90.22</v>
      </c>
      <c r="X184" s="75">
        <v>23.443999999999999</v>
      </c>
      <c r="Y184" s="76">
        <f t="shared" si="72"/>
        <v>73.555999999999997</v>
      </c>
      <c r="Z184" s="75">
        <v>3</v>
      </c>
      <c r="AA184" s="126">
        <v>9.7080000000000002</v>
      </c>
      <c r="AB184" s="76">
        <f t="shared" si="84"/>
        <v>53.652999999999999</v>
      </c>
      <c r="AC184" s="127">
        <v>36.639000000000003</v>
      </c>
      <c r="AD184" s="75">
        <v>0</v>
      </c>
      <c r="AE184" s="76">
        <v>0</v>
      </c>
      <c r="AF184" s="127">
        <v>0</v>
      </c>
      <c r="AG184" s="11" t="s">
        <v>69</v>
      </c>
      <c r="AN184" s="33"/>
      <c r="AO184" s="33"/>
      <c r="AP184" s="33"/>
      <c r="AQ184" s="238" t="s">
        <v>73</v>
      </c>
      <c r="AR184" s="223"/>
      <c r="AS184" s="11">
        <v>50</v>
      </c>
      <c r="AT184" s="11">
        <v>25</v>
      </c>
      <c r="AU184" s="11">
        <v>25</v>
      </c>
      <c r="AV184" s="224">
        <v>0</v>
      </c>
      <c r="AW184" s="33">
        <f t="shared" si="89"/>
        <v>3.3795359999999999</v>
      </c>
      <c r="AX184" s="33">
        <f t="shared" si="73"/>
        <v>3.3668299999999998</v>
      </c>
      <c r="AY184" s="33">
        <f t="shared" si="85"/>
        <v>3.1628930000000004</v>
      </c>
      <c r="AZ184" s="33">
        <v>1</v>
      </c>
      <c r="BA184" s="223"/>
      <c r="BB184" s="11">
        <f t="shared" si="74"/>
        <v>14.794930428319155</v>
      </c>
      <c r="BC184" s="11">
        <f t="shared" si="75"/>
        <v>7.4253823329363238</v>
      </c>
      <c r="BD184" s="11">
        <f t="shared" si="76"/>
        <v>7.9041561001273193</v>
      </c>
      <c r="BE184" s="224">
        <f t="shared" si="77"/>
        <v>0</v>
      </c>
    </row>
    <row r="185" spans="1:57" s="11" customFormat="1">
      <c r="A185" s="11" t="s">
        <v>704</v>
      </c>
      <c r="B185" s="11" t="s">
        <v>705</v>
      </c>
      <c r="C185" s="11" t="s">
        <v>106</v>
      </c>
      <c r="D185" s="11" t="s">
        <v>642</v>
      </c>
      <c r="E185" s="11" t="s">
        <v>643</v>
      </c>
      <c r="G185" s="11" t="s">
        <v>644</v>
      </c>
      <c r="H185" s="11" t="s">
        <v>655</v>
      </c>
      <c r="J185" s="11">
        <v>0</v>
      </c>
      <c r="K185" s="11">
        <v>38</v>
      </c>
      <c r="L185" s="11" t="s">
        <v>64</v>
      </c>
      <c r="M185" s="11" t="s">
        <v>65</v>
      </c>
      <c r="O185" s="11" t="s">
        <v>646</v>
      </c>
      <c r="P185" s="11">
        <v>0</v>
      </c>
      <c r="Q185" s="11" t="s">
        <v>647</v>
      </c>
      <c r="R185" s="126">
        <f t="shared" si="90"/>
        <v>59.145127214922077</v>
      </c>
      <c r="S185" s="75">
        <f t="shared" si="90"/>
        <v>19.789444536592672</v>
      </c>
      <c r="T185" s="75">
        <f t="shared" si="90"/>
        <v>21.065428248485258</v>
      </c>
      <c r="U185" s="75">
        <f t="shared" si="90"/>
        <v>0</v>
      </c>
      <c r="V185" s="126">
        <v>9.7799999999999994</v>
      </c>
      <c r="W185" s="127">
        <f t="shared" si="88"/>
        <v>90.22</v>
      </c>
      <c r="X185" s="75">
        <v>23.443999999999999</v>
      </c>
      <c r="Y185" s="76">
        <f t="shared" si="72"/>
        <v>73.555999999999997</v>
      </c>
      <c r="Z185" s="75">
        <v>3</v>
      </c>
      <c r="AA185" s="126">
        <v>9.7080000000000002</v>
      </c>
      <c r="AB185" s="76">
        <f t="shared" si="84"/>
        <v>53.652999999999999</v>
      </c>
      <c r="AC185" s="127">
        <v>36.639000000000003</v>
      </c>
      <c r="AD185" s="75">
        <v>0</v>
      </c>
      <c r="AE185" s="76">
        <v>0</v>
      </c>
      <c r="AF185" s="127">
        <v>0</v>
      </c>
      <c r="AG185" s="11" t="s">
        <v>69</v>
      </c>
      <c r="AN185" s="33"/>
      <c r="AO185" s="33"/>
      <c r="AP185" s="33"/>
      <c r="AQ185" s="238" t="s">
        <v>73</v>
      </c>
      <c r="AR185" s="223"/>
      <c r="AS185" s="11">
        <v>60</v>
      </c>
      <c r="AT185" s="11">
        <v>20</v>
      </c>
      <c r="AU185" s="11">
        <v>20</v>
      </c>
      <c r="AV185" s="224">
        <v>0</v>
      </c>
      <c r="AW185" s="33">
        <f t="shared" si="89"/>
        <v>3.3795359999999999</v>
      </c>
      <c r="AX185" s="33">
        <f t="shared" si="73"/>
        <v>3.3668299999999998</v>
      </c>
      <c r="AY185" s="33">
        <f t="shared" si="85"/>
        <v>3.1628930000000004</v>
      </c>
      <c r="AZ185" s="33">
        <v>1</v>
      </c>
      <c r="BA185" s="223"/>
      <c r="BB185" s="11">
        <f t="shared" si="74"/>
        <v>17.753916513982986</v>
      </c>
      <c r="BC185" s="11">
        <f t="shared" si="75"/>
        <v>5.9403058663490587</v>
      </c>
      <c r="BD185" s="11">
        <f t="shared" si="76"/>
        <v>6.3233248801018549</v>
      </c>
      <c r="BE185" s="224">
        <f t="shared" si="77"/>
        <v>0</v>
      </c>
    </row>
    <row r="186" spans="1:57" s="11" customFormat="1">
      <c r="A186" s="11" t="s">
        <v>706</v>
      </c>
      <c r="B186" s="11" t="s">
        <v>707</v>
      </c>
      <c r="C186" s="11" t="s">
        <v>106</v>
      </c>
      <c r="D186" s="11" t="s">
        <v>642</v>
      </c>
      <c r="E186" s="11" t="s">
        <v>643</v>
      </c>
      <c r="G186" s="11" t="s">
        <v>644</v>
      </c>
      <c r="H186" s="11" t="s">
        <v>655</v>
      </c>
      <c r="J186" s="11">
        <v>0</v>
      </c>
      <c r="K186" s="11">
        <v>38</v>
      </c>
      <c r="L186" s="11" t="s">
        <v>64</v>
      </c>
      <c r="M186" s="11" t="s">
        <v>65</v>
      </c>
      <c r="O186" s="11" t="s">
        <v>646</v>
      </c>
      <c r="P186" s="11">
        <v>0</v>
      </c>
      <c r="Q186" s="11" t="s">
        <v>647</v>
      </c>
      <c r="R186" s="126">
        <f t="shared" si="90"/>
        <v>69.249312386344272</v>
      </c>
      <c r="S186" s="75">
        <f t="shared" si="90"/>
        <v>14.895139441354313</v>
      </c>
      <c r="T186" s="75">
        <f t="shared" si="90"/>
        <v>15.855548172301411</v>
      </c>
      <c r="U186" s="75">
        <f t="shared" si="90"/>
        <v>0</v>
      </c>
      <c r="V186" s="126">
        <v>9.7799999999999994</v>
      </c>
      <c r="W186" s="127">
        <f t="shared" si="88"/>
        <v>90.22</v>
      </c>
      <c r="X186" s="75">
        <v>23.443999999999999</v>
      </c>
      <c r="Y186" s="76">
        <f t="shared" si="72"/>
        <v>73.555999999999997</v>
      </c>
      <c r="Z186" s="75">
        <v>3</v>
      </c>
      <c r="AA186" s="126">
        <v>9.7080000000000002</v>
      </c>
      <c r="AB186" s="76">
        <f t="shared" si="84"/>
        <v>53.652999999999999</v>
      </c>
      <c r="AC186" s="127">
        <v>36.639000000000003</v>
      </c>
      <c r="AD186" s="75">
        <v>0</v>
      </c>
      <c r="AE186" s="76">
        <v>0</v>
      </c>
      <c r="AF186" s="127">
        <v>0</v>
      </c>
      <c r="AG186" s="11" t="s">
        <v>69</v>
      </c>
      <c r="AN186" s="33"/>
      <c r="AO186" s="33"/>
      <c r="AP186" s="33"/>
      <c r="AQ186" s="238" t="s">
        <v>73</v>
      </c>
      <c r="AR186" s="223"/>
      <c r="AS186" s="11">
        <v>70</v>
      </c>
      <c r="AT186" s="11">
        <v>15</v>
      </c>
      <c r="AU186" s="11">
        <v>15</v>
      </c>
      <c r="AV186" s="224">
        <v>0</v>
      </c>
      <c r="AW186" s="33">
        <f t="shared" si="89"/>
        <v>3.3795359999999999</v>
      </c>
      <c r="AX186" s="33">
        <f t="shared" si="73"/>
        <v>3.3668299999999998</v>
      </c>
      <c r="AY186" s="33">
        <f t="shared" si="85"/>
        <v>3.1628930000000004</v>
      </c>
      <c r="AZ186" s="33">
        <v>1</v>
      </c>
      <c r="BA186" s="223"/>
      <c r="BB186" s="11">
        <f t="shared" si="74"/>
        <v>20.712902599646817</v>
      </c>
      <c r="BC186" s="11">
        <f t="shared" si="75"/>
        <v>4.4552293997617944</v>
      </c>
      <c r="BD186" s="11">
        <f t="shared" si="76"/>
        <v>4.7424936600763914</v>
      </c>
      <c r="BE186" s="224">
        <f t="shared" si="77"/>
        <v>0</v>
      </c>
    </row>
    <row r="187" spans="1:57" s="11" customFormat="1">
      <c r="A187" s="11" t="s">
        <v>708</v>
      </c>
      <c r="B187" s="11" t="s">
        <v>709</v>
      </c>
      <c r="C187" s="11" t="s">
        <v>106</v>
      </c>
      <c r="D187" s="11" t="s">
        <v>642</v>
      </c>
      <c r="E187" s="11" t="s">
        <v>643</v>
      </c>
      <c r="G187" s="11" t="s">
        <v>644</v>
      </c>
      <c r="H187" s="11" t="s">
        <v>655</v>
      </c>
      <c r="J187" s="11">
        <v>0</v>
      </c>
      <c r="K187" s="11">
        <v>38</v>
      </c>
      <c r="L187" s="11" t="s">
        <v>64</v>
      </c>
      <c r="M187" s="11" t="s">
        <v>65</v>
      </c>
      <c r="O187" s="11" t="s">
        <v>646</v>
      </c>
      <c r="P187" s="11">
        <v>0</v>
      </c>
      <c r="Q187" s="11" t="s">
        <v>647</v>
      </c>
      <c r="R187" s="126">
        <f t="shared" si="90"/>
        <v>79.425995637380382</v>
      </c>
      <c r="S187" s="75">
        <f t="shared" si="90"/>
        <v>9.9657174401577286</v>
      </c>
      <c r="T187" s="75">
        <f t="shared" si="90"/>
        <v>10.608286922461883</v>
      </c>
      <c r="U187" s="75">
        <f t="shared" si="90"/>
        <v>0</v>
      </c>
      <c r="V187" s="126">
        <v>9.7799999999999994</v>
      </c>
      <c r="W187" s="127">
        <f t="shared" si="88"/>
        <v>90.22</v>
      </c>
      <c r="X187" s="75">
        <v>23.443999999999999</v>
      </c>
      <c r="Y187" s="76">
        <f t="shared" si="72"/>
        <v>73.555999999999997</v>
      </c>
      <c r="Z187" s="75">
        <v>3</v>
      </c>
      <c r="AA187" s="126">
        <v>9.7080000000000002</v>
      </c>
      <c r="AB187" s="76">
        <f t="shared" si="84"/>
        <v>53.652999999999999</v>
      </c>
      <c r="AC187" s="127">
        <v>36.639000000000003</v>
      </c>
      <c r="AD187" s="75">
        <v>0</v>
      </c>
      <c r="AE187" s="76">
        <v>0</v>
      </c>
      <c r="AF187" s="127">
        <v>0</v>
      </c>
      <c r="AG187" s="11" t="s">
        <v>69</v>
      </c>
      <c r="AN187" s="33"/>
      <c r="AO187" s="33"/>
      <c r="AP187" s="33"/>
      <c r="AQ187" s="238" t="s">
        <v>73</v>
      </c>
      <c r="AR187" s="223"/>
      <c r="AS187" s="11">
        <v>80</v>
      </c>
      <c r="AT187" s="11">
        <v>10</v>
      </c>
      <c r="AU187" s="11">
        <v>10</v>
      </c>
      <c r="AV187" s="224">
        <v>0</v>
      </c>
      <c r="AW187" s="33">
        <f t="shared" si="89"/>
        <v>3.3795359999999999</v>
      </c>
      <c r="AX187" s="33">
        <f t="shared" si="73"/>
        <v>3.3668299999999998</v>
      </c>
      <c r="AY187" s="33">
        <f t="shared" si="85"/>
        <v>3.1628930000000004</v>
      </c>
      <c r="AZ187" s="33">
        <v>1</v>
      </c>
      <c r="BA187" s="223"/>
      <c r="BB187" s="11">
        <f t="shared" si="74"/>
        <v>23.671888685310648</v>
      </c>
      <c r="BC187" s="11">
        <f t="shared" si="75"/>
        <v>2.9701529331745293</v>
      </c>
      <c r="BD187" s="11">
        <f t="shared" si="76"/>
        <v>3.1616624400509274</v>
      </c>
      <c r="BE187" s="224">
        <f t="shared" si="77"/>
        <v>0</v>
      </c>
    </row>
    <row r="188" spans="1:57" s="11" customFormat="1">
      <c r="A188" s="11" t="s">
        <v>710</v>
      </c>
      <c r="B188" s="11" t="s">
        <v>711</v>
      </c>
      <c r="C188" s="11" t="s">
        <v>106</v>
      </c>
      <c r="D188" s="11" t="s">
        <v>642</v>
      </c>
      <c r="E188" s="11" t="s">
        <v>643</v>
      </c>
      <c r="G188" s="11" t="s">
        <v>644</v>
      </c>
      <c r="H188" s="11" t="s">
        <v>681</v>
      </c>
      <c r="J188" s="11">
        <v>0</v>
      </c>
      <c r="K188" s="11">
        <v>38</v>
      </c>
      <c r="L188" s="11" t="s">
        <v>64</v>
      </c>
      <c r="M188" s="11" t="s">
        <v>65</v>
      </c>
      <c r="O188" s="11" t="s">
        <v>646</v>
      </c>
      <c r="P188" s="11">
        <v>0</v>
      </c>
      <c r="Q188" s="11" t="s">
        <v>647</v>
      </c>
      <c r="R188" s="126">
        <f t="shared" si="90"/>
        <v>0</v>
      </c>
      <c r="S188" s="75">
        <f t="shared" si="90"/>
        <v>74.007510497941027</v>
      </c>
      <c r="T188" s="75">
        <f t="shared" si="90"/>
        <v>13.902241131575877</v>
      </c>
      <c r="U188" s="75">
        <f t="shared" si="90"/>
        <v>12.090248370483094</v>
      </c>
      <c r="V188" s="126">
        <v>0</v>
      </c>
      <c r="W188" s="127">
        <v>0</v>
      </c>
      <c r="X188" s="75">
        <v>23.443999999999999</v>
      </c>
      <c r="Y188" s="76">
        <f t="shared" si="72"/>
        <v>73.555999999999997</v>
      </c>
      <c r="Z188" s="75">
        <v>3</v>
      </c>
      <c r="AA188" s="126">
        <v>9.7080000000000002</v>
      </c>
      <c r="AB188" s="76">
        <f t="shared" si="84"/>
        <v>53.652999999999999</v>
      </c>
      <c r="AC188" s="127">
        <v>36.639000000000003</v>
      </c>
      <c r="AD188" s="75">
        <v>67.869795999999994</v>
      </c>
      <c r="AE188" s="76">
        <f t="shared" ref="AE188:AE197" si="91">100 - $AD188 - $AF188</f>
        <v>31.063849000000005</v>
      </c>
      <c r="AF188" s="127">
        <v>1.0663549999999999</v>
      </c>
      <c r="AG188" s="11" t="s">
        <v>69</v>
      </c>
      <c r="AN188" s="33"/>
      <c r="AO188" s="33"/>
      <c r="AP188" s="33"/>
      <c r="AQ188" s="238" t="s">
        <v>73</v>
      </c>
      <c r="AR188" s="223"/>
      <c r="AS188" s="11">
        <v>0</v>
      </c>
      <c r="AT188" s="11">
        <v>76.5</v>
      </c>
      <c r="AU188" s="11">
        <v>13.5</v>
      </c>
      <c r="AV188" s="224">
        <v>10</v>
      </c>
      <c r="AW188" s="33">
        <v>1</v>
      </c>
      <c r="AX188" s="33">
        <f t="shared" si="73"/>
        <v>3.3668299999999998</v>
      </c>
      <c r="AY188" s="33">
        <f t="shared" si="85"/>
        <v>3.1628930000000004</v>
      </c>
      <c r="AZ188" s="33">
        <f t="shared" ref="AZ188:AZ197" si="92">AD188*$AC$2+AE188*$AD$2+AF188*$AE$2</f>
        <v>2.6940169626000001</v>
      </c>
      <c r="BA188" s="223"/>
      <c r="BB188" s="11">
        <f t="shared" si="74"/>
        <v>0</v>
      </c>
      <c r="BC188" s="11">
        <f t="shared" si="75"/>
        <v>22.721669938785151</v>
      </c>
      <c r="BD188" s="11">
        <f t="shared" si="76"/>
        <v>4.2682442940687526</v>
      </c>
      <c r="BE188" s="224">
        <f t="shared" si="77"/>
        <v>3.7119291150821057</v>
      </c>
    </row>
    <row r="189" spans="1:57" s="11" customFormat="1">
      <c r="A189" s="11" t="s">
        <v>712</v>
      </c>
      <c r="B189" s="11" t="s">
        <v>713</v>
      </c>
      <c r="C189" s="11" t="s">
        <v>106</v>
      </c>
      <c r="D189" s="11" t="s">
        <v>642</v>
      </c>
      <c r="E189" s="11" t="s">
        <v>643</v>
      </c>
      <c r="G189" s="11" t="s">
        <v>644</v>
      </c>
      <c r="H189" s="11" t="s">
        <v>681</v>
      </c>
      <c r="J189" s="11">
        <v>0</v>
      </c>
      <c r="K189" s="11">
        <v>38</v>
      </c>
      <c r="L189" s="11" t="s">
        <v>64</v>
      </c>
      <c r="M189" s="11" t="s">
        <v>65</v>
      </c>
      <c r="O189" s="11" t="s">
        <v>646</v>
      </c>
      <c r="P189" s="11">
        <v>0</v>
      </c>
      <c r="Q189" s="11" t="s">
        <v>647</v>
      </c>
      <c r="R189" s="126">
        <f t="shared" si="90"/>
        <v>0</v>
      </c>
      <c r="S189" s="75">
        <f t="shared" si="90"/>
        <v>64.291289735873519</v>
      </c>
      <c r="T189" s="75">
        <f t="shared" si="90"/>
        <v>12.077058214152322</v>
      </c>
      <c r="U189" s="75">
        <f t="shared" si="90"/>
        <v>23.631652049974168</v>
      </c>
      <c r="V189" s="126">
        <v>0</v>
      </c>
      <c r="W189" s="127">
        <v>0</v>
      </c>
      <c r="X189" s="75">
        <v>23.443999999999999</v>
      </c>
      <c r="Y189" s="76">
        <f t="shared" ref="Y189:Y220" si="93">100 - $X189 - $Z189</f>
        <v>73.555999999999997</v>
      </c>
      <c r="Z189" s="75">
        <v>3</v>
      </c>
      <c r="AA189" s="126">
        <v>9.7080000000000002</v>
      </c>
      <c r="AB189" s="76">
        <f t="shared" si="84"/>
        <v>53.652999999999999</v>
      </c>
      <c r="AC189" s="127">
        <v>36.639000000000003</v>
      </c>
      <c r="AD189" s="75">
        <v>67.869795999999994</v>
      </c>
      <c r="AE189" s="76">
        <f t="shared" si="91"/>
        <v>31.063849000000005</v>
      </c>
      <c r="AF189" s="127">
        <v>1.0663549999999999</v>
      </c>
      <c r="AG189" s="11" t="s">
        <v>69</v>
      </c>
      <c r="AN189" s="33"/>
      <c r="AO189" s="33"/>
      <c r="AP189" s="33"/>
      <c r="AQ189" s="238" t="s">
        <v>73</v>
      </c>
      <c r="AR189" s="223"/>
      <c r="AS189" s="11">
        <v>0</v>
      </c>
      <c r="AT189" s="11">
        <v>68</v>
      </c>
      <c r="AU189" s="11">
        <v>12</v>
      </c>
      <c r="AV189" s="224">
        <v>20</v>
      </c>
      <c r="AW189" s="33">
        <v>1</v>
      </c>
      <c r="AX189" s="33">
        <f t="shared" ref="AX189:AX220" si="94">X189*$Z$2+Y189*$AA$2+Z189*$AB$2</f>
        <v>3.3668299999999998</v>
      </c>
      <c r="AY189" s="33">
        <f t="shared" si="85"/>
        <v>3.1628930000000004</v>
      </c>
      <c r="AZ189" s="33">
        <f t="shared" si="92"/>
        <v>2.6940169626000001</v>
      </c>
      <c r="BA189" s="223"/>
      <c r="BB189" s="11">
        <f t="shared" si="74"/>
        <v>0</v>
      </c>
      <c r="BC189" s="11">
        <f t="shared" si="75"/>
        <v>20.197039945586798</v>
      </c>
      <c r="BD189" s="11">
        <f t="shared" si="76"/>
        <v>3.7939949280611134</v>
      </c>
      <c r="BE189" s="224">
        <f t="shared" si="77"/>
        <v>7.4238582301642113</v>
      </c>
    </row>
    <row r="190" spans="1:57" s="11" customFormat="1">
      <c r="A190" s="11" t="s">
        <v>714</v>
      </c>
      <c r="B190" s="11" t="s">
        <v>715</v>
      </c>
      <c r="C190" s="11" t="s">
        <v>106</v>
      </c>
      <c r="D190" s="11" t="s">
        <v>642</v>
      </c>
      <c r="E190" s="11" t="s">
        <v>643</v>
      </c>
      <c r="G190" s="11" t="s">
        <v>644</v>
      </c>
      <c r="H190" s="11" t="s">
        <v>681</v>
      </c>
      <c r="J190" s="11">
        <v>0</v>
      </c>
      <c r="K190" s="11">
        <v>38</v>
      </c>
      <c r="L190" s="11" t="s">
        <v>64</v>
      </c>
      <c r="M190" s="11" t="s">
        <v>65</v>
      </c>
      <c r="O190" s="11" t="s">
        <v>646</v>
      </c>
      <c r="P190" s="11">
        <v>0</v>
      </c>
      <c r="Q190" s="11" t="s">
        <v>647</v>
      </c>
      <c r="R190" s="126">
        <f t="shared" si="90"/>
        <v>0</v>
      </c>
      <c r="S190" s="75">
        <f t="shared" si="90"/>
        <v>55.006353906843131</v>
      </c>
      <c r="T190" s="75">
        <f t="shared" si="90"/>
        <v>10.332891765127124</v>
      </c>
      <c r="U190" s="75">
        <f t="shared" si="90"/>
        <v>34.660754328029746</v>
      </c>
      <c r="V190" s="126">
        <v>0</v>
      </c>
      <c r="W190" s="127">
        <v>0</v>
      </c>
      <c r="X190" s="75">
        <v>23.443999999999999</v>
      </c>
      <c r="Y190" s="76">
        <f t="shared" si="93"/>
        <v>73.555999999999997</v>
      </c>
      <c r="Z190" s="75">
        <v>3</v>
      </c>
      <c r="AA190" s="126">
        <v>9.7080000000000002</v>
      </c>
      <c r="AB190" s="76">
        <f t="shared" si="84"/>
        <v>53.652999999999999</v>
      </c>
      <c r="AC190" s="127">
        <v>36.639000000000003</v>
      </c>
      <c r="AD190" s="75">
        <v>67.869795999999994</v>
      </c>
      <c r="AE190" s="76">
        <f t="shared" si="91"/>
        <v>31.063849000000005</v>
      </c>
      <c r="AF190" s="127">
        <v>1.0663549999999999</v>
      </c>
      <c r="AG190" s="11" t="s">
        <v>69</v>
      </c>
      <c r="AN190" s="33"/>
      <c r="AO190" s="33"/>
      <c r="AP190" s="33"/>
      <c r="AQ190" s="238" t="s">
        <v>73</v>
      </c>
      <c r="AR190" s="223"/>
      <c r="AS190" s="11">
        <v>0</v>
      </c>
      <c r="AT190" s="11">
        <v>59.5</v>
      </c>
      <c r="AU190" s="11">
        <v>10.5</v>
      </c>
      <c r="AV190" s="224">
        <v>30</v>
      </c>
      <c r="AW190" s="33">
        <v>1</v>
      </c>
      <c r="AX190" s="33">
        <f t="shared" si="94"/>
        <v>3.3668299999999998</v>
      </c>
      <c r="AY190" s="33">
        <f t="shared" si="85"/>
        <v>3.1628930000000004</v>
      </c>
      <c r="AZ190" s="33">
        <f t="shared" si="92"/>
        <v>2.6940169626000001</v>
      </c>
      <c r="BA190" s="223"/>
      <c r="BB190" s="11">
        <f t="shared" ref="BB190:BB221" si="95">AS190/AW190</f>
        <v>0</v>
      </c>
      <c r="BC190" s="11">
        <f t="shared" ref="BC190:BC221" si="96">AT190/AX190</f>
        <v>17.672409952388449</v>
      </c>
      <c r="BD190" s="11">
        <f t="shared" ref="BD190:BD221" si="97">AU190/AY190</f>
        <v>3.3197455620534742</v>
      </c>
      <c r="BE190" s="224">
        <f t="shared" ref="BE190:BE221" si="98">AV190/AZ190</f>
        <v>11.135787345246316</v>
      </c>
    </row>
    <row r="191" spans="1:57" s="11" customFormat="1">
      <c r="A191" s="11" t="s">
        <v>716</v>
      </c>
      <c r="B191" s="11" t="s">
        <v>717</v>
      </c>
      <c r="C191" s="11" t="s">
        <v>106</v>
      </c>
      <c r="D191" s="11" t="s">
        <v>642</v>
      </c>
      <c r="E191" s="11" t="s">
        <v>643</v>
      </c>
      <c r="G191" s="11" t="s">
        <v>644</v>
      </c>
      <c r="H191" s="11" t="s">
        <v>681</v>
      </c>
      <c r="J191" s="11">
        <v>0</v>
      </c>
      <c r="K191" s="11">
        <v>38</v>
      </c>
      <c r="L191" s="11" t="s">
        <v>64</v>
      </c>
      <c r="M191" s="11" t="s">
        <v>65</v>
      </c>
      <c r="O191" s="11" t="s">
        <v>646</v>
      </c>
      <c r="P191" s="11">
        <v>0</v>
      </c>
      <c r="Q191" s="11" t="s">
        <v>647</v>
      </c>
      <c r="R191" s="126">
        <f t="shared" si="90"/>
        <v>0</v>
      </c>
      <c r="S191" s="75">
        <f t="shared" si="90"/>
        <v>46.124610594172779</v>
      </c>
      <c r="T191" s="75">
        <f t="shared" si="90"/>
        <v>8.6644646504907001</v>
      </c>
      <c r="U191" s="75">
        <f t="shared" si="90"/>
        <v>45.210924755336514</v>
      </c>
      <c r="V191" s="126">
        <v>0</v>
      </c>
      <c r="W191" s="127">
        <v>0</v>
      </c>
      <c r="X191" s="75">
        <v>23.443999999999999</v>
      </c>
      <c r="Y191" s="76">
        <f t="shared" si="93"/>
        <v>73.555999999999997</v>
      </c>
      <c r="Z191" s="75">
        <v>3</v>
      </c>
      <c r="AA191" s="126">
        <v>9.7080000000000002</v>
      </c>
      <c r="AB191" s="76">
        <f t="shared" si="84"/>
        <v>53.652999999999999</v>
      </c>
      <c r="AC191" s="127">
        <v>36.639000000000003</v>
      </c>
      <c r="AD191" s="75">
        <v>67.869795999999994</v>
      </c>
      <c r="AE191" s="76">
        <f t="shared" si="91"/>
        <v>31.063849000000005</v>
      </c>
      <c r="AF191" s="127">
        <v>1.0663549999999999</v>
      </c>
      <c r="AG191" s="11" t="s">
        <v>69</v>
      </c>
      <c r="AN191" s="33"/>
      <c r="AO191" s="33"/>
      <c r="AP191" s="33"/>
      <c r="AQ191" s="238" t="s">
        <v>73</v>
      </c>
      <c r="AR191" s="223"/>
      <c r="AS191" s="11">
        <v>0</v>
      </c>
      <c r="AT191" s="11">
        <v>51</v>
      </c>
      <c r="AU191" s="11">
        <v>9</v>
      </c>
      <c r="AV191" s="224">
        <v>40</v>
      </c>
      <c r="AW191" s="33">
        <v>1</v>
      </c>
      <c r="AX191" s="33">
        <f t="shared" si="94"/>
        <v>3.3668299999999998</v>
      </c>
      <c r="AY191" s="33">
        <f t="shared" si="85"/>
        <v>3.1628930000000004</v>
      </c>
      <c r="AZ191" s="33">
        <f t="shared" si="92"/>
        <v>2.6940169626000001</v>
      </c>
      <c r="BA191" s="223"/>
      <c r="BB191" s="11">
        <f t="shared" si="95"/>
        <v>0</v>
      </c>
      <c r="BC191" s="11">
        <f t="shared" si="96"/>
        <v>15.1477799591901</v>
      </c>
      <c r="BD191" s="11">
        <f t="shared" si="97"/>
        <v>2.8454961960458349</v>
      </c>
      <c r="BE191" s="224">
        <f t="shared" si="98"/>
        <v>14.847716460328423</v>
      </c>
    </row>
    <row r="192" spans="1:57" s="11" customFormat="1">
      <c r="A192" s="11" t="s">
        <v>718</v>
      </c>
      <c r="B192" s="11" t="s">
        <v>719</v>
      </c>
      <c r="C192" s="11" t="s">
        <v>106</v>
      </c>
      <c r="D192" s="11" t="s">
        <v>642</v>
      </c>
      <c r="E192" s="11" t="s">
        <v>643</v>
      </c>
      <c r="G192" s="11" t="s">
        <v>644</v>
      </c>
      <c r="H192" s="11" t="s">
        <v>681</v>
      </c>
      <c r="J192" s="11">
        <v>0</v>
      </c>
      <c r="K192" s="11">
        <v>38</v>
      </c>
      <c r="L192" s="11" t="s">
        <v>64</v>
      </c>
      <c r="M192" s="11" t="s">
        <v>65</v>
      </c>
      <c r="O192" s="11" t="s">
        <v>646</v>
      </c>
      <c r="P192" s="11">
        <v>0</v>
      </c>
      <c r="Q192" s="11" t="s">
        <v>647</v>
      </c>
      <c r="R192" s="126">
        <f t="shared" si="90"/>
        <v>0</v>
      </c>
      <c r="S192" s="75">
        <f t="shared" si="90"/>
        <v>37.620355324865258</v>
      </c>
      <c r="T192" s="75">
        <f t="shared" si="90"/>
        <v>7.0669483092042666</v>
      </c>
      <c r="U192" s="75">
        <f t="shared" si="90"/>
        <v>55.312696365930478</v>
      </c>
      <c r="V192" s="126">
        <v>0</v>
      </c>
      <c r="W192" s="127">
        <v>0</v>
      </c>
      <c r="X192" s="75">
        <v>23.443999999999999</v>
      </c>
      <c r="Y192" s="76">
        <f t="shared" si="93"/>
        <v>73.555999999999997</v>
      </c>
      <c r="Z192" s="75">
        <v>3</v>
      </c>
      <c r="AA192" s="126">
        <v>9.7080000000000002</v>
      </c>
      <c r="AB192" s="76">
        <f t="shared" si="84"/>
        <v>53.652999999999999</v>
      </c>
      <c r="AC192" s="127">
        <v>36.639000000000003</v>
      </c>
      <c r="AD192" s="75">
        <v>67.869795999999994</v>
      </c>
      <c r="AE192" s="76">
        <f t="shared" si="91"/>
        <v>31.063849000000005</v>
      </c>
      <c r="AF192" s="127">
        <v>1.0663549999999999</v>
      </c>
      <c r="AG192" s="11" t="s">
        <v>69</v>
      </c>
      <c r="AN192" s="33"/>
      <c r="AO192" s="33"/>
      <c r="AP192" s="33"/>
      <c r="AQ192" s="238" t="s">
        <v>73</v>
      </c>
      <c r="AR192" s="223"/>
      <c r="AS192" s="11">
        <v>0</v>
      </c>
      <c r="AT192" s="11">
        <v>42.5</v>
      </c>
      <c r="AU192" s="11">
        <v>7.5</v>
      </c>
      <c r="AV192" s="224">
        <v>50</v>
      </c>
      <c r="AW192" s="33">
        <v>1</v>
      </c>
      <c r="AX192" s="33">
        <f t="shared" si="94"/>
        <v>3.3668299999999998</v>
      </c>
      <c r="AY192" s="33">
        <f t="shared" si="85"/>
        <v>3.1628930000000004</v>
      </c>
      <c r="AZ192" s="33">
        <f t="shared" si="92"/>
        <v>2.6940169626000001</v>
      </c>
      <c r="BA192" s="223"/>
      <c r="BB192" s="11">
        <f t="shared" si="95"/>
        <v>0</v>
      </c>
      <c r="BC192" s="11">
        <f t="shared" si="96"/>
        <v>12.62314996599175</v>
      </c>
      <c r="BD192" s="11">
        <f t="shared" si="97"/>
        <v>2.3712468300381957</v>
      </c>
      <c r="BE192" s="224">
        <f t="shared" si="98"/>
        <v>18.559645575410528</v>
      </c>
    </row>
    <row r="193" spans="1:57" s="11" customFormat="1">
      <c r="A193" s="11" t="s">
        <v>720</v>
      </c>
      <c r="B193" s="11" t="s">
        <v>721</v>
      </c>
      <c r="C193" s="11" t="s">
        <v>106</v>
      </c>
      <c r="D193" s="11" t="s">
        <v>642</v>
      </c>
      <c r="E193" s="11" t="s">
        <v>643</v>
      </c>
      <c r="G193" s="11" t="s">
        <v>644</v>
      </c>
      <c r="H193" s="11" t="s">
        <v>658</v>
      </c>
      <c r="J193" s="11">
        <v>0</v>
      </c>
      <c r="K193" s="11">
        <v>38</v>
      </c>
      <c r="L193" s="11" t="s">
        <v>64</v>
      </c>
      <c r="M193" s="11" t="s">
        <v>65</v>
      </c>
      <c r="O193" s="11" t="s">
        <v>646</v>
      </c>
      <c r="P193" s="11">
        <v>0</v>
      </c>
      <c r="Q193" s="11" t="s">
        <v>647</v>
      </c>
      <c r="R193" s="126">
        <f t="shared" si="90"/>
        <v>88.711053465789931</v>
      </c>
      <c r="S193" s="75">
        <f t="shared" si="90"/>
        <v>2.4734955002641938</v>
      </c>
      <c r="T193" s="75">
        <f t="shared" si="90"/>
        <v>2.632981531513868</v>
      </c>
      <c r="U193" s="75">
        <f t="shared" si="90"/>
        <v>6.1824695024319993</v>
      </c>
      <c r="V193" s="126">
        <v>9.7799999999999994</v>
      </c>
      <c r="W193" s="127">
        <f>100 - $V193</f>
        <v>90.22</v>
      </c>
      <c r="X193" s="75">
        <v>23.443999999999999</v>
      </c>
      <c r="Y193" s="76">
        <f t="shared" si="93"/>
        <v>73.555999999999997</v>
      </c>
      <c r="Z193" s="75">
        <v>3</v>
      </c>
      <c r="AA193" s="126">
        <v>9.7080000000000002</v>
      </c>
      <c r="AB193" s="76">
        <f t="shared" si="84"/>
        <v>53.652999999999999</v>
      </c>
      <c r="AC193" s="127">
        <v>36.639000000000003</v>
      </c>
      <c r="AD193" s="75">
        <v>67.869795999999994</v>
      </c>
      <c r="AE193" s="76">
        <f t="shared" si="91"/>
        <v>31.063849000000005</v>
      </c>
      <c r="AF193" s="127">
        <v>1.0663549999999999</v>
      </c>
      <c r="AG193" s="11" t="s">
        <v>69</v>
      </c>
      <c r="AN193" s="33"/>
      <c r="AO193" s="33"/>
      <c r="AP193" s="33"/>
      <c r="AQ193" s="238" t="s">
        <v>73</v>
      </c>
      <c r="AR193" s="223"/>
      <c r="AS193" s="11">
        <v>90</v>
      </c>
      <c r="AT193" s="11">
        <v>2.5</v>
      </c>
      <c r="AU193" s="11">
        <v>2.5</v>
      </c>
      <c r="AV193" s="224">
        <v>5</v>
      </c>
      <c r="AW193" s="33">
        <f>V193*$X$2 + W193*$Y$2</f>
        <v>3.3795359999999999</v>
      </c>
      <c r="AX193" s="33">
        <f t="shared" si="94"/>
        <v>3.3668299999999998</v>
      </c>
      <c r="AY193" s="33">
        <f t="shared" si="85"/>
        <v>3.1628930000000004</v>
      </c>
      <c r="AZ193" s="33">
        <f t="shared" si="92"/>
        <v>2.6940169626000001</v>
      </c>
      <c r="BA193" s="223"/>
      <c r="BB193" s="11">
        <f t="shared" si="95"/>
        <v>26.630874770974479</v>
      </c>
      <c r="BC193" s="11">
        <f t="shared" si="96"/>
        <v>0.74253823329363233</v>
      </c>
      <c r="BD193" s="11">
        <f t="shared" si="97"/>
        <v>0.79041561001273186</v>
      </c>
      <c r="BE193" s="224">
        <f t="shared" si="98"/>
        <v>1.8559645575410528</v>
      </c>
    </row>
    <row r="194" spans="1:57" s="11" customFormat="1">
      <c r="A194" s="11" t="s">
        <v>722</v>
      </c>
      <c r="B194" s="11" t="s">
        <v>723</v>
      </c>
      <c r="C194" s="11" t="s">
        <v>106</v>
      </c>
      <c r="D194" s="11" t="s">
        <v>642</v>
      </c>
      <c r="E194" s="11" t="s">
        <v>643</v>
      </c>
      <c r="G194" s="11" t="s">
        <v>644</v>
      </c>
      <c r="H194" s="11" t="s">
        <v>658</v>
      </c>
      <c r="J194" s="11">
        <v>0</v>
      </c>
      <c r="K194" s="11">
        <v>38</v>
      </c>
      <c r="L194" s="11" t="s">
        <v>64</v>
      </c>
      <c r="M194" s="11" t="s">
        <v>65</v>
      </c>
      <c r="O194" s="11" t="s">
        <v>646</v>
      </c>
      <c r="P194" s="11">
        <v>0</v>
      </c>
      <c r="Q194" s="11" t="s">
        <v>647</v>
      </c>
      <c r="R194" s="126">
        <f t="shared" si="90"/>
        <v>77.740893576898415</v>
      </c>
      <c r="S194" s="75">
        <f t="shared" si="90"/>
        <v>4.8771423808763918</v>
      </c>
      <c r="T194" s="75">
        <f t="shared" si="90"/>
        <v>5.1916107444058515</v>
      </c>
      <c r="U194" s="75">
        <f t="shared" si="90"/>
        <v>12.190353297819328</v>
      </c>
      <c r="V194" s="126">
        <v>9.7799999999999994</v>
      </c>
      <c r="W194" s="127">
        <f>100 - $V194</f>
        <v>90.22</v>
      </c>
      <c r="X194" s="75">
        <v>23.443999999999999</v>
      </c>
      <c r="Y194" s="76">
        <f t="shared" si="93"/>
        <v>73.555999999999997</v>
      </c>
      <c r="Z194" s="75">
        <v>3</v>
      </c>
      <c r="AA194" s="126">
        <v>9.7080000000000002</v>
      </c>
      <c r="AB194" s="76">
        <f t="shared" si="84"/>
        <v>53.652999999999999</v>
      </c>
      <c r="AC194" s="127">
        <v>36.639000000000003</v>
      </c>
      <c r="AD194" s="75">
        <v>67.869795999999994</v>
      </c>
      <c r="AE194" s="76">
        <f t="shared" si="91"/>
        <v>31.063849000000005</v>
      </c>
      <c r="AF194" s="127">
        <v>1.0663549999999999</v>
      </c>
      <c r="AG194" s="11" t="s">
        <v>69</v>
      </c>
      <c r="AN194" s="33"/>
      <c r="AO194" s="33"/>
      <c r="AP194" s="33"/>
      <c r="AQ194" s="238" t="s">
        <v>73</v>
      </c>
      <c r="AR194" s="223"/>
      <c r="AS194" s="11">
        <v>80</v>
      </c>
      <c r="AT194" s="11">
        <v>5</v>
      </c>
      <c r="AU194" s="11">
        <v>5</v>
      </c>
      <c r="AV194" s="224">
        <v>10</v>
      </c>
      <c r="AW194" s="33">
        <f>V194*$X$2 + W194*$Y$2</f>
        <v>3.3795359999999999</v>
      </c>
      <c r="AX194" s="33">
        <f t="shared" si="94"/>
        <v>3.3668299999999998</v>
      </c>
      <c r="AY194" s="33">
        <f t="shared" si="85"/>
        <v>3.1628930000000004</v>
      </c>
      <c r="AZ194" s="33">
        <f t="shared" si="92"/>
        <v>2.6940169626000001</v>
      </c>
      <c r="BA194" s="223"/>
      <c r="BB194" s="11">
        <f t="shared" si="95"/>
        <v>23.671888685310648</v>
      </c>
      <c r="BC194" s="11">
        <f t="shared" si="96"/>
        <v>1.4850764665872647</v>
      </c>
      <c r="BD194" s="11">
        <f t="shared" si="97"/>
        <v>1.5808312200254637</v>
      </c>
      <c r="BE194" s="224">
        <f t="shared" si="98"/>
        <v>3.7119291150821057</v>
      </c>
    </row>
    <row r="195" spans="1:57" s="11" customFormat="1">
      <c r="A195" s="11" t="s">
        <v>724</v>
      </c>
      <c r="B195" s="11" t="s">
        <v>725</v>
      </c>
      <c r="C195" s="11" t="s">
        <v>106</v>
      </c>
      <c r="D195" s="11" t="s">
        <v>642</v>
      </c>
      <c r="E195" s="11" t="s">
        <v>643</v>
      </c>
      <c r="G195" s="11" t="s">
        <v>644</v>
      </c>
      <c r="H195" s="11" t="s">
        <v>658</v>
      </c>
      <c r="J195" s="11">
        <v>0</v>
      </c>
      <c r="K195" s="11">
        <v>38</v>
      </c>
      <c r="L195" s="11" t="s">
        <v>64</v>
      </c>
      <c r="M195" s="11" t="s">
        <v>65</v>
      </c>
      <c r="O195" s="11" t="s">
        <v>646</v>
      </c>
      <c r="P195" s="11">
        <v>0</v>
      </c>
      <c r="Q195" s="11" t="s">
        <v>647</v>
      </c>
      <c r="R195" s="126">
        <f t="shared" ref="R195:U219" si="99">BB195/SUMIF($BB195:$BE195, "&lt;&gt;#VALUE!")*100</f>
        <v>67.076205093757466</v>
      </c>
      <c r="S195" s="75">
        <f t="shared" si="99"/>
        <v>7.2138581138129751</v>
      </c>
      <c r="T195" s="75">
        <f t="shared" si="99"/>
        <v>7.6789932233967226</v>
      </c>
      <c r="U195" s="75">
        <f t="shared" si="99"/>
        <v>18.030943569032843</v>
      </c>
      <c r="V195" s="126">
        <v>9.7799999999999994</v>
      </c>
      <c r="W195" s="127">
        <f>100 - $V195</f>
        <v>90.22</v>
      </c>
      <c r="X195" s="75">
        <v>23.443999999999999</v>
      </c>
      <c r="Y195" s="76">
        <f t="shared" si="93"/>
        <v>73.555999999999997</v>
      </c>
      <c r="Z195" s="75">
        <v>3</v>
      </c>
      <c r="AA195" s="126">
        <v>9.7080000000000002</v>
      </c>
      <c r="AB195" s="76">
        <f t="shared" si="84"/>
        <v>53.652999999999999</v>
      </c>
      <c r="AC195" s="127">
        <v>36.639000000000003</v>
      </c>
      <c r="AD195" s="75">
        <v>67.869795999999994</v>
      </c>
      <c r="AE195" s="76">
        <f t="shared" si="91"/>
        <v>31.063849000000005</v>
      </c>
      <c r="AF195" s="127">
        <v>1.0663549999999999</v>
      </c>
      <c r="AG195" s="11" t="s">
        <v>69</v>
      </c>
      <c r="AN195" s="33"/>
      <c r="AO195" s="33"/>
      <c r="AP195" s="33"/>
      <c r="AQ195" s="238" t="s">
        <v>73</v>
      </c>
      <c r="AR195" s="223"/>
      <c r="AS195" s="11">
        <v>70</v>
      </c>
      <c r="AT195" s="11">
        <v>7.5</v>
      </c>
      <c r="AU195" s="11">
        <v>7.5</v>
      </c>
      <c r="AV195" s="224">
        <v>15</v>
      </c>
      <c r="AW195" s="33">
        <f>V195*$X$2 + W195*$Y$2</f>
        <v>3.3795359999999999</v>
      </c>
      <c r="AX195" s="33">
        <f t="shared" si="94"/>
        <v>3.3668299999999998</v>
      </c>
      <c r="AY195" s="33">
        <f t="shared" si="85"/>
        <v>3.1628930000000004</v>
      </c>
      <c r="AZ195" s="33">
        <f t="shared" si="92"/>
        <v>2.6940169626000001</v>
      </c>
      <c r="BA195" s="223"/>
      <c r="BB195" s="11">
        <f t="shared" si="95"/>
        <v>20.712902599646817</v>
      </c>
      <c r="BC195" s="11">
        <f t="shared" si="96"/>
        <v>2.2276146998808972</v>
      </c>
      <c r="BD195" s="11">
        <f t="shared" si="97"/>
        <v>2.3712468300381957</v>
      </c>
      <c r="BE195" s="224">
        <f t="shared" si="98"/>
        <v>5.5678936726231578</v>
      </c>
    </row>
    <row r="196" spans="1:57" s="11" customFormat="1">
      <c r="A196" s="11" t="s">
        <v>726</v>
      </c>
      <c r="B196" s="11" t="s">
        <v>727</v>
      </c>
      <c r="C196" s="11" t="s">
        <v>106</v>
      </c>
      <c r="D196" s="11" t="s">
        <v>642</v>
      </c>
      <c r="E196" s="11" t="s">
        <v>643</v>
      </c>
      <c r="G196" s="11" t="s">
        <v>644</v>
      </c>
      <c r="H196" s="11" t="s">
        <v>658</v>
      </c>
      <c r="J196" s="11">
        <v>0</v>
      </c>
      <c r="K196" s="11">
        <v>38</v>
      </c>
      <c r="L196" s="11" t="s">
        <v>64</v>
      </c>
      <c r="M196" s="11" t="s">
        <v>65</v>
      </c>
      <c r="O196" s="11" t="s">
        <v>646</v>
      </c>
      <c r="P196" s="11">
        <v>0</v>
      </c>
      <c r="Q196" s="11" t="s">
        <v>647</v>
      </c>
      <c r="R196" s="126">
        <f t="shared" si="99"/>
        <v>56.704404137606154</v>
      </c>
      <c r="S196" s="75">
        <f t="shared" si="99"/>
        <v>9.486399924240752</v>
      </c>
      <c r="T196" s="75">
        <f t="shared" si="99"/>
        <v>10.098063974004647</v>
      </c>
      <c r="U196" s="75">
        <f t="shared" si="99"/>
        <v>23.71113196414845</v>
      </c>
      <c r="V196" s="126">
        <v>9.7799999999999994</v>
      </c>
      <c r="W196" s="127">
        <f>100 - $V196</f>
        <v>90.22</v>
      </c>
      <c r="X196" s="75">
        <v>23.443999999999999</v>
      </c>
      <c r="Y196" s="76">
        <f t="shared" si="93"/>
        <v>73.555999999999997</v>
      </c>
      <c r="Z196" s="75">
        <v>3</v>
      </c>
      <c r="AA196" s="126">
        <v>9.7080000000000002</v>
      </c>
      <c r="AB196" s="76">
        <f t="shared" si="84"/>
        <v>53.652999999999999</v>
      </c>
      <c r="AC196" s="127">
        <v>36.639000000000003</v>
      </c>
      <c r="AD196" s="75">
        <v>67.869795999999994</v>
      </c>
      <c r="AE196" s="76">
        <f t="shared" si="91"/>
        <v>31.063849000000005</v>
      </c>
      <c r="AF196" s="127">
        <v>1.0663549999999999</v>
      </c>
      <c r="AG196" s="11" t="s">
        <v>69</v>
      </c>
      <c r="AN196" s="33"/>
      <c r="AO196" s="33"/>
      <c r="AP196" s="33"/>
      <c r="AQ196" s="238" t="s">
        <v>73</v>
      </c>
      <c r="AR196" s="223"/>
      <c r="AS196" s="11">
        <v>60</v>
      </c>
      <c r="AT196" s="11">
        <v>10</v>
      </c>
      <c r="AU196" s="11">
        <v>10</v>
      </c>
      <c r="AV196" s="224">
        <v>20</v>
      </c>
      <c r="AW196" s="33">
        <f>V196*$X$2 + W196*$Y$2</f>
        <v>3.3795359999999999</v>
      </c>
      <c r="AX196" s="33">
        <f t="shared" si="94"/>
        <v>3.3668299999999998</v>
      </c>
      <c r="AY196" s="33">
        <f t="shared" si="85"/>
        <v>3.1628930000000004</v>
      </c>
      <c r="AZ196" s="33">
        <f t="shared" si="92"/>
        <v>2.6940169626000001</v>
      </c>
      <c r="BA196" s="223"/>
      <c r="BB196" s="11">
        <f t="shared" si="95"/>
        <v>17.753916513982986</v>
      </c>
      <c r="BC196" s="11">
        <f t="shared" si="96"/>
        <v>2.9701529331745293</v>
      </c>
      <c r="BD196" s="11">
        <f t="shared" si="97"/>
        <v>3.1616624400509274</v>
      </c>
      <c r="BE196" s="224">
        <f t="shared" si="98"/>
        <v>7.4238582301642113</v>
      </c>
    </row>
    <row r="197" spans="1:57" s="11" customFormat="1">
      <c r="A197" s="11" t="s">
        <v>728</v>
      </c>
      <c r="B197" s="11" t="s">
        <v>729</v>
      </c>
      <c r="C197" s="11" t="s">
        <v>106</v>
      </c>
      <c r="D197" s="11" t="s">
        <v>642</v>
      </c>
      <c r="E197" s="11" t="s">
        <v>643</v>
      </c>
      <c r="G197" s="11" t="s">
        <v>644</v>
      </c>
      <c r="H197" s="11" t="s">
        <v>681</v>
      </c>
      <c r="J197" s="11">
        <v>0</v>
      </c>
      <c r="K197" s="11">
        <v>38</v>
      </c>
      <c r="L197" s="11" t="s">
        <v>64</v>
      </c>
      <c r="M197" s="11" t="s">
        <v>65</v>
      </c>
      <c r="O197" s="11" t="s">
        <v>646</v>
      </c>
      <c r="P197" s="11">
        <v>0</v>
      </c>
      <c r="Q197" s="11" t="s">
        <v>647</v>
      </c>
      <c r="R197" s="126">
        <f t="shared" si="99"/>
        <v>0</v>
      </c>
      <c r="S197" s="75">
        <f t="shared" si="99"/>
        <v>17.200725437105699</v>
      </c>
      <c r="T197" s="75">
        <f t="shared" si="99"/>
        <v>18.309793731059056</v>
      </c>
      <c r="U197" s="75">
        <f t="shared" si="99"/>
        <v>64.489480831835252</v>
      </c>
      <c r="V197" s="126">
        <v>0</v>
      </c>
      <c r="W197" s="127">
        <v>0</v>
      </c>
      <c r="X197" s="75">
        <v>23.443999999999999</v>
      </c>
      <c r="Y197" s="76">
        <f t="shared" si="93"/>
        <v>73.555999999999997</v>
      </c>
      <c r="Z197" s="75">
        <v>3</v>
      </c>
      <c r="AA197" s="126">
        <v>9.7080000000000002</v>
      </c>
      <c r="AB197" s="76">
        <f t="shared" si="84"/>
        <v>53.652999999999999</v>
      </c>
      <c r="AC197" s="127">
        <v>36.639000000000003</v>
      </c>
      <c r="AD197" s="75">
        <v>67.869795999999994</v>
      </c>
      <c r="AE197" s="76">
        <f t="shared" si="91"/>
        <v>31.063849000000005</v>
      </c>
      <c r="AF197" s="127">
        <v>1.0663549999999999</v>
      </c>
      <c r="AG197" s="11" t="s">
        <v>69</v>
      </c>
      <c r="AN197" s="33"/>
      <c r="AO197" s="33"/>
      <c r="AP197" s="33"/>
      <c r="AQ197" s="238" t="s">
        <v>73</v>
      </c>
      <c r="AR197" s="223"/>
      <c r="AS197" s="11">
        <v>0</v>
      </c>
      <c r="AT197" s="11">
        <v>20</v>
      </c>
      <c r="AU197" s="11">
        <v>20</v>
      </c>
      <c r="AV197" s="224">
        <v>60</v>
      </c>
      <c r="AW197" s="33">
        <v>1</v>
      </c>
      <c r="AX197" s="33">
        <f t="shared" si="94"/>
        <v>3.3668299999999998</v>
      </c>
      <c r="AY197" s="33">
        <f t="shared" si="85"/>
        <v>3.1628930000000004</v>
      </c>
      <c r="AZ197" s="33">
        <f t="shared" si="92"/>
        <v>2.6940169626000001</v>
      </c>
      <c r="BA197" s="223"/>
      <c r="BB197" s="11">
        <f t="shared" si="95"/>
        <v>0</v>
      </c>
      <c r="BC197" s="11">
        <f t="shared" si="96"/>
        <v>5.9403058663490587</v>
      </c>
      <c r="BD197" s="11">
        <f t="shared" si="97"/>
        <v>6.3233248801018549</v>
      </c>
      <c r="BE197" s="224">
        <f t="shared" si="98"/>
        <v>22.271574690492631</v>
      </c>
    </row>
    <row r="198" spans="1:57" s="11" customFormat="1">
      <c r="A198" s="11" t="s">
        <v>730</v>
      </c>
      <c r="B198" s="77" t="s">
        <v>731</v>
      </c>
      <c r="C198" s="78" t="s">
        <v>732</v>
      </c>
      <c r="D198" s="78" t="s">
        <v>642</v>
      </c>
      <c r="E198" s="11" t="s">
        <v>643</v>
      </c>
      <c r="G198" s="11" t="s">
        <v>733</v>
      </c>
      <c r="H198" s="11" t="s">
        <v>734</v>
      </c>
      <c r="J198" s="11">
        <v>0</v>
      </c>
      <c r="K198" s="11">
        <v>125</v>
      </c>
      <c r="L198" s="11" t="s">
        <v>64</v>
      </c>
      <c r="M198" s="11" t="s">
        <v>567</v>
      </c>
      <c r="N198" s="11" t="s">
        <v>735</v>
      </c>
      <c r="O198" s="11" t="s">
        <v>736</v>
      </c>
      <c r="P198" s="11">
        <v>0</v>
      </c>
      <c r="Q198" s="11" t="s">
        <v>737</v>
      </c>
      <c r="R198" s="126">
        <f t="shared" si="99"/>
        <v>49.514052274881095</v>
      </c>
      <c r="S198" s="75">
        <f t="shared" si="99"/>
        <v>50.485947725118905</v>
      </c>
      <c r="T198" s="75">
        <f t="shared" si="99"/>
        <v>0</v>
      </c>
      <c r="U198" s="75">
        <f t="shared" si="99"/>
        <v>0</v>
      </c>
      <c r="V198" s="126">
        <v>9.6</v>
      </c>
      <c r="W198" s="127">
        <f t="shared" ref="W198:W203" si="100">100 - $V198</f>
        <v>90.4</v>
      </c>
      <c r="X198" s="76">
        <v>15</v>
      </c>
      <c r="Y198" s="76">
        <f t="shared" si="93"/>
        <v>85</v>
      </c>
      <c r="Z198" s="76">
        <v>0</v>
      </c>
      <c r="AA198" s="162">
        <v>0</v>
      </c>
      <c r="AB198" s="76">
        <v>0</v>
      </c>
      <c r="AC198" s="128">
        <v>0</v>
      </c>
      <c r="AD198" s="76">
        <v>0</v>
      </c>
      <c r="AE198" s="76">
        <v>0</v>
      </c>
      <c r="AF198" s="128">
        <v>0</v>
      </c>
      <c r="AG198" s="11" t="s">
        <v>69</v>
      </c>
      <c r="AI198" s="79"/>
      <c r="AJ198" s="79"/>
      <c r="AN198" s="33"/>
      <c r="AO198" s="33"/>
      <c r="AP198" s="33"/>
      <c r="AQ198" s="238" t="s">
        <v>73</v>
      </c>
      <c r="AR198" s="223"/>
      <c r="AS198" s="11">
        <v>50</v>
      </c>
      <c r="AT198" s="11">
        <v>50</v>
      </c>
      <c r="AU198" s="11">
        <v>0</v>
      </c>
      <c r="AV198" s="224">
        <v>0</v>
      </c>
      <c r="AW198" s="33">
        <f t="shared" ref="AW198:AW203" si="101">V198*$X$2 + W198*$Y$2</f>
        <v>3.3775200000000001</v>
      </c>
      <c r="AX198" s="33">
        <f t="shared" si="94"/>
        <v>3.3125</v>
      </c>
      <c r="AY198" s="33">
        <v>1</v>
      </c>
      <c r="AZ198" s="33">
        <v>1</v>
      </c>
      <c r="BA198" s="223"/>
      <c r="BB198" s="11">
        <f t="shared" si="95"/>
        <v>14.803761339681186</v>
      </c>
      <c r="BC198" s="11">
        <f t="shared" si="96"/>
        <v>15.09433962264151</v>
      </c>
      <c r="BD198" s="11">
        <f t="shared" si="97"/>
        <v>0</v>
      </c>
      <c r="BE198" s="224">
        <f t="shared" si="98"/>
        <v>0</v>
      </c>
    </row>
    <row r="199" spans="1:57" s="11" customFormat="1">
      <c r="A199" s="11" t="s">
        <v>738</v>
      </c>
      <c r="B199" s="77" t="s">
        <v>739</v>
      </c>
      <c r="C199" s="78" t="s">
        <v>732</v>
      </c>
      <c r="D199" s="78" t="s">
        <v>642</v>
      </c>
      <c r="E199" s="11" t="s">
        <v>643</v>
      </c>
      <c r="G199" s="11" t="s">
        <v>733</v>
      </c>
      <c r="H199" s="11" t="s">
        <v>734</v>
      </c>
      <c r="J199" s="11">
        <v>0</v>
      </c>
      <c r="K199" s="11">
        <v>125</v>
      </c>
      <c r="L199" s="11" t="s">
        <v>64</v>
      </c>
      <c r="M199" s="11" t="s">
        <v>567</v>
      </c>
      <c r="N199" s="11" t="s">
        <v>735</v>
      </c>
      <c r="O199" s="11" t="s">
        <v>736</v>
      </c>
      <c r="P199" s="11">
        <v>0</v>
      </c>
      <c r="Q199" s="11" t="s">
        <v>737</v>
      </c>
      <c r="R199" s="126">
        <f t="shared" si="99"/>
        <v>24.637301730152188</v>
      </c>
      <c r="S199" s="75">
        <f t="shared" si="99"/>
        <v>75.362698269847812</v>
      </c>
      <c r="T199" s="75">
        <f t="shared" si="99"/>
        <v>0</v>
      </c>
      <c r="U199" s="75">
        <f t="shared" si="99"/>
        <v>0</v>
      </c>
      <c r="V199" s="126">
        <v>9.6</v>
      </c>
      <c r="W199" s="127">
        <f t="shared" si="100"/>
        <v>90.4</v>
      </c>
      <c r="X199" s="76">
        <v>15</v>
      </c>
      <c r="Y199" s="76">
        <f t="shared" si="93"/>
        <v>85</v>
      </c>
      <c r="Z199" s="76">
        <v>0</v>
      </c>
      <c r="AA199" s="162">
        <v>0</v>
      </c>
      <c r="AB199" s="76">
        <v>0</v>
      </c>
      <c r="AC199" s="128">
        <v>0</v>
      </c>
      <c r="AD199" s="76">
        <v>0</v>
      </c>
      <c r="AE199" s="76">
        <v>0</v>
      </c>
      <c r="AF199" s="128">
        <v>0</v>
      </c>
      <c r="AG199" s="11" t="s">
        <v>69</v>
      </c>
      <c r="AI199" s="79"/>
      <c r="AJ199" s="79"/>
      <c r="AN199" s="33"/>
      <c r="AO199" s="33"/>
      <c r="AP199" s="33"/>
      <c r="AQ199" s="238" t="s">
        <v>73</v>
      </c>
      <c r="AR199" s="223"/>
      <c r="AS199" s="11">
        <v>25</v>
      </c>
      <c r="AT199" s="11">
        <v>75</v>
      </c>
      <c r="AU199" s="11">
        <v>0</v>
      </c>
      <c r="AV199" s="224">
        <v>0</v>
      </c>
      <c r="AW199" s="33">
        <f t="shared" si="101"/>
        <v>3.3775200000000001</v>
      </c>
      <c r="AX199" s="33">
        <f t="shared" si="94"/>
        <v>3.3125</v>
      </c>
      <c r="AY199" s="33">
        <v>1</v>
      </c>
      <c r="AZ199" s="33">
        <v>1</v>
      </c>
      <c r="BA199" s="223"/>
      <c r="BB199" s="11">
        <f t="shared" si="95"/>
        <v>7.401880669840593</v>
      </c>
      <c r="BC199" s="11">
        <f t="shared" si="96"/>
        <v>22.641509433962263</v>
      </c>
      <c r="BD199" s="11">
        <f t="shared" si="97"/>
        <v>0</v>
      </c>
      <c r="BE199" s="224">
        <f t="shared" si="98"/>
        <v>0</v>
      </c>
    </row>
    <row r="200" spans="1:57" s="11" customFormat="1">
      <c r="A200" s="11" t="s">
        <v>740</v>
      </c>
      <c r="B200" s="77" t="s">
        <v>741</v>
      </c>
      <c r="C200" s="78" t="s">
        <v>732</v>
      </c>
      <c r="D200" s="78" t="s">
        <v>642</v>
      </c>
      <c r="E200" s="11" t="s">
        <v>643</v>
      </c>
      <c r="G200" s="11" t="s">
        <v>733</v>
      </c>
      <c r="H200" s="11" t="s">
        <v>734</v>
      </c>
      <c r="J200" s="11">
        <v>0</v>
      </c>
      <c r="K200" s="11">
        <v>125</v>
      </c>
      <c r="L200" s="11" t="s">
        <v>64</v>
      </c>
      <c r="M200" s="11" t="s">
        <v>567</v>
      </c>
      <c r="N200" s="11" t="s">
        <v>735</v>
      </c>
      <c r="O200" s="11" t="s">
        <v>736</v>
      </c>
      <c r="P200" s="11">
        <v>0</v>
      </c>
      <c r="Q200" s="11" t="s">
        <v>737</v>
      </c>
      <c r="R200" s="126">
        <f t="shared" si="99"/>
        <v>74.633759468630174</v>
      </c>
      <c r="S200" s="75">
        <f t="shared" si="99"/>
        <v>25.366240531369836</v>
      </c>
      <c r="T200" s="75">
        <f t="shared" si="99"/>
        <v>0</v>
      </c>
      <c r="U200" s="75">
        <f t="shared" si="99"/>
        <v>0</v>
      </c>
      <c r="V200" s="126">
        <v>9.6</v>
      </c>
      <c r="W200" s="127">
        <f t="shared" si="100"/>
        <v>90.4</v>
      </c>
      <c r="X200" s="76">
        <v>15</v>
      </c>
      <c r="Y200" s="76">
        <f t="shared" si="93"/>
        <v>85</v>
      </c>
      <c r="Z200" s="76">
        <v>0</v>
      </c>
      <c r="AA200" s="162">
        <v>0</v>
      </c>
      <c r="AB200" s="76">
        <v>0</v>
      </c>
      <c r="AC200" s="128">
        <v>0</v>
      </c>
      <c r="AD200" s="76">
        <v>0</v>
      </c>
      <c r="AE200" s="76">
        <v>0</v>
      </c>
      <c r="AF200" s="128">
        <v>0</v>
      </c>
      <c r="AG200" s="11" t="s">
        <v>69</v>
      </c>
      <c r="AI200" s="79"/>
      <c r="AJ200" s="79"/>
      <c r="AN200" s="33"/>
      <c r="AO200" s="33"/>
      <c r="AP200" s="33"/>
      <c r="AQ200" s="238" t="s">
        <v>73</v>
      </c>
      <c r="AR200" s="223"/>
      <c r="AS200" s="11">
        <v>75</v>
      </c>
      <c r="AT200" s="11">
        <v>25</v>
      </c>
      <c r="AU200" s="11">
        <v>0</v>
      </c>
      <c r="AV200" s="224">
        <v>0</v>
      </c>
      <c r="AW200" s="33">
        <f t="shared" si="101"/>
        <v>3.3775200000000001</v>
      </c>
      <c r="AX200" s="33">
        <f t="shared" si="94"/>
        <v>3.3125</v>
      </c>
      <c r="AY200" s="33">
        <v>1</v>
      </c>
      <c r="AZ200" s="33">
        <v>1</v>
      </c>
      <c r="BA200" s="223"/>
      <c r="BB200" s="11">
        <f t="shared" si="95"/>
        <v>22.205642009521778</v>
      </c>
      <c r="BC200" s="11">
        <f t="shared" si="96"/>
        <v>7.5471698113207548</v>
      </c>
      <c r="BD200" s="11">
        <f t="shared" si="97"/>
        <v>0</v>
      </c>
      <c r="BE200" s="224">
        <f t="shared" si="98"/>
        <v>0</v>
      </c>
    </row>
    <row r="201" spans="1:57" s="11" customFormat="1">
      <c r="A201" s="11" t="s">
        <v>742</v>
      </c>
      <c r="B201" s="77" t="s">
        <v>743</v>
      </c>
      <c r="C201" s="78" t="s">
        <v>732</v>
      </c>
      <c r="D201" s="78" t="s">
        <v>642</v>
      </c>
      <c r="E201" s="11" t="s">
        <v>643</v>
      </c>
      <c r="G201" s="11" t="s">
        <v>733</v>
      </c>
      <c r="H201" s="11" t="s">
        <v>734</v>
      </c>
      <c r="J201" s="11">
        <v>0</v>
      </c>
      <c r="K201" s="11">
        <v>125</v>
      </c>
      <c r="L201" s="11" t="s">
        <v>64</v>
      </c>
      <c r="M201" s="11" t="s">
        <v>567</v>
      </c>
      <c r="N201" s="11" t="s">
        <v>735</v>
      </c>
      <c r="O201" s="11" t="s">
        <v>736</v>
      </c>
      <c r="P201" s="11">
        <v>0</v>
      </c>
      <c r="Q201" s="11" t="s">
        <v>737</v>
      </c>
      <c r="R201" s="126">
        <f t="shared" si="99"/>
        <v>49.514052274881095</v>
      </c>
      <c r="S201" s="75">
        <f t="shared" si="99"/>
        <v>50.485947725118905</v>
      </c>
      <c r="T201" s="75">
        <f t="shared" si="99"/>
        <v>0</v>
      </c>
      <c r="U201" s="75">
        <f t="shared" si="99"/>
        <v>0</v>
      </c>
      <c r="V201" s="126">
        <v>9.6</v>
      </c>
      <c r="W201" s="127">
        <f t="shared" si="100"/>
        <v>90.4</v>
      </c>
      <c r="X201" s="76">
        <v>15</v>
      </c>
      <c r="Y201" s="76">
        <f t="shared" si="93"/>
        <v>85</v>
      </c>
      <c r="Z201" s="76">
        <v>0</v>
      </c>
      <c r="AA201" s="162">
        <v>0</v>
      </c>
      <c r="AB201" s="76">
        <v>0</v>
      </c>
      <c r="AC201" s="128">
        <v>0</v>
      </c>
      <c r="AD201" s="76">
        <v>0</v>
      </c>
      <c r="AE201" s="76">
        <v>0</v>
      </c>
      <c r="AF201" s="128">
        <v>0</v>
      </c>
      <c r="AG201" s="11" t="s">
        <v>69</v>
      </c>
      <c r="AI201" s="79"/>
      <c r="AJ201" s="79"/>
      <c r="AN201" s="33"/>
      <c r="AO201" s="33"/>
      <c r="AP201" s="33"/>
      <c r="AQ201" s="238" t="s">
        <v>73</v>
      </c>
      <c r="AR201" s="223"/>
      <c r="AS201" s="11">
        <v>50</v>
      </c>
      <c r="AT201" s="11">
        <v>50</v>
      </c>
      <c r="AU201" s="11">
        <v>0</v>
      </c>
      <c r="AV201" s="224">
        <v>0</v>
      </c>
      <c r="AW201" s="33">
        <f t="shared" si="101"/>
        <v>3.3775200000000001</v>
      </c>
      <c r="AX201" s="33">
        <f t="shared" si="94"/>
        <v>3.3125</v>
      </c>
      <c r="AY201" s="33">
        <v>1</v>
      </c>
      <c r="AZ201" s="33">
        <v>1</v>
      </c>
      <c r="BA201" s="223"/>
      <c r="BB201" s="11">
        <f t="shared" si="95"/>
        <v>14.803761339681186</v>
      </c>
      <c r="BC201" s="11">
        <f t="shared" si="96"/>
        <v>15.09433962264151</v>
      </c>
      <c r="BD201" s="11">
        <f t="shared" si="97"/>
        <v>0</v>
      </c>
      <c r="BE201" s="224">
        <f t="shared" si="98"/>
        <v>0</v>
      </c>
    </row>
    <row r="202" spans="1:57" s="11" customFormat="1">
      <c r="A202" s="11" t="s">
        <v>744</v>
      </c>
      <c r="B202" s="77" t="s">
        <v>745</v>
      </c>
      <c r="C202" s="78" t="s">
        <v>732</v>
      </c>
      <c r="D202" s="78" t="s">
        <v>642</v>
      </c>
      <c r="E202" s="11" t="s">
        <v>643</v>
      </c>
      <c r="G202" s="11" t="s">
        <v>733</v>
      </c>
      <c r="H202" s="11" t="s">
        <v>734</v>
      </c>
      <c r="J202" s="11">
        <v>0</v>
      </c>
      <c r="K202" s="11">
        <v>125</v>
      </c>
      <c r="L202" s="11" t="s">
        <v>64</v>
      </c>
      <c r="M202" s="11" t="s">
        <v>567</v>
      </c>
      <c r="N202" s="11" t="s">
        <v>735</v>
      </c>
      <c r="O202" s="11" t="s">
        <v>736</v>
      </c>
      <c r="P202" s="11">
        <v>0</v>
      </c>
      <c r="Q202" s="11" t="s">
        <v>737</v>
      </c>
      <c r="R202" s="126">
        <f t="shared" si="99"/>
        <v>49.514052274881095</v>
      </c>
      <c r="S202" s="75">
        <f t="shared" si="99"/>
        <v>50.485947725118905</v>
      </c>
      <c r="T202" s="75">
        <f t="shared" si="99"/>
        <v>0</v>
      </c>
      <c r="U202" s="75">
        <f t="shared" si="99"/>
        <v>0</v>
      </c>
      <c r="V202" s="126">
        <v>9.6</v>
      </c>
      <c r="W202" s="127">
        <f t="shared" si="100"/>
        <v>90.4</v>
      </c>
      <c r="X202" s="76">
        <v>15</v>
      </c>
      <c r="Y202" s="76">
        <f t="shared" si="93"/>
        <v>85</v>
      </c>
      <c r="Z202" s="76">
        <v>0</v>
      </c>
      <c r="AA202" s="162">
        <v>0</v>
      </c>
      <c r="AB202" s="76">
        <v>0</v>
      </c>
      <c r="AC202" s="128">
        <v>0</v>
      </c>
      <c r="AD202" s="76">
        <v>0</v>
      </c>
      <c r="AE202" s="76">
        <v>0</v>
      </c>
      <c r="AF202" s="128">
        <v>0</v>
      </c>
      <c r="AG202" s="11" t="s">
        <v>69</v>
      </c>
      <c r="AI202" s="79"/>
      <c r="AJ202" s="79"/>
      <c r="AN202" s="33"/>
      <c r="AO202" s="33"/>
      <c r="AP202" s="33"/>
      <c r="AQ202" s="238" t="s">
        <v>73</v>
      </c>
      <c r="AR202" s="223"/>
      <c r="AS202" s="11">
        <v>50</v>
      </c>
      <c r="AT202" s="11">
        <v>50</v>
      </c>
      <c r="AU202" s="11">
        <v>0</v>
      </c>
      <c r="AV202" s="224">
        <v>0</v>
      </c>
      <c r="AW202" s="33">
        <f t="shared" si="101"/>
        <v>3.3775200000000001</v>
      </c>
      <c r="AX202" s="33">
        <f t="shared" si="94"/>
        <v>3.3125</v>
      </c>
      <c r="AY202" s="33">
        <v>1</v>
      </c>
      <c r="AZ202" s="33">
        <v>1</v>
      </c>
      <c r="BA202" s="223"/>
      <c r="BB202" s="11">
        <f t="shared" si="95"/>
        <v>14.803761339681186</v>
      </c>
      <c r="BC202" s="11">
        <f t="shared" si="96"/>
        <v>15.09433962264151</v>
      </c>
      <c r="BD202" s="11">
        <f t="shared" si="97"/>
        <v>0</v>
      </c>
      <c r="BE202" s="224">
        <f t="shared" si="98"/>
        <v>0</v>
      </c>
    </row>
    <row r="203" spans="1:57" s="11" customFormat="1">
      <c r="A203" s="11" t="s">
        <v>746</v>
      </c>
      <c r="B203" s="77" t="s">
        <v>747</v>
      </c>
      <c r="C203" s="78" t="s">
        <v>360</v>
      </c>
      <c r="D203" s="78" t="s">
        <v>642</v>
      </c>
      <c r="E203" s="11" t="s">
        <v>643</v>
      </c>
      <c r="G203" s="11" t="s">
        <v>733</v>
      </c>
      <c r="H203" s="11" t="s">
        <v>748</v>
      </c>
      <c r="J203" s="11">
        <v>0</v>
      </c>
      <c r="K203" s="11">
        <v>125</v>
      </c>
      <c r="L203" s="11" t="s">
        <v>64</v>
      </c>
      <c r="M203" s="11" t="s">
        <v>65</v>
      </c>
      <c r="N203" s="11" t="s">
        <v>749</v>
      </c>
      <c r="O203" s="11" t="s">
        <v>95</v>
      </c>
      <c r="P203" s="80">
        <v>0</v>
      </c>
      <c r="Q203" s="11" t="s">
        <v>750</v>
      </c>
      <c r="R203" s="126">
        <f t="shared" si="99"/>
        <v>49.000980170398854</v>
      </c>
      <c r="S203" s="75">
        <f t="shared" si="99"/>
        <v>50.999019829601153</v>
      </c>
      <c r="T203" s="75">
        <f t="shared" si="99"/>
        <v>0</v>
      </c>
      <c r="U203" s="75">
        <f t="shared" si="99"/>
        <v>0</v>
      </c>
      <c r="V203" s="126">
        <v>10</v>
      </c>
      <c r="W203" s="127">
        <f t="shared" si="100"/>
        <v>90</v>
      </c>
      <c r="X203" s="76">
        <v>7</v>
      </c>
      <c r="Y203" s="76">
        <f t="shared" si="93"/>
        <v>92</v>
      </c>
      <c r="Z203" s="76">
        <v>1</v>
      </c>
      <c r="AA203" s="162">
        <v>0</v>
      </c>
      <c r="AB203" s="76">
        <v>0</v>
      </c>
      <c r="AC203" s="128">
        <v>0</v>
      </c>
      <c r="AD203" s="76">
        <v>0</v>
      </c>
      <c r="AE203" s="76">
        <v>0</v>
      </c>
      <c r="AF203" s="128">
        <v>0</v>
      </c>
      <c r="AG203" s="11" t="s">
        <v>69</v>
      </c>
      <c r="AI203" s="79"/>
      <c r="AJ203" s="79"/>
      <c r="AN203" s="33"/>
      <c r="AO203" s="33"/>
      <c r="AP203" s="33"/>
      <c r="AQ203" s="238" t="s">
        <v>73</v>
      </c>
      <c r="AR203" s="223"/>
      <c r="AS203" s="11">
        <v>50</v>
      </c>
      <c r="AT203" s="11">
        <v>50</v>
      </c>
      <c r="AU203" s="11">
        <v>0</v>
      </c>
      <c r="AV203" s="224">
        <v>0</v>
      </c>
      <c r="AW203" s="33">
        <f t="shared" si="101"/>
        <v>3.3820000000000001</v>
      </c>
      <c r="AX203" s="33">
        <f t="shared" si="94"/>
        <v>3.2494999999999998</v>
      </c>
      <c r="AY203" s="33">
        <v>1</v>
      </c>
      <c r="AZ203" s="33">
        <v>1</v>
      </c>
      <c r="BA203" s="223"/>
      <c r="BB203" s="11">
        <f t="shared" si="95"/>
        <v>14.78415138971023</v>
      </c>
      <c r="BC203" s="11">
        <f t="shared" si="96"/>
        <v>15.386982612709648</v>
      </c>
      <c r="BD203" s="11">
        <f t="shared" si="97"/>
        <v>0</v>
      </c>
      <c r="BE203" s="224">
        <f t="shared" si="98"/>
        <v>0</v>
      </c>
    </row>
    <row r="204" spans="1:57" s="11" customFormat="1">
      <c r="A204" s="11" t="s">
        <v>751</v>
      </c>
      <c r="B204" s="77" t="s">
        <v>752</v>
      </c>
      <c r="C204" s="78" t="s">
        <v>753</v>
      </c>
      <c r="D204" s="78" t="s">
        <v>754</v>
      </c>
      <c r="E204" s="11" t="s">
        <v>643</v>
      </c>
      <c r="G204" s="11" t="s">
        <v>755</v>
      </c>
      <c r="H204" s="11" t="s">
        <v>756</v>
      </c>
      <c r="J204" s="11">
        <v>0</v>
      </c>
      <c r="K204" s="11">
        <v>25</v>
      </c>
      <c r="L204" s="11" t="s">
        <v>64</v>
      </c>
      <c r="M204" s="11" t="s">
        <v>757</v>
      </c>
      <c r="N204" s="11" t="s">
        <v>758</v>
      </c>
      <c r="O204" s="11" t="s">
        <v>355</v>
      </c>
      <c r="P204" s="11">
        <v>0</v>
      </c>
      <c r="R204" s="126">
        <f t="shared" si="99"/>
        <v>0</v>
      </c>
      <c r="S204" s="75">
        <f t="shared" si="99"/>
        <v>73.264883153785874</v>
      </c>
      <c r="T204" s="75">
        <f t="shared" si="99"/>
        <v>26.735116846214126</v>
      </c>
      <c r="U204" s="75">
        <f t="shared" si="99"/>
        <v>0</v>
      </c>
      <c r="V204" s="126">
        <v>0</v>
      </c>
      <c r="W204" s="127">
        <v>0</v>
      </c>
      <c r="X204" s="76">
        <v>61.4</v>
      </c>
      <c r="Y204" s="76">
        <f t="shared" si="93"/>
        <v>35.300000000000004</v>
      </c>
      <c r="Z204" s="76">
        <v>3.3</v>
      </c>
      <c r="AA204" s="162">
        <v>33</v>
      </c>
      <c r="AB204" s="76">
        <f t="shared" ref="AB204:AB228" si="102">100 - $AA204 - $AC204</f>
        <v>29.4</v>
      </c>
      <c r="AC204" s="128">
        <v>37.6</v>
      </c>
      <c r="AD204" s="76">
        <v>0</v>
      </c>
      <c r="AE204" s="76">
        <v>0</v>
      </c>
      <c r="AF204" s="128">
        <v>0</v>
      </c>
      <c r="AG204" s="11" t="s">
        <v>69</v>
      </c>
      <c r="AH204" s="11" t="s">
        <v>759</v>
      </c>
      <c r="AI204" s="79"/>
      <c r="AJ204" s="79"/>
      <c r="AN204" s="33"/>
      <c r="AO204" s="33"/>
      <c r="AP204" s="33"/>
      <c r="AQ204" s="238" t="s">
        <v>73</v>
      </c>
      <c r="AR204" s="223"/>
      <c r="AS204" s="11">
        <v>0</v>
      </c>
      <c r="AT204" s="11">
        <v>75</v>
      </c>
      <c r="AU204" s="11">
        <v>25</v>
      </c>
      <c r="AV204" s="224">
        <v>0</v>
      </c>
      <c r="AW204" s="33">
        <v>1</v>
      </c>
      <c r="AX204" s="33">
        <f t="shared" si="94"/>
        <v>3.6505999999999998</v>
      </c>
      <c r="AY204" s="33">
        <f t="shared" ref="AY204:AY228" si="103">AA204*$Z$2+AB204*$AA$2+AC204*$AB$2</f>
        <v>3.3346999999999998</v>
      </c>
      <c r="AZ204" s="33">
        <v>1</v>
      </c>
      <c r="BA204" s="223"/>
      <c r="BB204" s="11">
        <f t="shared" si="95"/>
        <v>0</v>
      </c>
      <c r="BC204" s="11">
        <f t="shared" si="96"/>
        <v>20.544568016216513</v>
      </c>
      <c r="BD204" s="11">
        <f t="shared" si="97"/>
        <v>7.4969262602333044</v>
      </c>
      <c r="BE204" s="224">
        <f t="shared" si="98"/>
        <v>0</v>
      </c>
    </row>
    <row r="205" spans="1:57" s="11" customFormat="1">
      <c r="A205" s="11" t="s">
        <v>760</v>
      </c>
      <c r="B205" s="77" t="s">
        <v>761</v>
      </c>
      <c r="C205" s="78" t="s">
        <v>753</v>
      </c>
      <c r="D205" s="78" t="s">
        <v>754</v>
      </c>
      <c r="E205" s="11" t="s">
        <v>643</v>
      </c>
      <c r="G205" s="11" t="s">
        <v>755</v>
      </c>
      <c r="H205" s="11" t="s">
        <v>756</v>
      </c>
      <c r="J205" s="11">
        <v>0</v>
      </c>
      <c r="K205" s="11">
        <v>25</v>
      </c>
      <c r="L205" s="11" t="s">
        <v>64</v>
      </c>
      <c r="M205" s="11" t="s">
        <v>757</v>
      </c>
      <c r="N205" s="11" t="s">
        <v>758</v>
      </c>
      <c r="O205" s="11" t="s">
        <v>355</v>
      </c>
      <c r="P205" s="11">
        <v>0</v>
      </c>
      <c r="R205" s="126">
        <f t="shared" si="99"/>
        <v>0</v>
      </c>
      <c r="S205" s="75">
        <f t="shared" si="99"/>
        <v>47.738822956780666</v>
      </c>
      <c r="T205" s="75">
        <f t="shared" si="99"/>
        <v>52.261177043219334</v>
      </c>
      <c r="U205" s="75">
        <f t="shared" si="99"/>
        <v>0</v>
      </c>
      <c r="V205" s="126">
        <v>0</v>
      </c>
      <c r="W205" s="127">
        <v>0</v>
      </c>
      <c r="X205" s="76">
        <v>61.4</v>
      </c>
      <c r="Y205" s="76">
        <f t="shared" si="93"/>
        <v>35.300000000000004</v>
      </c>
      <c r="Z205" s="76">
        <v>3.3</v>
      </c>
      <c r="AA205" s="162">
        <v>33</v>
      </c>
      <c r="AB205" s="76">
        <f t="shared" si="102"/>
        <v>29.4</v>
      </c>
      <c r="AC205" s="128">
        <v>37.6</v>
      </c>
      <c r="AD205" s="76">
        <v>0</v>
      </c>
      <c r="AE205" s="76">
        <v>0</v>
      </c>
      <c r="AF205" s="128">
        <v>0</v>
      </c>
      <c r="AG205" s="11" t="s">
        <v>762</v>
      </c>
      <c r="AH205" s="11" t="s">
        <v>759</v>
      </c>
      <c r="AI205" s="79"/>
      <c r="AJ205" s="79"/>
      <c r="AN205" s="33"/>
      <c r="AO205" s="33"/>
      <c r="AP205" s="33"/>
      <c r="AQ205" s="238" t="s">
        <v>73</v>
      </c>
      <c r="AR205" s="223"/>
      <c r="AS205" s="11">
        <v>0</v>
      </c>
      <c r="AT205" s="11">
        <v>50</v>
      </c>
      <c r="AU205" s="11">
        <v>50</v>
      </c>
      <c r="AV205" s="224">
        <v>0</v>
      </c>
      <c r="AW205" s="33">
        <v>1</v>
      </c>
      <c r="AX205" s="33">
        <f t="shared" si="94"/>
        <v>3.6505999999999998</v>
      </c>
      <c r="AY205" s="33">
        <f t="shared" si="103"/>
        <v>3.3346999999999998</v>
      </c>
      <c r="AZ205" s="33">
        <v>1</v>
      </c>
      <c r="BA205" s="223"/>
      <c r="BB205" s="11">
        <f t="shared" si="95"/>
        <v>0</v>
      </c>
      <c r="BC205" s="11">
        <f t="shared" si="96"/>
        <v>13.696378677477675</v>
      </c>
      <c r="BD205" s="11">
        <f t="shared" si="97"/>
        <v>14.993852520466609</v>
      </c>
      <c r="BE205" s="224">
        <f t="shared" si="98"/>
        <v>0</v>
      </c>
    </row>
    <row r="206" spans="1:57" s="11" customFormat="1">
      <c r="A206" s="11" t="s">
        <v>763</v>
      </c>
      <c r="B206" s="77" t="s">
        <v>764</v>
      </c>
      <c r="C206" s="78" t="s">
        <v>753</v>
      </c>
      <c r="D206" s="78" t="s">
        <v>754</v>
      </c>
      <c r="E206" s="11" t="s">
        <v>643</v>
      </c>
      <c r="G206" s="11" t="s">
        <v>755</v>
      </c>
      <c r="H206" s="11" t="s">
        <v>756</v>
      </c>
      <c r="J206" s="11">
        <v>0</v>
      </c>
      <c r="K206" s="11">
        <v>25</v>
      </c>
      <c r="L206" s="11" t="s">
        <v>64</v>
      </c>
      <c r="M206" s="11" t="s">
        <v>757</v>
      </c>
      <c r="N206" s="11" t="s">
        <v>758</v>
      </c>
      <c r="O206" s="11" t="s">
        <v>355</v>
      </c>
      <c r="P206" s="11">
        <v>0</v>
      </c>
      <c r="R206" s="126">
        <f t="shared" si="99"/>
        <v>0</v>
      </c>
      <c r="S206" s="75">
        <f t="shared" si="99"/>
        <v>23.341616211108388</v>
      </c>
      <c r="T206" s="75">
        <f t="shared" si="99"/>
        <v>76.658383788891612</v>
      </c>
      <c r="U206" s="75">
        <f t="shared" si="99"/>
        <v>0</v>
      </c>
      <c r="V206" s="126">
        <v>0</v>
      </c>
      <c r="W206" s="127">
        <v>0</v>
      </c>
      <c r="X206" s="76">
        <v>61.4</v>
      </c>
      <c r="Y206" s="76">
        <f t="shared" si="93"/>
        <v>35.300000000000004</v>
      </c>
      <c r="Z206" s="76">
        <v>3.3</v>
      </c>
      <c r="AA206" s="162">
        <v>33</v>
      </c>
      <c r="AB206" s="76">
        <f t="shared" si="102"/>
        <v>29.4</v>
      </c>
      <c r="AC206" s="128">
        <v>37.6</v>
      </c>
      <c r="AD206" s="76">
        <v>0</v>
      </c>
      <c r="AE206" s="76">
        <v>0</v>
      </c>
      <c r="AF206" s="128">
        <v>0</v>
      </c>
      <c r="AG206" s="11" t="s">
        <v>69</v>
      </c>
      <c r="AH206" s="11" t="s">
        <v>759</v>
      </c>
      <c r="AI206" s="79"/>
      <c r="AJ206" s="79"/>
      <c r="AN206" s="33"/>
      <c r="AO206" s="33"/>
      <c r="AP206" s="33"/>
      <c r="AQ206" s="238" t="s">
        <v>73</v>
      </c>
      <c r="AR206" s="223"/>
      <c r="AS206" s="11">
        <v>0</v>
      </c>
      <c r="AT206" s="11">
        <v>25</v>
      </c>
      <c r="AU206" s="11">
        <v>75</v>
      </c>
      <c r="AV206" s="224">
        <v>0</v>
      </c>
      <c r="AW206" s="33">
        <v>1</v>
      </c>
      <c r="AX206" s="33">
        <f t="shared" si="94"/>
        <v>3.6505999999999998</v>
      </c>
      <c r="AY206" s="33">
        <f t="shared" si="103"/>
        <v>3.3346999999999998</v>
      </c>
      <c r="AZ206" s="33">
        <v>1</v>
      </c>
      <c r="BA206" s="223"/>
      <c r="BB206" s="11">
        <f t="shared" si="95"/>
        <v>0</v>
      </c>
      <c r="BC206" s="11">
        <f t="shared" si="96"/>
        <v>6.8481893387388375</v>
      </c>
      <c r="BD206" s="11">
        <f t="shared" si="97"/>
        <v>22.490778780699916</v>
      </c>
      <c r="BE206" s="224">
        <f t="shared" si="98"/>
        <v>0</v>
      </c>
    </row>
    <row r="207" spans="1:57" s="11" customFormat="1">
      <c r="A207" s="11" t="s">
        <v>765</v>
      </c>
      <c r="B207" s="11" t="s">
        <v>766</v>
      </c>
      <c r="C207" s="78" t="s">
        <v>162</v>
      </c>
      <c r="D207" s="78" t="s">
        <v>642</v>
      </c>
      <c r="E207" s="11" t="s">
        <v>643</v>
      </c>
      <c r="G207" s="11" t="s">
        <v>644</v>
      </c>
      <c r="H207" s="11" t="s">
        <v>767</v>
      </c>
      <c r="J207" s="11">
        <v>75</v>
      </c>
      <c r="K207" s="11">
        <v>125</v>
      </c>
      <c r="L207" s="11" t="s">
        <v>64</v>
      </c>
      <c r="M207" s="11" t="s">
        <v>26</v>
      </c>
      <c r="N207" s="11" t="s">
        <v>768</v>
      </c>
      <c r="O207" s="11" t="s">
        <v>769</v>
      </c>
      <c r="P207" s="11">
        <v>0</v>
      </c>
      <c r="Q207" s="11" t="s">
        <v>766</v>
      </c>
      <c r="R207" s="126">
        <f t="shared" si="99"/>
        <v>0</v>
      </c>
      <c r="S207" s="75">
        <f t="shared" si="99"/>
        <v>48.852755200631883</v>
      </c>
      <c r="T207" s="75">
        <f t="shared" si="99"/>
        <v>51.14724479936811</v>
      </c>
      <c r="U207" s="75">
        <f t="shared" si="99"/>
        <v>0</v>
      </c>
      <c r="V207" s="126">
        <v>0</v>
      </c>
      <c r="W207" s="127">
        <v>0</v>
      </c>
      <c r="X207" s="76">
        <f t="shared" ref="X207:X228" si="104">12.6294</f>
        <v>12.6294</v>
      </c>
      <c r="Y207" s="76">
        <f t="shared" si="93"/>
        <v>86.592889999999997</v>
      </c>
      <c r="Z207" s="76">
        <f t="shared" ref="Z207:Z228" si="105">0.77771</f>
        <v>0.77771000000000001</v>
      </c>
      <c r="AA207" s="162">
        <f t="shared" ref="AA207:AA228" si="106">10.46943</f>
        <v>10.469429999999999</v>
      </c>
      <c r="AB207" s="76">
        <f t="shared" si="102"/>
        <v>44.920099999999998</v>
      </c>
      <c r="AC207" s="128">
        <f t="shared" ref="AC207:AC228" si="107">44.61047</f>
        <v>44.610469999999999</v>
      </c>
      <c r="AD207" s="76">
        <v>0</v>
      </c>
      <c r="AE207" s="76">
        <v>0</v>
      </c>
      <c r="AF207" s="128">
        <v>0</v>
      </c>
      <c r="AG207" s="11" t="s">
        <v>262</v>
      </c>
      <c r="AH207" s="11" t="s">
        <v>770</v>
      </c>
      <c r="AI207" s="79"/>
      <c r="AJ207" s="79"/>
      <c r="AN207" s="33"/>
      <c r="AO207" s="33"/>
      <c r="AP207" s="33"/>
      <c r="AQ207" s="238" t="s">
        <v>73</v>
      </c>
      <c r="AR207" s="223"/>
      <c r="AS207" s="11">
        <v>0</v>
      </c>
      <c r="AT207" s="11">
        <v>50</v>
      </c>
      <c r="AU207" s="11">
        <v>50</v>
      </c>
      <c r="AV207" s="224">
        <v>0</v>
      </c>
      <c r="AW207" s="33">
        <v>1</v>
      </c>
      <c r="AX207" s="33">
        <f t="shared" si="94"/>
        <v>3.2923873700000001</v>
      </c>
      <c r="AY207" s="33">
        <f t="shared" si="103"/>
        <v>3.1446893149999999</v>
      </c>
      <c r="AZ207" s="33">
        <v>1</v>
      </c>
      <c r="BA207" s="223"/>
      <c r="BB207" s="11">
        <f t="shared" si="95"/>
        <v>0</v>
      </c>
      <c r="BC207" s="11">
        <f t="shared" si="96"/>
        <v>15.186548355638966</v>
      </c>
      <c r="BD207" s="11">
        <f t="shared" si="97"/>
        <v>15.899821887492246</v>
      </c>
      <c r="BE207" s="224">
        <f t="shared" si="98"/>
        <v>0</v>
      </c>
    </row>
    <row r="208" spans="1:57" s="11" customFormat="1">
      <c r="A208" s="11" t="s">
        <v>771</v>
      </c>
      <c r="B208" s="11" t="s">
        <v>772</v>
      </c>
      <c r="C208" s="78" t="s">
        <v>162</v>
      </c>
      <c r="D208" s="78" t="s">
        <v>642</v>
      </c>
      <c r="E208" s="11" t="s">
        <v>643</v>
      </c>
      <c r="G208" s="11" t="s">
        <v>644</v>
      </c>
      <c r="H208" s="11" t="s">
        <v>773</v>
      </c>
      <c r="J208" s="11">
        <v>75</v>
      </c>
      <c r="K208" s="11">
        <v>125</v>
      </c>
      <c r="L208" s="11" t="s">
        <v>64</v>
      </c>
      <c r="M208" s="11" t="s">
        <v>26</v>
      </c>
      <c r="N208" s="11" t="s">
        <v>768</v>
      </c>
      <c r="O208" s="11" t="s">
        <v>769</v>
      </c>
      <c r="P208" s="11">
        <v>0</v>
      </c>
      <c r="Q208" s="11" t="s">
        <v>772</v>
      </c>
      <c r="R208" s="126">
        <f t="shared" si="99"/>
        <v>0</v>
      </c>
      <c r="S208" s="75">
        <f t="shared" si="99"/>
        <v>58.893567597327333</v>
      </c>
      <c r="T208" s="75">
        <f t="shared" si="99"/>
        <v>41.106432402672667</v>
      </c>
      <c r="U208" s="75">
        <f t="shared" si="99"/>
        <v>0</v>
      </c>
      <c r="V208" s="126">
        <v>0</v>
      </c>
      <c r="W208" s="127">
        <v>0</v>
      </c>
      <c r="X208" s="76">
        <f t="shared" si="104"/>
        <v>12.6294</v>
      </c>
      <c r="Y208" s="76">
        <f t="shared" si="93"/>
        <v>86.592889999999997</v>
      </c>
      <c r="Z208" s="76">
        <f t="shared" si="105"/>
        <v>0.77771000000000001</v>
      </c>
      <c r="AA208" s="162">
        <f t="shared" si="106"/>
        <v>10.469429999999999</v>
      </c>
      <c r="AB208" s="76">
        <f t="shared" si="102"/>
        <v>44.920099999999998</v>
      </c>
      <c r="AC208" s="128">
        <f t="shared" si="107"/>
        <v>44.610469999999999</v>
      </c>
      <c r="AD208" s="76">
        <v>0</v>
      </c>
      <c r="AE208" s="76">
        <v>0</v>
      </c>
      <c r="AF208" s="128">
        <v>0</v>
      </c>
      <c r="AG208" s="11" t="s">
        <v>262</v>
      </c>
      <c r="AH208" s="11" t="s">
        <v>774</v>
      </c>
      <c r="AI208" s="79"/>
      <c r="AJ208" s="79"/>
      <c r="AN208" s="33"/>
      <c r="AO208" s="33"/>
      <c r="AP208" s="33"/>
      <c r="AQ208" s="238" t="s">
        <v>73</v>
      </c>
      <c r="AR208" s="223"/>
      <c r="AS208" s="11">
        <v>0</v>
      </c>
      <c r="AT208" s="11">
        <v>60</v>
      </c>
      <c r="AU208" s="11">
        <v>40</v>
      </c>
      <c r="AV208" s="224">
        <v>0</v>
      </c>
      <c r="AW208" s="33">
        <v>1</v>
      </c>
      <c r="AX208" s="33">
        <f t="shared" si="94"/>
        <v>3.2923873700000001</v>
      </c>
      <c r="AY208" s="33">
        <f t="shared" si="103"/>
        <v>3.1446893149999999</v>
      </c>
      <c r="AZ208" s="33">
        <v>1</v>
      </c>
      <c r="BA208" s="223"/>
      <c r="BB208" s="11">
        <f t="shared" si="95"/>
        <v>0</v>
      </c>
      <c r="BC208" s="11">
        <f t="shared" si="96"/>
        <v>18.223858026766759</v>
      </c>
      <c r="BD208" s="11">
        <f t="shared" si="97"/>
        <v>12.719857509993798</v>
      </c>
      <c r="BE208" s="224">
        <f t="shared" si="98"/>
        <v>0</v>
      </c>
    </row>
    <row r="209" spans="1:57" s="11" customFormat="1">
      <c r="A209" s="11" t="s">
        <v>775</v>
      </c>
      <c r="B209" s="11" t="s">
        <v>776</v>
      </c>
      <c r="C209" s="78" t="s">
        <v>162</v>
      </c>
      <c r="D209" s="78" t="s">
        <v>642</v>
      </c>
      <c r="E209" s="11" t="s">
        <v>643</v>
      </c>
      <c r="G209" s="11" t="s">
        <v>644</v>
      </c>
      <c r="H209" s="11" t="s">
        <v>773</v>
      </c>
      <c r="J209" s="11">
        <v>75</v>
      </c>
      <c r="K209" s="11">
        <v>125</v>
      </c>
      <c r="L209" s="11" t="s">
        <v>64</v>
      </c>
      <c r="M209" s="11" t="s">
        <v>26</v>
      </c>
      <c r="N209" s="11" t="s">
        <v>768</v>
      </c>
      <c r="O209" s="11" t="s">
        <v>769</v>
      </c>
      <c r="P209" s="11">
        <v>0</v>
      </c>
      <c r="Q209" s="11" t="s">
        <v>776</v>
      </c>
      <c r="R209" s="126">
        <f t="shared" si="99"/>
        <v>0</v>
      </c>
      <c r="S209" s="75">
        <f t="shared" si="99"/>
        <v>38.903676000633389</v>
      </c>
      <c r="T209" s="75">
        <f t="shared" si="99"/>
        <v>61.096323999366611</v>
      </c>
      <c r="U209" s="75">
        <f t="shared" si="99"/>
        <v>0</v>
      </c>
      <c r="V209" s="126">
        <v>0</v>
      </c>
      <c r="W209" s="127">
        <v>0</v>
      </c>
      <c r="X209" s="76">
        <f t="shared" si="104"/>
        <v>12.6294</v>
      </c>
      <c r="Y209" s="76">
        <f t="shared" si="93"/>
        <v>86.592889999999997</v>
      </c>
      <c r="Z209" s="76">
        <f t="shared" si="105"/>
        <v>0.77771000000000001</v>
      </c>
      <c r="AA209" s="162">
        <f t="shared" si="106"/>
        <v>10.469429999999999</v>
      </c>
      <c r="AB209" s="76">
        <f t="shared" si="102"/>
        <v>44.920099999999998</v>
      </c>
      <c r="AC209" s="128">
        <f t="shared" si="107"/>
        <v>44.610469999999999</v>
      </c>
      <c r="AD209" s="76">
        <v>0</v>
      </c>
      <c r="AE209" s="76">
        <v>0</v>
      </c>
      <c r="AF209" s="128">
        <v>0</v>
      </c>
      <c r="AG209" s="11" t="s">
        <v>262</v>
      </c>
      <c r="AH209" s="11" t="s">
        <v>774</v>
      </c>
      <c r="AI209" s="79"/>
      <c r="AJ209" s="79"/>
      <c r="AN209" s="33"/>
      <c r="AO209" s="33"/>
      <c r="AP209" s="33"/>
      <c r="AQ209" s="238" t="s">
        <v>73</v>
      </c>
      <c r="AR209" s="223"/>
      <c r="AS209" s="11">
        <v>0</v>
      </c>
      <c r="AT209" s="11">
        <v>40</v>
      </c>
      <c r="AU209" s="11">
        <v>60</v>
      </c>
      <c r="AV209" s="224">
        <v>0</v>
      </c>
      <c r="AW209" s="33">
        <v>1</v>
      </c>
      <c r="AX209" s="33">
        <f t="shared" si="94"/>
        <v>3.2923873700000001</v>
      </c>
      <c r="AY209" s="33">
        <f t="shared" si="103"/>
        <v>3.1446893149999999</v>
      </c>
      <c r="AZ209" s="33">
        <v>1</v>
      </c>
      <c r="BA209" s="223"/>
      <c r="BB209" s="11">
        <f t="shared" si="95"/>
        <v>0</v>
      </c>
      <c r="BC209" s="11">
        <f t="shared" si="96"/>
        <v>12.149238684511172</v>
      </c>
      <c r="BD209" s="11">
        <f t="shared" si="97"/>
        <v>19.079786264990695</v>
      </c>
      <c r="BE209" s="224">
        <f t="shared" si="98"/>
        <v>0</v>
      </c>
    </row>
    <row r="210" spans="1:57" s="11" customFormat="1">
      <c r="A210" s="11" t="s">
        <v>777</v>
      </c>
      <c r="B210" s="11" t="s">
        <v>778</v>
      </c>
      <c r="C210" s="78" t="s">
        <v>162</v>
      </c>
      <c r="D210" s="78" t="s">
        <v>642</v>
      </c>
      <c r="E210" s="11" t="s">
        <v>643</v>
      </c>
      <c r="G210" s="11" t="s">
        <v>644</v>
      </c>
      <c r="H210" s="11" t="s">
        <v>773</v>
      </c>
      <c r="J210" s="11">
        <v>75</v>
      </c>
      <c r="K210" s="11">
        <v>127</v>
      </c>
      <c r="L210" s="11" t="s">
        <v>64</v>
      </c>
      <c r="M210" s="11" t="s">
        <v>26</v>
      </c>
      <c r="N210" s="11" t="s">
        <v>768</v>
      </c>
      <c r="O210" s="11" t="s">
        <v>769</v>
      </c>
      <c r="P210" s="11">
        <v>0</v>
      </c>
      <c r="Q210" s="11" t="s">
        <v>778</v>
      </c>
      <c r="R210" s="126">
        <f t="shared" si="99"/>
        <v>0</v>
      </c>
      <c r="S210" s="75">
        <f t="shared" si="99"/>
        <v>74.129580558700923</v>
      </c>
      <c r="T210" s="75">
        <f t="shared" si="99"/>
        <v>25.870419441299081</v>
      </c>
      <c r="U210" s="75">
        <f t="shared" si="99"/>
        <v>0</v>
      </c>
      <c r="V210" s="126">
        <v>0</v>
      </c>
      <c r="W210" s="127">
        <v>0</v>
      </c>
      <c r="X210" s="76">
        <f t="shared" si="104"/>
        <v>12.6294</v>
      </c>
      <c r="Y210" s="76">
        <f t="shared" si="93"/>
        <v>86.592889999999997</v>
      </c>
      <c r="Z210" s="76">
        <f t="shared" si="105"/>
        <v>0.77771000000000001</v>
      </c>
      <c r="AA210" s="162">
        <f t="shared" si="106"/>
        <v>10.469429999999999</v>
      </c>
      <c r="AB210" s="76">
        <f t="shared" si="102"/>
        <v>44.920099999999998</v>
      </c>
      <c r="AC210" s="128">
        <f t="shared" si="107"/>
        <v>44.610469999999999</v>
      </c>
      <c r="AD210" s="76">
        <v>0</v>
      </c>
      <c r="AE210" s="76">
        <v>0</v>
      </c>
      <c r="AF210" s="128">
        <v>0</v>
      </c>
      <c r="AG210" s="11" t="s">
        <v>69</v>
      </c>
      <c r="AH210" s="11" t="s">
        <v>774</v>
      </c>
      <c r="AI210" s="79"/>
      <c r="AJ210" s="79"/>
      <c r="AN210" s="33"/>
      <c r="AO210" s="33"/>
      <c r="AP210" s="33"/>
      <c r="AQ210" s="238" t="s">
        <v>73</v>
      </c>
      <c r="AR210" s="223"/>
      <c r="AS210" s="11">
        <v>0</v>
      </c>
      <c r="AT210" s="11">
        <v>75</v>
      </c>
      <c r="AU210" s="11">
        <v>25</v>
      </c>
      <c r="AV210" s="224">
        <v>0</v>
      </c>
      <c r="AW210" s="33">
        <v>1</v>
      </c>
      <c r="AX210" s="33">
        <f t="shared" si="94"/>
        <v>3.2923873700000001</v>
      </c>
      <c r="AY210" s="33">
        <f t="shared" si="103"/>
        <v>3.1446893149999999</v>
      </c>
      <c r="AZ210" s="33">
        <v>1</v>
      </c>
      <c r="BA210" s="223"/>
      <c r="BB210" s="11">
        <f t="shared" si="95"/>
        <v>0</v>
      </c>
      <c r="BC210" s="11">
        <f t="shared" si="96"/>
        <v>22.779822533458447</v>
      </c>
      <c r="BD210" s="11">
        <f t="shared" si="97"/>
        <v>7.9499109437461231</v>
      </c>
      <c r="BE210" s="224">
        <f t="shared" si="98"/>
        <v>0</v>
      </c>
    </row>
    <row r="211" spans="1:57" s="11" customFormat="1">
      <c r="A211" s="11" t="s">
        <v>779</v>
      </c>
      <c r="B211" s="11" t="s">
        <v>780</v>
      </c>
      <c r="C211" s="78" t="s">
        <v>162</v>
      </c>
      <c r="D211" s="78" t="s">
        <v>642</v>
      </c>
      <c r="E211" s="11" t="s">
        <v>643</v>
      </c>
      <c r="G211" s="11" t="s">
        <v>644</v>
      </c>
      <c r="H211" s="11" t="s">
        <v>773</v>
      </c>
      <c r="J211" s="11">
        <v>75</v>
      </c>
      <c r="K211" s="11">
        <v>125</v>
      </c>
      <c r="L211" s="11" t="s">
        <v>64</v>
      </c>
      <c r="M211" s="11" t="s">
        <v>26</v>
      </c>
      <c r="N211" s="11" t="s">
        <v>768</v>
      </c>
      <c r="O211" s="11" t="s">
        <v>769</v>
      </c>
      <c r="P211" s="11">
        <v>0</v>
      </c>
      <c r="Q211" s="11" t="s">
        <v>780</v>
      </c>
      <c r="R211" s="126">
        <f t="shared" si="99"/>
        <v>0</v>
      </c>
      <c r="S211" s="75">
        <f t="shared" si="99"/>
        <v>24.149325716945818</v>
      </c>
      <c r="T211" s="75">
        <f t="shared" si="99"/>
        <v>75.85067428305419</v>
      </c>
      <c r="U211" s="75">
        <f t="shared" si="99"/>
        <v>0</v>
      </c>
      <c r="V211" s="126">
        <v>0</v>
      </c>
      <c r="W211" s="127">
        <v>0</v>
      </c>
      <c r="X211" s="76">
        <f t="shared" si="104"/>
        <v>12.6294</v>
      </c>
      <c r="Y211" s="76">
        <f t="shared" si="93"/>
        <v>86.592889999999997</v>
      </c>
      <c r="Z211" s="76">
        <f t="shared" si="105"/>
        <v>0.77771000000000001</v>
      </c>
      <c r="AA211" s="162">
        <f t="shared" si="106"/>
        <v>10.469429999999999</v>
      </c>
      <c r="AB211" s="76">
        <f t="shared" si="102"/>
        <v>44.920099999999998</v>
      </c>
      <c r="AC211" s="128">
        <f t="shared" si="107"/>
        <v>44.610469999999999</v>
      </c>
      <c r="AD211" s="76">
        <v>0</v>
      </c>
      <c r="AE211" s="76">
        <v>0</v>
      </c>
      <c r="AF211" s="128">
        <v>0</v>
      </c>
      <c r="AG211" s="11" t="s">
        <v>262</v>
      </c>
      <c r="AH211" s="11" t="s">
        <v>774</v>
      </c>
      <c r="AI211" s="79"/>
      <c r="AJ211" s="79"/>
      <c r="AN211" s="33"/>
      <c r="AO211" s="33"/>
      <c r="AP211" s="33"/>
      <c r="AQ211" s="238" t="s">
        <v>73</v>
      </c>
      <c r="AR211" s="223"/>
      <c r="AS211" s="11">
        <v>0</v>
      </c>
      <c r="AT211" s="11">
        <v>25</v>
      </c>
      <c r="AU211" s="11">
        <v>75</v>
      </c>
      <c r="AV211" s="224">
        <v>0</v>
      </c>
      <c r="AW211" s="33">
        <v>1</v>
      </c>
      <c r="AX211" s="33">
        <f t="shared" si="94"/>
        <v>3.2923873700000001</v>
      </c>
      <c r="AY211" s="33">
        <f t="shared" si="103"/>
        <v>3.1446893149999999</v>
      </c>
      <c r="AZ211" s="33">
        <v>1</v>
      </c>
      <c r="BA211" s="223"/>
      <c r="BB211" s="11">
        <f t="shared" si="95"/>
        <v>0</v>
      </c>
      <c r="BC211" s="11">
        <f t="shared" si="96"/>
        <v>7.5932741778194828</v>
      </c>
      <c r="BD211" s="11">
        <f t="shared" si="97"/>
        <v>23.84973283123837</v>
      </c>
      <c r="BE211" s="224">
        <f t="shared" si="98"/>
        <v>0</v>
      </c>
    </row>
    <row r="212" spans="1:57" s="11" customFormat="1">
      <c r="A212" s="11" t="s">
        <v>781</v>
      </c>
      <c r="B212" s="11" t="s">
        <v>782</v>
      </c>
      <c r="C212" s="78" t="s">
        <v>162</v>
      </c>
      <c r="D212" s="78" t="s">
        <v>642</v>
      </c>
      <c r="E212" s="11" t="s">
        <v>643</v>
      </c>
      <c r="G212" s="11" t="s">
        <v>644</v>
      </c>
      <c r="H212" s="11" t="s">
        <v>773</v>
      </c>
      <c r="J212" s="11">
        <v>75</v>
      </c>
      <c r="K212" s="11">
        <v>127</v>
      </c>
      <c r="L212" s="11" t="s">
        <v>64</v>
      </c>
      <c r="M212" s="11" t="s">
        <v>26</v>
      </c>
      <c r="N212" s="11" t="s">
        <v>768</v>
      </c>
      <c r="O212" s="11" t="s">
        <v>769</v>
      </c>
      <c r="P212" s="11">
        <v>0</v>
      </c>
      <c r="Q212" s="11" t="s">
        <v>782</v>
      </c>
      <c r="R212" s="126">
        <f t="shared" si="99"/>
        <v>0</v>
      </c>
      <c r="S212" s="75">
        <f t="shared" si="99"/>
        <v>84.405354293604461</v>
      </c>
      <c r="T212" s="75">
        <f t="shared" si="99"/>
        <v>15.594645706395543</v>
      </c>
      <c r="U212" s="75">
        <f t="shared" si="99"/>
        <v>0</v>
      </c>
      <c r="V212" s="126">
        <v>0</v>
      </c>
      <c r="W212" s="127">
        <v>0</v>
      </c>
      <c r="X212" s="76">
        <f t="shared" si="104"/>
        <v>12.6294</v>
      </c>
      <c r="Y212" s="76">
        <f t="shared" si="93"/>
        <v>86.592889999999997</v>
      </c>
      <c r="Z212" s="76">
        <f t="shared" si="105"/>
        <v>0.77771000000000001</v>
      </c>
      <c r="AA212" s="162">
        <f t="shared" si="106"/>
        <v>10.469429999999999</v>
      </c>
      <c r="AB212" s="76">
        <f t="shared" si="102"/>
        <v>44.920099999999998</v>
      </c>
      <c r="AC212" s="128">
        <f t="shared" si="107"/>
        <v>44.610469999999999</v>
      </c>
      <c r="AD212" s="76">
        <v>0</v>
      </c>
      <c r="AE212" s="76">
        <v>0</v>
      </c>
      <c r="AF212" s="128">
        <v>0</v>
      </c>
      <c r="AG212" s="11" t="s">
        <v>69</v>
      </c>
      <c r="AH212" s="11" t="s">
        <v>774</v>
      </c>
      <c r="AI212" s="79"/>
      <c r="AJ212" s="79"/>
      <c r="AN212" s="33"/>
      <c r="AO212" s="33"/>
      <c r="AP212" s="33"/>
      <c r="AQ212" s="238" t="s">
        <v>73</v>
      </c>
      <c r="AR212" s="223"/>
      <c r="AS212" s="11">
        <v>0</v>
      </c>
      <c r="AT212" s="11">
        <v>85</v>
      </c>
      <c r="AU212" s="11">
        <v>15</v>
      </c>
      <c r="AV212" s="224">
        <v>0</v>
      </c>
      <c r="AW212" s="33">
        <v>1</v>
      </c>
      <c r="AX212" s="33">
        <f t="shared" si="94"/>
        <v>3.2923873700000001</v>
      </c>
      <c r="AY212" s="33">
        <f t="shared" si="103"/>
        <v>3.1446893149999999</v>
      </c>
      <c r="AZ212" s="33">
        <v>1</v>
      </c>
      <c r="BA212" s="223"/>
      <c r="BB212" s="11">
        <f t="shared" si="95"/>
        <v>0</v>
      </c>
      <c r="BC212" s="11">
        <f t="shared" si="96"/>
        <v>25.81713220458624</v>
      </c>
      <c r="BD212" s="11">
        <f t="shared" si="97"/>
        <v>4.7699465662476737</v>
      </c>
      <c r="BE212" s="224">
        <f t="shared" si="98"/>
        <v>0</v>
      </c>
    </row>
    <row r="213" spans="1:57" s="11" customFormat="1">
      <c r="A213" s="11" t="s">
        <v>783</v>
      </c>
      <c r="B213" s="11" t="s">
        <v>784</v>
      </c>
      <c r="C213" s="78" t="s">
        <v>162</v>
      </c>
      <c r="D213" s="78" t="s">
        <v>642</v>
      </c>
      <c r="E213" s="11" t="s">
        <v>643</v>
      </c>
      <c r="G213" s="11" t="s">
        <v>644</v>
      </c>
      <c r="H213" s="11" t="s">
        <v>773</v>
      </c>
      <c r="J213" s="11">
        <v>75</v>
      </c>
      <c r="K213" s="11">
        <v>125</v>
      </c>
      <c r="L213" s="11" t="s">
        <v>64</v>
      </c>
      <c r="M213" s="11" t="s">
        <v>26</v>
      </c>
      <c r="N213" s="11" t="s">
        <v>768</v>
      </c>
      <c r="O213" s="11" t="s">
        <v>769</v>
      </c>
      <c r="P213" s="11">
        <v>0</v>
      </c>
      <c r="Q213" s="11" t="s">
        <v>784</v>
      </c>
      <c r="R213" s="126">
        <f t="shared" si="99"/>
        <v>0</v>
      </c>
      <c r="S213" s="75">
        <f t="shared" si="99"/>
        <v>14.424154059961511</v>
      </c>
      <c r="T213" s="75">
        <f t="shared" si="99"/>
        <v>85.575845940038491</v>
      </c>
      <c r="U213" s="75">
        <f t="shared" si="99"/>
        <v>0</v>
      </c>
      <c r="V213" s="126">
        <v>0</v>
      </c>
      <c r="W213" s="127">
        <v>0</v>
      </c>
      <c r="X213" s="76">
        <f t="shared" si="104"/>
        <v>12.6294</v>
      </c>
      <c r="Y213" s="76">
        <f t="shared" si="93"/>
        <v>86.592889999999997</v>
      </c>
      <c r="Z213" s="76">
        <f t="shared" si="105"/>
        <v>0.77771000000000001</v>
      </c>
      <c r="AA213" s="162">
        <f t="shared" si="106"/>
        <v>10.469429999999999</v>
      </c>
      <c r="AB213" s="76">
        <f t="shared" si="102"/>
        <v>44.920099999999998</v>
      </c>
      <c r="AC213" s="128">
        <f t="shared" si="107"/>
        <v>44.610469999999999</v>
      </c>
      <c r="AD213" s="76">
        <v>0</v>
      </c>
      <c r="AE213" s="76">
        <v>0</v>
      </c>
      <c r="AF213" s="128">
        <v>0</v>
      </c>
      <c r="AG213" s="11" t="s">
        <v>262</v>
      </c>
      <c r="AH213" s="11" t="s">
        <v>785</v>
      </c>
      <c r="AI213" s="79"/>
      <c r="AJ213" s="79"/>
      <c r="AN213" s="33"/>
      <c r="AO213" s="33"/>
      <c r="AP213" s="33"/>
      <c r="AQ213" s="238" t="s">
        <v>73</v>
      </c>
      <c r="AR213" s="223"/>
      <c r="AS213" s="11">
        <v>0</v>
      </c>
      <c r="AT213" s="11">
        <v>15</v>
      </c>
      <c r="AU213" s="11">
        <v>85</v>
      </c>
      <c r="AV213" s="224">
        <v>0</v>
      </c>
      <c r="AW213" s="33">
        <v>1</v>
      </c>
      <c r="AX213" s="33">
        <f t="shared" si="94"/>
        <v>3.2923873700000001</v>
      </c>
      <c r="AY213" s="33">
        <f t="shared" si="103"/>
        <v>3.1446893149999999</v>
      </c>
      <c r="AZ213" s="33">
        <v>1</v>
      </c>
      <c r="BA213" s="223"/>
      <c r="BB213" s="11">
        <f t="shared" si="95"/>
        <v>0</v>
      </c>
      <c r="BC213" s="11">
        <f t="shared" si="96"/>
        <v>4.5559645066916898</v>
      </c>
      <c r="BD213" s="11">
        <f t="shared" si="97"/>
        <v>27.02969720873682</v>
      </c>
      <c r="BE213" s="224">
        <f t="shared" si="98"/>
        <v>0</v>
      </c>
    </row>
    <row r="214" spans="1:57" s="11" customFormat="1">
      <c r="A214" s="11" t="s">
        <v>786</v>
      </c>
      <c r="B214" s="11" t="s">
        <v>787</v>
      </c>
      <c r="C214" s="78" t="s">
        <v>162</v>
      </c>
      <c r="D214" s="78" t="s">
        <v>642</v>
      </c>
      <c r="E214" s="11" t="s">
        <v>643</v>
      </c>
      <c r="G214" s="11" t="s">
        <v>644</v>
      </c>
      <c r="H214" s="11" t="s">
        <v>773</v>
      </c>
      <c r="J214" s="11">
        <v>0</v>
      </c>
      <c r="K214" s="11">
        <v>45</v>
      </c>
      <c r="L214" s="11" t="s">
        <v>64</v>
      </c>
      <c r="M214" s="11" t="s">
        <v>26</v>
      </c>
      <c r="N214" s="11" t="s">
        <v>768</v>
      </c>
      <c r="O214" s="11" t="s">
        <v>769</v>
      </c>
      <c r="P214" s="11">
        <v>0</v>
      </c>
      <c r="Q214" s="11" t="s">
        <v>787</v>
      </c>
      <c r="R214" s="126">
        <f t="shared" si="99"/>
        <v>0</v>
      </c>
      <c r="S214" s="75">
        <f t="shared" si="99"/>
        <v>48.852755200631883</v>
      </c>
      <c r="T214" s="75">
        <f t="shared" si="99"/>
        <v>51.14724479936811</v>
      </c>
      <c r="U214" s="75">
        <f t="shared" si="99"/>
        <v>0</v>
      </c>
      <c r="V214" s="126">
        <v>0</v>
      </c>
      <c r="W214" s="127">
        <v>0</v>
      </c>
      <c r="X214" s="76">
        <f t="shared" si="104"/>
        <v>12.6294</v>
      </c>
      <c r="Y214" s="76">
        <f t="shared" si="93"/>
        <v>86.592889999999997</v>
      </c>
      <c r="Z214" s="76">
        <f t="shared" si="105"/>
        <v>0.77771000000000001</v>
      </c>
      <c r="AA214" s="162">
        <f t="shared" si="106"/>
        <v>10.469429999999999</v>
      </c>
      <c r="AB214" s="76">
        <f t="shared" si="102"/>
        <v>44.920099999999998</v>
      </c>
      <c r="AC214" s="128">
        <f t="shared" si="107"/>
        <v>44.610469999999999</v>
      </c>
      <c r="AD214" s="76">
        <v>0</v>
      </c>
      <c r="AE214" s="76">
        <v>0</v>
      </c>
      <c r="AF214" s="128">
        <v>0</v>
      </c>
      <c r="AG214" s="11" t="s">
        <v>69</v>
      </c>
      <c r="AH214" s="11" t="s">
        <v>774</v>
      </c>
      <c r="AI214" s="79"/>
      <c r="AJ214" s="79"/>
      <c r="AN214" s="33"/>
      <c r="AO214" s="33"/>
      <c r="AP214" s="33"/>
      <c r="AQ214" s="238" t="s">
        <v>73</v>
      </c>
      <c r="AR214" s="223"/>
      <c r="AS214" s="11">
        <v>0</v>
      </c>
      <c r="AT214" s="11">
        <v>50</v>
      </c>
      <c r="AU214" s="11">
        <v>50</v>
      </c>
      <c r="AV214" s="224">
        <v>0</v>
      </c>
      <c r="AW214" s="33">
        <v>1</v>
      </c>
      <c r="AX214" s="33">
        <f t="shared" si="94"/>
        <v>3.2923873700000001</v>
      </c>
      <c r="AY214" s="33">
        <f t="shared" si="103"/>
        <v>3.1446893149999999</v>
      </c>
      <c r="AZ214" s="33">
        <v>1</v>
      </c>
      <c r="BA214" s="223"/>
      <c r="BB214" s="11">
        <f t="shared" si="95"/>
        <v>0</v>
      </c>
      <c r="BC214" s="11">
        <f t="shared" si="96"/>
        <v>15.186548355638966</v>
      </c>
      <c r="BD214" s="11">
        <f t="shared" si="97"/>
        <v>15.899821887492246</v>
      </c>
      <c r="BE214" s="224">
        <f t="shared" si="98"/>
        <v>0</v>
      </c>
    </row>
    <row r="215" spans="1:57" s="11" customFormat="1">
      <c r="A215" s="11" t="s">
        <v>788</v>
      </c>
      <c r="B215" s="11" t="s">
        <v>789</v>
      </c>
      <c r="C215" s="78" t="s">
        <v>162</v>
      </c>
      <c r="D215" s="78" t="s">
        <v>642</v>
      </c>
      <c r="E215" s="11" t="s">
        <v>643</v>
      </c>
      <c r="G215" s="11" t="s">
        <v>644</v>
      </c>
      <c r="H215" s="11" t="s">
        <v>773</v>
      </c>
      <c r="J215" s="11">
        <v>0</v>
      </c>
      <c r="K215" s="11">
        <v>45</v>
      </c>
      <c r="L215" s="11" t="s">
        <v>64</v>
      </c>
      <c r="M215" s="11" t="s">
        <v>26</v>
      </c>
      <c r="N215" s="11" t="s">
        <v>768</v>
      </c>
      <c r="O215" s="11" t="s">
        <v>769</v>
      </c>
      <c r="P215" s="11">
        <v>0</v>
      </c>
      <c r="Q215" s="11" t="s">
        <v>789</v>
      </c>
      <c r="R215" s="126">
        <f t="shared" si="99"/>
        <v>0</v>
      </c>
      <c r="S215" s="75">
        <f t="shared" si="99"/>
        <v>58.893567597327333</v>
      </c>
      <c r="T215" s="75">
        <f t="shared" si="99"/>
        <v>41.106432402672667</v>
      </c>
      <c r="U215" s="75">
        <f t="shared" si="99"/>
        <v>0</v>
      </c>
      <c r="V215" s="126">
        <v>0</v>
      </c>
      <c r="W215" s="127">
        <v>0</v>
      </c>
      <c r="X215" s="76">
        <f t="shared" si="104"/>
        <v>12.6294</v>
      </c>
      <c r="Y215" s="76">
        <f t="shared" si="93"/>
        <v>86.592889999999997</v>
      </c>
      <c r="Z215" s="76">
        <f t="shared" si="105"/>
        <v>0.77771000000000001</v>
      </c>
      <c r="AA215" s="162">
        <f t="shared" si="106"/>
        <v>10.469429999999999</v>
      </c>
      <c r="AB215" s="76">
        <f t="shared" si="102"/>
        <v>44.920099999999998</v>
      </c>
      <c r="AC215" s="128">
        <f t="shared" si="107"/>
        <v>44.610469999999999</v>
      </c>
      <c r="AD215" s="76">
        <v>0</v>
      </c>
      <c r="AE215" s="76">
        <v>0</v>
      </c>
      <c r="AF215" s="128">
        <v>0</v>
      </c>
      <c r="AG215" s="11" t="s">
        <v>69</v>
      </c>
      <c r="AH215" s="11" t="s">
        <v>774</v>
      </c>
      <c r="AI215" s="79"/>
      <c r="AJ215" s="79"/>
      <c r="AN215" s="33"/>
      <c r="AO215" s="33"/>
      <c r="AP215" s="33"/>
      <c r="AQ215" s="238" t="s">
        <v>73</v>
      </c>
      <c r="AR215" s="223"/>
      <c r="AS215" s="11">
        <v>0</v>
      </c>
      <c r="AT215" s="11">
        <v>60</v>
      </c>
      <c r="AU215" s="11">
        <v>40</v>
      </c>
      <c r="AV215" s="224">
        <v>0</v>
      </c>
      <c r="AW215" s="33">
        <v>1</v>
      </c>
      <c r="AX215" s="33">
        <f t="shared" si="94"/>
        <v>3.2923873700000001</v>
      </c>
      <c r="AY215" s="33">
        <f t="shared" si="103"/>
        <v>3.1446893149999999</v>
      </c>
      <c r="AZ215" s="33">
        <v>1</v>
      </c>
      <c r="BA215" s="223"/>
      <c r="BB215" s="11">
        <f t="shared" si="95"/>
        <v>0</v>
      </c>
      <c r="BC215" s="11">
        <f t="shared" si="96"/>
        <v>18.223858026766759</v>
      </c>
      <c r="BD215" s="11">
        <f t="shared" si="97"/>
        <v>12.719857509993798</v>
      </c>
      <c r="BE215" s="224">
        <f t="shared" si="98"/>
        <v>0</v>
      </c>
    </row>
    <row r="216" spans="1:57" s="11" customFormat="1">
      <c r="A216" s="11" t="s">
        <v>790</v>
      </c>
      <c r="B216" s="11" t="s">
        <v>776</v>
      </c>
      <c r="C216" s="78" t="s">
        <v>162</v>
      </c>
      <c r="D216" s="78" t="s">
        <v>642</v>
      </c>
      <c r="E216" s="11" t="s">
        <v>643</v>
      </c>
      <c r="G216" s="11" t="s">
        <v>644</v>
      </c>
      <c r="H216" s="11" t="s">
        <v>773</v>
      </c>
      <c r="J216" s="11">
        <v>0</v>
      </c>
      <c r="K216" s="11">
        <v>45</v>
      </c>
      <c r="L216" s="11" t="s">
        <v>64</v>
      </c>
      <c r="M216" s="11" t="s">
        <v>26</v>
      </c>
      <c r="N216" s="11" t="s">
        <v>768</v>
      </c>
      <c r="O216" s="11" t="s">
        <v>791</v>
      </c>
      <c r="P216" s="11">
        <v>0</v>
      </c>
      <c r="Q216" s="11" t="s">
        <v>776</v>
      </c>
      <c r="R216" s="126">
        <f t="shared" si="99"/>
        <v>0</v>
      </c>
      <c r="S216" s="75">
        <f t="shared" si="99"/>
        <v>38.903676000633389</v>
      </c>
      <c r="T216" s="75">
        <f t="shared" si="99"/>
        <v>61.096323999366611</v>
      </c>
      <c r="U216" s="75">
        <f t="shared" si="99"/>
        <v>0</v>
      </c>
      <c r="V216" s="126">
        <v>0</v>
      </c>
      <c r="W216" s="127">
        <v>0</v>
      </c>
      <c r="X216" s="76">
        <f t="shared" si="104"/>
        <v>12.6294</v>
      </c>
      <c r="Y216" s="76">
        <f t="shared" si="93"/>
        <v>86.592889999999997</v>
      </c>
      <c r="Z216" s="76">
        <f t="shared" si="105"/>
        <v>0.77771000000000001</v>
      </c>
      <c r="AA216" s="162">
        <f t="shared" si="106"/>
        <v>10.469429999999999</v>
      </c>
      <c r="AB216" s="76">
        <f t="shared" si="102"/>
        <v>44.920099999999998</v>
      </c>
      <c r="AC216" s="128">
        <f t="shared" si="107"/>
        <v>44.610469999999999</v>
      </c>
      <c r="AD216" s="76">
        <v>0</v>
      </c>
      <c r="AE216" s="76">
        <v>0</v>
      </c>
      <c r="AF216" s="128">
        <v>0</v>
      </c>
      <c r="AG216" s="11" t="s">
        <v>69</v>
      </c>
      <c r="AH216" s="11" t="s">
        <v>774</v>
      </c>
      <c r="AI216" s="79"/>
      <c r="AJ216" s="79"/>
      <c r="AN216" s="33"/>
      <c r="AO216" s="33"/>
      <c r="AP216" s="33"/>
      <c r="AQ216" s="238" t="s">
        <v>73</v>
      </c>
      <c r="AR216" s="223"/>
      <c r="AS216" s="11">
        <v>0</v>
      </c>
      <c r="AT216" s="11">
        <v>40</v>
      </c>
      <c r="AU216" s="11">
        <v>60</v>
      </c>
      <c r="AV216" s="224">
        <v>0</v>
      </c>
      <c r="AW216" s="33">
        <v>1</v>
      </c>
      <c r="AX216" s="33">
        <f t="shared" si="94"/>
        <v>3.2923873700000001</v>
      </c>
      <c r="AY216" s="33">
        <f t="shared" si="103"/>
        <v>3.1446893149999999</v>
      </c>
      <c r="AZ216" s="33">
        <v>1</v>
      </c>
      <c r="BA216" s="223"/>
      <c r="BB216" s="11">
        <f t="shared" si="95"/>
        <v>0</v>
      </c>
      <c r="BC216" s="11">
        <f t="shared" si="96"/>
        <v>12.149238684511172</v>
      </c>
      <c r="BD216" s="11">
        <f t="shared" si="97"/>
        <v>19.079786264990695</v>
      </c>
      <c r="BE216" s="224">
        <f t="shared" si="98"/>
        <v>0</v>
      </c>
    </row>
    <row r="217" spans="1:57" s="11" customFormat="1">
      <c r="A217" s="11" t="s">
        <v>792</v>
      </c>
      <c r="B217" s="11" t="s">
        <v>778</v>
      </c>
      <c r="C217" s="78" t="s">
        <v>162</v>
      </c>
      <c r="D217" s="78" t="s">
        <v>642</v>
      </c>
      <c r="E217" s="11" t="s">
        <v>643</v>
      </c>
      <c r="G217" s="11" t="s">
        <v>644</v>
      </c>
      <c r="H217" s="11" t="s">
        <v>773</v>
      </c>
      <c r="J217" s="11">
        <v>0</v>
      </c>
      <c r="K217" s="11">
        <v>45</v>
      </c>
      <c r="L217" s="11" t="s">
        <v>64</v>
      </c>
      <c r="M217" s="11" t="s">
        <v>26</v>
      </c>
      <c r="N217" s="11" t="s">
        <v>768</v>
      </c>
      <c r="O217" s="11" t="s">
        <v>769</v>
      </c>
      <c r="P217" s="11">
        <v>0</v>
      </c>
      <c r="Q217" s="11" t="s">
        <v>778</v>
      </c>
      <c r="R217" s="126">
        <f t="shared" si="99"/>
        <v>0</v>
      </c>
      <c r="S217" s="75">
        <f t="shared" si="99"/>
        <v>74.129580558700923</v>
      </c>
      <c r="T217" s="75">
        <f t="shared" si="99"/>
        <v>25.870419441299081</v>
      </c>
      <c r="U217" s="75">
        <f t="shared" si="99"/>
        <v>0</v>
      </c>
      <c r="V217" s="126">
        <v>0</v>
      </c>
      <c r="W217" s="127">
        <v>0</v>
      </c>
      <c r="X217" s="76">
        <f t="shared" si="104"/>
        <v>12.6294</v>
      </c>
      <c r="Y217" s="76">
        <f t="shared" si="93"/>
        <v>86.592889999999997</v>
      </c>
      <c r="Z217" s="76">
        <f t="shared" si="105"/>
        <v>0.77771000000000001</v>
      </c>
      <c r="AA217" s="162">
        <f t="shared" si="106"/>
        <v>10.469429999999999</v>
      </c>
      <c r="AB217" s="76">
        <f t="shared" si="102"/>
        <v>44.920099999999998</v>
      </c>
      <c r="AC217" s="128">
        <f t="shared" si="107"/>
        <v>44.610469999999999</v>
      </c>
      <c r="AD217" s="76">
        <v>0</v>
      </c>
      <c r="AE217" s="76">
        <v>0</v>
      </c>
      <c r="AF217" s="128">
        <v>0</v>
      </c>
      <c r="AG217" s="11" t="s">
        <v>69</v>
      </c>
      <c r="AH217" s="11" t="s">
        <v>774</v>
      </c>
      <c r="AI217" s="79"/>
      <c r="AJ217" s="79"/>
      <c r="AN217" s="33"/>
      <c r="AO217" s="33"/>
      <c r="AP217" s="33"/>
      <c r="AQ217" s="238" t="s">
        <v>73</v>
      </c>
      <c r="AR217" s="223"/>
      <c r="AS217" s="11">
        <v>0</v>
      </c>
      <c r="AT217" s="11">
        <v>75</v>
      </c>
      <c r="AU217" s="11">
        <v>25</v>
      </c>
      <c r="AV217" s="224">
        <v>0</v>
      </c>
      <c r="AW217" s="33">
        <v>1</v>
      </c>
      <c r="AX217" s="33">
        <f t="shared" si="94"/>
        <v>3.2923873700000001</v>
      </c>
      <c r="AY217" s="33">
        <f t="shared" si="103"/>
        <v>3.1446893149999999</v>
      </c>
      <c r="AZ217" s="33">
        <v>1</v>
      </c>
      <c r="BA217" s="223"/>
      <c r="BB217" s="11">
        <f t="shared" si="95"/>
        <v>0</v>
      </c>
      <c r="BC217" s="11">
        <f t="shared" si="96"/>
        <v>22.779822533458447</v>
      </c>
      <c r="BD217" s="11">
        <f t="shared" si="97"/>
        <v>7.9499109437461231</v>
      </c>
      <c r="BE217" s="224">
        <f t="shared" si="98"/>
        <v>0</v>
      </c>
    </row>
    <row r="218" spans="1:57" s="11" customFormat="1">
      <c r="A218" s="11" t="s">
        <v>793</v>
      </c>
      <c r="B218" s="11" t="s">
        <v>780</v>
      </c>
      <c r="C218" s="78" t="s">
        <v>162</v>
      </c>
      <c r="D218" s="78" t="s">
        <v>642</v>
      </c>
      <c r="E218" s="11" t="s">
        <v>643</v>
      </c>
      <c r="G218" s="11" t="s">
        <v>644</v>
      </c>
      <c r="H218" s="11" t="s">
        <v>773</v>
      </c>
      <c r="J218" s="11">
        <v>0</v>
      </c>
      <c r="K218" s="11">
        <v>45</v>
      </c>
      <c r="L218" s="11" t="s">
        <v>64</v>
      </c>
      <c r="M218" s="11" t="s">
        <v>26</v>
      </c>
      <c r="N218" s="11" t="s">
        <v>768</v>
      </c>
      <c r="O218" s="11" t="s">
        <v>769</v>
      </c>
      <c r="P218" s="11">
        <v>0</v>
      </c>
      <c r="Q218" s="11" t="s">
        <v>780</v>
      </c>
      <c r="R218" s="126">
        <f t="shared" si="99"/>
        <v>0</v>
      </c>
      <c r="S218" s="75">
        <f t="shared" si="99"/>
        <v>24.149325716945818</v>
      </c>
      <c r="T218" s="75">
        <f t="shared" si="99"/>
        <v>75.85067428305419</v>
      </c>
      <c r="U218" s="75">
        <f t="shared" si="99"/>
        <v>0</v>
      </c>
      <c r="V218" s="126">
        <v>0</v>
      </c>
      <c r="W218" s="127">
        <v>0</v>
      </c>
      <c r="X218" s="76">
        <f t="shared" si="104"/>
        <v>12.6294</v>
      </c>
      <c r="Y218" s="76">
        <f t="shared" si="93"/>
        <v>86.592889999999997</v>
      </c>
      <c r="Z218" s="76">
        <f t="shared" si="105"/>
        <v>0.77771000000000001</v>
      </c>
      <c r="AA218" s="162">
        <f t="shared" si="106"/>
        <v>10.469429999999999</v>
      </c>
      <c r="AB218" s="76">
        <f t="shared" si="102"/>
        <v>44.920099999999998</v>
      </c>
      <c r="AC218" s="128">
        <f t="shared" si="107"/>
        <v>44.610469999999999</v>
      </c>
      <c r="AD218" s="76">
        <v>0</v>
      </c>
      <c r="AE218" s="76">
        <v>0</v>
      </c>
      <c r="AF218" s="128">
        <v>0</v>
      </c>
      <c r="AG218" s="11" t="s">
        <v>262</v>
      </c>
      <c r="AH218" s="11" t="s">
        <v>774</v>
      </c>
      <c r="AI218" s="79"/>
      <c r="AJ218" s="79"/>
      <c r="AN218" s="33"/>
      <c r="AO218" s="33"/>
      <c r="AP218" s="33"/>
      <c r="AQ218" s="238" t="s">
        <v>73</v>
      </c>
      <c r="AR218" s="223"/>
      <c r="AS218" s="11">
        <v>0</v>
      </c>
      <c r="AT218" s="11">
        <v>25</v>
      </c>
      <c r="AU218" s="11">
        <v>75</v>
      </c>
      <c r="AV218" s="224">
        <v>0</v>
      </c>
      <c r="AW218" s="33">
        <v>1</v>
      </c>
      <c r="AX218" s="33">
        <f t="shared" si="94"/>
        <v>3.2923873700000001</v>
      </c>
      <c r="AY218" s="33">
        <f t="shared" si="103"/>
        <v>3.1446893149999999</v>
      </c>
      <c r="AZ218" s="33">
        <v>1</v>
      </c>
      <c r="BA218" s="223"/>
      <c r="BB218" s="11">
        <f t="shared" si="95"/>
        <v>0</v>
      </c>
      <c r="BC218" s="11">
        <f t="shared" si="96"/>
        <v>7.5932741778194828</v>
      </c>
      <c r="BD218" s="11">
        <f t="shared" si="97"/>
        <v>23.84973283123837</v>
      </c>
      <c r="BE218" s="224">
        <f t="shared" si="98"/>
        <v>0</v>
      </c>
    </row>
    <row r="219" spans="1:57" s="11" customFormat="1">
      <c r="A219" s="11" t="s">
        <v>794</v>
      </c>
      <c r="B219" s="11" t="s">
        <v>782</v>
      </c>
      <c r="C219" s="78" t="s">
        <v>162</v>
      </c>
      <c r="D219" s="78" t="s">
        <v>642</v>
      </c>
      <c r="E219" s="11" t="s">
        <v>643</v>
      </c>
      <c r="G219" s="11" t="s">
        <v>644</v>
      </c>
      <c r="H219" s="11" t="s">
        <v>773</v>
      </c>
      <c r="J219" s="11">
        <v>0</v>
      </c>
      <c r="K219" s="11">
        <v>45</v>
      </c>
      <c r="L219" s="11" t="s">
        <v>64</v>
      </c>
      <c r="M219" s="11" t="s">
        <v>26</v>
      </c>
      <c r="N219" s="11" t="s">
        <v>768</v>
      </c>
      <c r="O219" s="11" t="s">
        <v>769</v>
      </c>
      <c r="P219" s="11">
        <v>0</v>
      </c>
      <c r="Q219" s="11" t="s">
        <v>782</v>
      </c>
      <c r="R219" s="126">
        <f t="shared" si="99"/>
        <v>0</v>
      </c>
      <c r="S219" s="75">
        <f t="shared" si="99"/>
        <v>84.405354293604461</v>
      </c>
      <c r="T219" s="75">
        <f t="shared" si="99"/>
        <v>15.594645706395543</v>
      </c>
      <c r="U219" s="75">
        <f t="shared" si="99"/>
        <v>0</v>
      </c>
      <c r="V219" s="126">
        <v>0</v>
      </c>
      <c r="W219" s="127">
        <v>0</v>
      </c>
      <c r="X219" s="76">
        <f t="shared" si="104"/>
        <v>12.6294</v>
      </c>
      <c r="Y219" s="76">
        <f t="shared" si="93"/>
        <v>86.592889999999997</v>
      </c>
      <c r="Z219" s="76">
        <f t="shared" si="105"/>
        <v>0.77771000000000001</v>
      </c>
      <c r="AA219" s="162">
        <f t="shared" si="106"/>
        <v>10.469429999999999</v>
      </c>
      <c r="AB219" s="76">
        <f t="shared" si="102"/>
        <v>44.920099999999998</v>
      </c>
      <c r="AC219" s="128">
        <f t="shared" si="107"/>
        <v>44.610469999999999</v>
      </c>
      <c r="AD219" s="76">
        <v>0</v>
      </c>
      <c r="AE219" s="76">
        <v>0</v>
      </c>
      <c r="AF219" s="128">
        <v>0</v>
      </c>
      <c r="AG219" s="11" t="s">
        <v>69</v>
      </c>
      <c r="AH219" s="11" t="s">
        <v>774</v>
      </c>
      <c r="AI219" s="79"/>
      <c r="AJ219" s="79"/>
      <c r="AN219" s="33"/>
      <c r="AO219" s="33"/>
      <c r="AP219" s="33"/>
      <c r="AQ219" s="238" t="s">
        <v>73</v>
      </c>
      <c r="AR219" s="223"/>
      <c r="AS219" s="11">
        <v>0</v>
      </c>
      <c r="AT219" s="11">
        <v>85</v>
      </c>
      <c r="AU219" s="11">
        <v>15</v>
      </c>
      <c r="AV219" s="224">
        <v>0</v>
      </c>
      <c r="AW219" s="33">
        <v>1</v>
      </c>
      <c r="AX219" s="33">
        <f t="shared" si="94"/>
        <v>3.2923873700000001</v>
      </c>
      <c r="AY219" s="33">
        <f t="shared" si="103"/>
        <v>3.1446893149999999</v>
      </c>
      <c r="AZ219" s="33">
        <v>1</v>
      </c>
      <c r="BA219" s="223"/>
      <c r="BB219" s="11">
        <f t="shared" si="95"/>
        <v>0</v>
      </c>
      <c r="BC219" s="11">
        <f t="shared" si="96"/>
        <v>25.81713220458624</v>
      </c>
      <c r="BD219" s="11">
        <f t="shared" si="97"/>
        <v>4.7699465662476737</v>
      </c>
      <c r="BE219" s="224">
        <f t="shared" si="98"/>
        <v>0</v>
      </c>
    </row>
    <row r="220" spans="1:57" s="11" customFormat="1">
      <c r="A220" s="11" t="s">
        <v>795</v>
      </c>
      <c r="B220" s="11" t="s">
        <v>796</v>
      </c>
      <c r="C220" s="78" t="s">
        <v>162</v>
      </c>
      <c r="D220" s="78" t="s">
        <v>642</v>
      </c>
      <c r="E220" s="11" t="s">
        <v>643</v>
      </c>
      <c r="G220" s="11" t="s">
        <v>644</v>
      </c>
      <c r="H220" s="11" t="s">
        <v>773</v>
      </c>
      <c r="J220" s="11">
        <v>0</v>
      </c>
      <c r="K220" s="11">
        <v>45</v>
      </c>
      <c r="L220" s="11" t="s">
        <v>64</v>
      </c>
      <c r="M220" s="11" t="s">
        <v>26</v>
      </c>
      <c r="N220" s="11" t="s">
        <v>768</v>
      </c>
      <c r="O220" s="11" t="s">
        <v>769</v>
      </c>
      <c r="P220" s="11">
        <v>0</v>
      </c>
      <c r="Q220" s="11" t="s">
        <v>796</v>
      </c>
      <c r="R220" s="126">
        <f t="shared" ref="R220:U228" si="108">BB220/SUMIF($BB220:$BE220, "&lt;&gt;#VALUE!")*100</f>
        <v>0</v>
      </c>
      <c r="S220" s="75">
        <f t="shared" si="108"/>
        <v>14.424154059961511</v>
      </c>
      <c r="T220" s="75">
        <f t="shared" si="108"/>
        <v>85.575845940038491</v>
      </c>
      <c r="U220" s="75">
        <f t="shared" si="108"/>
        <v>0</v>
      </c>
      <c r="V220" s="126">
        <v>0</v>
      </c>
      <c r="W220" s="127">
        <v>0</v>
      </c>
      <c r="X220" s="76">
        <f t="shared" si="104"/>
        <v>12.6294</v>
      </c>
      <c r="Y220" s="76">
        <f t="shared" si="93"/>
        <v>86.592889999999997</v>
      </c>
      <c r="Z220" s="76">
        <f t="shared" si="105"/>
        <v>0.77771000000000001</v>
      </c>
      <c r="AA220" s="162">
        <f t="shared" si="106"/>
        <v>10.469429999999999</v>
      </c>
      <c r="AB220" s="76">
        <f t="shared" si="102"/>
        <v>44.920099999999998</v>
      </c>
      <c r="AC220" s="128">
        <f t="shared" si="107"/>
        <v>44.610469999999999</v>
      </c>
      <c r="AD220" s="76">
        <v>0</v>
      </c>
      <c r="AE220" s="76">
        <v>0</v>
      </c>
      <c r="AF220" s="128">
        <v>0</v>
      </c>
      <c r="AG220" s="11" t="s">
        <v>262</v>
      </c>
      <c r="AH220" s="11" t="s">
        <v>774</v>
      </c>
      <c r="AI220" s="79"/>
      <c r="AJ220" s="79"/>
      <c r="AN220" s="33"/>
      <c r="AO220" s="33"/>
      <c r="AP220" s="33"/>
      <c r="AQ220" s="238" t="s">
        <v>73</v>
      </c>
      <c r="AR220" s="223"/>
      <c r="AS220" s="11">
        <v>0</v>
      </c>
      <c r="AT220" s="11">
        <v>15</v>
      </c>
      <c r="AU220" s="11">
        <v>85</v>
      </c>
      <c r="AV220" s="224">
        <v>0</v>
      </c>
      <c r="AW220" s="33">
        <v>1</v>
      </c>
      <c r="AX220" s="33">
        <f t="shared" si="94"/>
        <v>3.2923873700000001</v>
      </c>
      <c r="AY220" s="33">
        <f t="shared" si="103"/>
        <v>3.1446893149999999</v>
      </c>
      <c r="AZ220" s="33">
        <v>1</v>
      </c>
      <c r="BA220" s="223"/>
      <c r="BB220" s="11">
        <f t="shared" si="95"/>
        <v>0</v>
      </c>
      <c r="BC220" s="11">
        <f t="shared" si="96"/>
        <v>4.5559645066916898</v>
      </c>
      <c r="BD220" s="11">
        <f t="shared" si="97"/>
        <v>27.02969720873682</v>
      </c>
      <c r="BE220" s="224">
        <f t="shared" si="98"/>
        <v>0</v>
      </c>
    </row>
    <row r="221" spans="1:57" s="11" customFormat="1">
      <c r="A221" s="11" t="s">
        <v>797</v>
      </c>
      <c r="B221" s="77" t="s">
        <v>798</v>
      </c>
      <c r="C221" s="78" t="s">
        <v>162</v>
      </c>
      <c r="D221" s="78" t="s">
        <v>642</v>
      </c>
      <c r="E221" s="11" t="s">
        <v>643</v>
      </c>
      <c r="G221" s="11" t="s">
        <v>644</v>
      </c>
      <c r="H221" s="11" t="s">
        <v>799</v>
      </c>
      <c r="J221" s="11">
        <v>0</v>
      </c>
      <c r="K221" s="11">
        <v>45</v>
      </c>
      <c r="L221" s="11" t="s">
        <v>64</v>
      </c>
      <c r="M221" s="11" t="s">
        <v>26</v>
      </c>
      <c r="N221" s="11" t="s">
        <v>768</v>
      </c>
      <c r="O221" s="11" t="s">
        <v>800</v>
      </c>
      <c r="P221" s="11">
        <v>0</v>
      </c>
      <c r="Q221" s="11" t="s">
        <v>801</v>
      </c>
      <c r="R221" s="126">
        <f t="shared" si="108"/>
        <v>0</v>
      </c>
      <c r="S221" s="75">
        <f t="shared" si="108"/>
        <v>24.149325716945818</v>
      </c>
      <c r="T221" s="75">
        <f t="shared" si="108"/>
        <v>75.85067428305419</v>
      </c>
      <c r="U221" s="75">
        <f t="shared" si="108"/>
        <v>0</v>
      </c>
      <c r="V221" s="126">
        <v>0</v>
      </c>
      <c r="W221" s="127">
        <v>0</v>
      </c>
      <c r="X221" s="76">
        <f t="shared" si="104"/>
        <v>12.6294</v>
      </c>
      <c r="Y221" s="76">
        <f t="shared" ref="Y221:Y228" si="109">100 - $X221 - $Z221</f>
        <v>86.592889999999997</v>
      </c>
      <c r="Z221" s="76">
        <f t="shared" si="105"/>
        <v>0.77771000000000001</v>
      </c>
      <c r="AA221" s="162">
        <f t="shared" si="106"/>
        <v>10.469429999999999</v>
      </c>
      <c r="AB221" s="76">
        <f t="shared" si="102"/>
        <v>44.920099999999998</v>
      </c>
      <c r="AC221" s="128">
        <f t="shared" si="107"/>
        <v>44.610469999999999</v>
      </c>
      <c r="AD221" s="76">
        <v>0</v>
      </c>
      <c r="AE221" s="76">
        <v>0</v>
      </c>
      <c r="AF221" s="128">
        <v>0</v>
      </c>
      <c r="AG221" s="11" t="s">
        <v>69</v>
      </c>
      <c r="AH221" s="11" t="s">
        <v>774</v>
      </c>
      <c r="AI221" s="79"/>
      <c r="AJ221" s="79"/>
      <c r="AN221" s="33"/>
      <c r="AO221" s="33"/>
      <c r="AP221" s="33"/>
      <c r="AQ221" s="238" t="s">
        <v>73</v>
      </c>
      <c r="AR221" s="223"/>
      <c r="AS221" s="11">
        <v>0</v>
      </c>
      <c r="AT221" s="11">
        <v>25</v>
      </c>
      <c r="AU221" s="11">
        <v>75</v>
      </c>
      <c r="AV221" s="224">
        <v>0</v>
      </c>
      <c r="AW221" s="33">
        <v>1</v>
      </c>
      <c r="AX221" s="33">
        <f t="shared" ref="AX221:AX228" si="110">X221*$Z$2+Y221*$AA$2+Z221*$AB$2</f>
        <v>3.2923873700000001</v>
      </c>
      <c r="AY221" s="33">
        <f t="shared" si="103"/>
        <v>3.1446893149999999</v>
      </c>
      <c r="AZ221" s="33">
        <v>1</v>
      </c>
      <c r="BA221" s="223"/>
      <c r="BB221" s="11">
        <f t="shared" si="95"/>
        <v>0</v>
      </c>
      <c r="BC221" s="11">
        <f t="shared" si="96"/>
        <v>7.5932741778194828</v>
      </c>
      <c r="BD221" s="11">
        <f t="shared" si="97"/>
        <v>23.84973283123837</v>
      </c>
      <c r="BE221" s="224">
        <f t="shared" si="98"/>
        <v>0</v>
      </c>
    </row>
    <row r="222" spans="1:57" s="11" customFormat="1">
      <c r="A222" s="11" t="s">
        <v>802</v>
      </c>
      <c r="B222" s="77" t="s">
        <v>803</v>
      </c>
      <c r="C222" s="78" t="s">
        <v>162</v>
      </c>
      <c r="D222" s="78" t="s">
        <v>642</v>
      </c>
      <c r="E222" s="11" t="s">
        <v>643</v>
      </c>
      <c r="G222" s="11" t="s">
        <v>644</v>
      </c>
      <c r="H222" s="11" t="s">
        <v>773</v>
      </c>
      <c r="J222" s="11">
        <v>45</v>
      </c>
      <c r="K222" s="11">
        <v>75</v>
      </c>
      <c r="L222" s="11" t="s">
        <v>64</v>
      </c>
      <c r="M222" s="11" t="s">
        <v>26</v>
      </c>
      <c r="N222" s="11" t="s">
        <v>768</v>
      </c>
      <c r="O222" s="11" t="s">
        <v>769</v>
      </c>
      <c r="P222" s="11">
        <v>0</v>
      </c>
      <c r="Q222" s="11" t="s">
        <v>804</v>
      </c>
      <c r="R222" s="126">
        <f t="shared" si="108"/>
        <v>0</v>
      </c>
      <c r="S222" s="75">
        <f t="shared" si="108"/>
        <v>48.852755200631883</v>
      </c>
      <c r="T222" s="75">
        <f t="shared" si="108"/>
        <v>51.14724479936811</v>
      </c>
      <c r="U222" s="75">
        <f t="shared" si="108"/>
        <v>0</v>
      </c>
      <c r="V222" s="126">
        <v>0</v>
      </c>
      <c r="W222" s="127">
        <v>0</v>
      </c>
      <c r="X222" s="76">
        <f t="shared" si="104"/>
        <v>12.6294</v>
      </c>
      <c r="Y222" s="76">
        <f t="shared" si="109"/>
        <v>86.592889999999997</v>
      </c>
      <c r="Z222" s="76">
        <f t="shared" si="105"/>
        <v>0.77771000000000001</v>
      </c>
      <c r="AA222" s="162">
        <f t="shared" si="106"/>
        <v>10.469429999999999</v>
      </c>
      <c r="AB222" s="76">
        <f t="shared" si="102"/>
        <v>44.920099999999998</v>
      </c>
      <c r="AC222" s="128">
        <f t="shared" si="107"/>
        <v>44.610469999999999</v>
      </c>
      <c r="AD222" s="76">
        <v>0</v>
      </c>
      <c r="AE222" s="76">
        <v>0</v>
      </c>
      <c r="AF222" s="128">
        <v>0</v>
      </c>
      <c r="AG222" s="11" t="s">
        <v>69</v>
      </c>
      <c r="AH222" s="11" t="s">
        <v>774</v>
      </c>
      <c r="AI222" s="79"/>
      <c r="AJ222" s="79"/>
      <c r="AN222" s="33"/>
      <c r="AO222" s="33"/>
      <c r="AP222" s="33"/>
      <c r="AQ222" s="238" t="s">
        <v>73</v>
      </c>
      <c r="AR222" s="223"/>
      <c r="AS222" s="11">
        <v>0</v>
      </c>
      <c r="AT222" s="11">
        <v>50</v>
      </c>
      <c r="AU222" s="11">
        <v>50</v>
      </c>
      <c r="AV222" s="224">
        <v>0</v>
      </c>
      <c r="AW222" s="33">
        <v>1</v>
      </c>
      <c r="AX222" s="33">
        <f t="shared" si="110"/>
        <v>3.2923873700000001</v>
      </c>
      <c r="AY222" s="33">
        <f t="shared" si="103"/>
        <v>3.1446893149999999</v>
      </c>
      <c r="AZ222" s="33">
        <v>1</v>
      </c>
      <c r="BA222" s="223"/>
      <c r="BB222" s="11">
        <f t="shared" ref="BB222:BB228" si="111">AS222/AW222</f>
        <v>0</v>
      </c>
      <c r="BC222" s="11">
        <f t="shared" ref="BC222:BC228" si="112">AT222/AX222</f>
        <v>15.186548355638966</v>
      </c>
      <c r="BD222" s="11">
        <f t="shared" ref="BD222:BD228" si="113">AU222/AY222</f>
        <v>15.899821887492246</v>
      </c>
      <c r="BE222" s="224">
        <f t="shared" ref="BE222:BE228" si="114">AV222/AZ222</f>
        <v>0</v>
      </c>
    </row>
    <row r="223" spans="1:57" s="11" customFormat="1">
      <c r="A223" s="11" t="s">
        <v>805</v>
      </c>
      <c r="B223" s="77" t="s">
        <v>806</v>
      </c>
      <c r="C223" s="78" t="s">
        <v>162</v>
      </c>
      <c r="D223" s="78" t="s">
        <v>642</v>
      </c>
      <c r="E223" s="11" t="s">
        <v>643</v>
      </c>
      <c r="G223" s="11" t="s">
        <v>644</v>
      </c>
      <c r="H223" s="11" t="s">
        <v>773</v>
      </c>
      <c r="J223" s="11">
        <v>45</v>
      </c>
      <c r="K223" s="11">
        <v>75</v>
      </c>
      <c r="L223" s="11" t="s">
        <v>64</v>
      </c>
      <c r="M223" s="11" t="s">
        <v>26</v>
      </c>
      <c r="N223" s="11" t="s">
        <v>768</v>
      </c>
      <c r="O223" s="11" t="s">
        <v>769</v>
      </c>
      <c r="P223" s="11">
        <v>0</v>
      </c>
      <c r="Q223" s="11" t="s">
        <v>804</v>
      </c>
      <c r="R223" s="126">
        <f t="shared" si="108"/>
        <v>0</v>
      </c>
      <c r="S223" s="75">
        <f t="shared" si="108"/>
        <v>58.893567597327333</v>
      </c>
      <c r="T223" s="75">
        <f t="shared" si="108"/>
        <v>41.106432402672667</v>
      </c>
      <c r="U223" s="75">
        <f t="shared" si="108"/>
        <v>0</v>
      </c>
      <c r="V223" s="126">
        <v>0</v>
      </c>
      <c r="W223" s="127">
        <v>0</v>
      </c>
      <c r="X223" s="76">
        <f t="shared" si="104"/>
        <v>12.6294</v>
      </c>
      <c r="Y223" s="76">
        <f t="shared" si="109"/>
        <v>86.592889999999997</v>
      </c>
      <c r="Z223" s="76">
        <f t="shared" si="105"/>
        <v>0.77771000000000001</v>
      </c>
      <c r="AA223" s="162">
        <f t="shared" si="106"/>
        <v>10.469429999999999</v>
      </c>
      <c r="AB223" s="76">
        <f t="shared" si="102"/>
        <v>44.920099999999998</v>
      </c>
      <c r="AC223" s="128">
        <f t="shared" si="107"/>
        <v>44.610469999999999</v>
      </c>
      <c r="AD223" s="76">
        <v>0</v>
      </c>
      <c r="AE223" s="76">
        <v>0</v>
      </c>
      <c r="AF223" s="128">
        <v>0</v>
      </c>
      <c r="AG223" s="11" t="s">
        <v>69</v>
      </c>
      <c r="AH223" s="11" t="s">
        <v>774</v>
      </c>
      <c r="AI223" s="79"/>
      <c r="AJ223" s="79"/>
      <c r="AN223" s="33"/>
      <c r="AO223" s="33"/>
      <c r="AP223" s="33"/>
      <c r="AQ223" s="238" t="s">
        <v>73</v>
      </c>
      <c r="AR223" s="223"/>
      <c r="AS223" s="11">
        <v>0</v>
      </c>
      <c r="AT223" s="11">
        <v>60</v>
      </c>
      <c r="AU223" s="11">
        <v>40</v>
      </c>
      <c r="AV223" s="224">
        <v>0</v>
      </c>
      <c r="AW223" s="33">
        <v>1</v>
      </c>
      <c r="AX223" s="33">
        <f t="shared" si="110"/>
        <v>3.2923873700000001</v>
      </c>
      <c r="AY223" s="33">
        <f t="shared" si="103"/>
        <v>3.1446893149999999</v>
      </c>
      <c r="AZ223" s="33">
        <v>1</v>
      </c>
      <c r="BA223" s="223"/>
      <c r="BB223" s="11">
        <f t="shared" si="111"/>
        <v>0</v>
      </c>
      <c r="BC223" s="11">
        <f t="shared" si="112"/>
        <v>18.223858026766759</v>
      </c>
      <c r="BD223" s="11">
        <f t="shared" si="113"/>
        <v>12.719857509993798</v>
      </c>
      <c r="BE223" s="224">
        <f t="shared" si="114"/>
        <v>0</v>
      </c>
    </row>
    <row r="224" spans="1:57" s="11" customFormat="1">
      <c r="A224" s="11" t="s">
        <v>807</v>
      </c>
      <c r="B224" s="77" t="s">
        <v>808</v>
      </c>
      <c r="C224" s="78" t="s">
        <v>162</v>
      </c>
      <c r="D224" s="78" t="s">
        <v>642</v>
      </c>
      <c r="E224" s="11" t="s">
        <v>643</v>
      </c>
      <c r="G224" s="11" t="s">
        <v>644</v>
      </c>
      <c r="H224" s="11" t="s">
        <v>773</v>
      </c>
      <c r="J224" s="11">
        <v>45</v>
      </c>
      <c r="K224" s="11">
        <v>75</v>
      </c>
      <c r="L224" s="11" t="s">
        <v>64</v>
      </c>
      <c r="M224" s="11" t="s">
        <v>26</v>
      </c>
      <c r="N224" s="11" t="s">
        <v>768</v>
      </c>
      <c r="O224" s="11" t="s">
        <v>769</v>
      </c>
      <c r="P224" s="11">
        <v>0</v>
      </c>
      <c r="Q224" s="11" t="s">
        <v>809</v>
      </c>
      <c r="R224" s="126">
        <f t="shared" si="108"/>
        <v>0</v>
      </c>
      <c r="S224" s="75">
        <f t="shared" si="108"/>
        <v>38.903676000633389</v>
      </c>
      <c r="T224" s="75">
        <f t="shared" si="108"/>
        <v>61.096323999366611</v>
      </c>
      <c r="U224" s="75">
        <f t="shared" si="108"/>
        <v>0</v>
      </c>
      <c r="V224" s="126">
        <v>0</v>
      </c>
      <c r="W224" s="127">
        <v>0</v>
      </c>
      <c r="X224" s="76">
        <f t="shared" si="104"/>
        <v>12.6294</v>
      </c>
      <c r="Y224" s="76">
        <f t="shared" si="109"/>
        <v>86.592889999999997</v>
      </c>
      <c r="Z224" s="76">
        <f t="shared" si="105"/>
        <v>0.77771000000000001</v>
      </c>
      <c r="AA224" s="162">
        <f t="shared" si="106"/>
        <v>10.469429999999999</v>
      </c>
      <c r="AB224" s="76">
        <f t="shared" si="102"/>
        <v>44.920099999999998</v>
      </c>
      <c r="AC224" s="128">
        <f t="shared" si="107"/>
        <v>44.610469999999999</v>
      </c>
      <c r="AD224" s="76">
        <v>0</v>
      </c>
      <c r="AE224" s="76">
        <v>0</v>
      </c>
      <c r="AF224" s="128">
        <v>0</v>
      </c>
      <c r="AG224" s="11" t="s">
        <v>69</v>
      </c>
      <c r="AH224" s="11" t="s">
        <v>774</v>
      </c>
      <c r="AI224" s="79"/>
      <c r="AJ224" s="79"/>
      <c r="AN224" s="33"/>
      <c r="AO224" s="33"/>
      <c r="AP224" s="33"/>
      <c r="AQ224" s="238" t="s">
        <v>73</v>
      </c>
      <c r="AR224" s="223"/>
      <c r="AS224" s="11">
        <v>0</v>
      </c>
      <c r="AT224" s="11">
        <v>40</v>
      </c>
      <c r="AU224" s="11">
        <v>60</v>
      </c>
      <c r="AV224" s="224">
        <v>0</v>
      </c>
      <c r="AW224" s="33">
        <v>1</v>
      </c>
      <c r="AX224" s="33">
        <f t="shared" si="110"/>
        <v>3.2923873700000001</v>
      </c>
      <c r="AY224" s="33">
        <f t="shared" si="103"/>
        <v>3.1446893149999999</v>
      </c>
      <c r="AZ224" s="33">
        <v>1</v>
      </c>
      <c r="BA224" s="223"/>
      <c r="BB224" s="11">
        <f t="shared" si="111"/>
        <v>0</v>
      </c>
      <c r="BC224" s="11">
        <f t="shared" si="112"/>
        <v>12.149238684511172</v>
      </c>
      <c r="BD224" s="11">
        <f t="shared" si="113"/>
        <v>19.079786264990695</v>
      </c>
      <c r="BE224" s="224">
        <f t="shared" si="114"/>
        <v>0</v>
      </c>
    </row>
    <row r="225" spans="1:57" s="11" customFormat="1">
      <c r="A225" s="11" t="s">
        <v>810</v>
      </c>
      <c r="B225" s="77" t="s">
        <v>811</v>
      </c>
      <c r="C225" s="78" t="s">
        <v>162</v>
      </c>
      <c r="D225" s="78" t="s">
        <v>642</v>
      </c>
      <c r="E225" s="11" t="s">
        <v>643</v>
      </c>
      <c r="G225" s="11" t="s">
        <v>644</v>
      </c>
      <c r="H225" s="11" t="s">
        <v>773</v>
      </c>
      <c r="J225" s="11">
        <v>45</v>
      </c>
      <c r="K225" s="11">
        <v>75</v>
      </c>
      <c r="L225" s="11" t="s">
        <v>64</v>
      </c>
      <c r="M225" s="11" t="s">
        <v>26</v>
      </c>
      <c r="N225" s="11" t="s">
        <v>768</v>
      </c>
      <c r="O225" s="11" t="s">
        <v>769</v>
      </c>
      <c r="P225" s="11">
        <v>0</v>
      </c>
      <c r="Q225" s="11" t="s">
        <v>812</v>
      </c>
      <c r="R225" s="126">
        <f t="shared" si="108"/>
        <v>0</v>
      </c>
      <c r="S225" s="75">
        <f t="shared" si="108"/>
        <v>74.129580558700923</v>
      </c>
      <c r="T225" s="75">
        <f t="shared" si="108"/>
        <v>25.870419441299081</v>
      </c>
      <c r="U225" s="75">
        <f t="shared" si="108"/>
        <v>0</v>
      </c>
      <c r="V225" s="126">
        <v>0</v>
      </c>
      <c r="W225" s="127">
        <v>0</v>
      </c>
      <c r="X225" s="76">
        <f t="shared" si="104"/>
        <v>12.6294</v>
      </c>
      <c r="Y225" s="76">
        <f t="shared" si="109"/>
        <v>86.592889999999997</v>
      </c>
      <c r="Z225" s="76">
        <f t="shared" si="105"/>
        <v>0.77771000000000001</v>
      </c>
      <c r="AA225" s="162">
        <f t="shared" si="106"/>
        <v>10.469429999999999</v>
      </c>
      <c r="AB225" s="76">
        <f t="shared" si="102"/>
        <v>44.920099999999998</v>
      </c>
      <c r="AC225" s="128">
        <f t="shared" si="107"/>
        <v>44.610469999999999</v>
      </c>
      <c r="AD225" s="76">
        <v>0</v>
      </c>
      <c r="AE225" s="76">
        <v>0</v>
      </c>
      <c r="AF225" s="128">
        <v>0</v>
      </c>
      <c r="AG225" s="11" t="s">
        <v>69</v>
      </c>
      <c r="AH225" s="11" t="s">
        <v>774</v>
      </c>
      <c r="AI225" s="79"/>
      <c r="AJ225" s="79"/>
      <c r="AN225" s="33"/>
      <c r="AO225" s="33"/>
      <c r="AP225" s="33"/>
      <c r="AQ225" s="238" t="s">
        <v>73</v>
      </c>
      <c r="AR225" s="223"/>
      <c r="AS225" s="11">
        <v>0</v>
      </c>
      <c r="AT225" s="11">
        <v>75</v>
      </c>
      <c r="AU225" s="11">
        <v>25</v>
      </c>
      <c r="AV225" s="224">
        <v>0</v>
      </c>
      <c r="AW225" s="33">
        <v>1</v>
      </c>
      <c r="AX225" s="33">
        <f t="shared" si="110"/>
        <v>3.2923873700000001</v>
      </c>
      <c r="AY225" s="33">
        <f t="shared" si="103"/>
        <v>3.1446893149999999</v>
      </c>
      <c r="AZ225" s="33">
        <v>1</v>
      </c>
      <c r="BA225" s="223"/>
      <c r="BB225" s="11">
        <f t="shared" si="111"/>
        <v>0</v>
      </c>
      <c r="BC225" s="11">
        <f t="shared" si="112"/>
        <v>22.779822533458447</v>
      </c>
      <c r="BD225" s="11">
        <f t="shared" si="113"/>
        <v>7.9499109437461231</v>
      </c>
      <c r="BE225" s="224">
        <f t="shared" si="114"/>
        <v>0</v>
      </c>
    </row>
    <row r="226" spans="1:57" s="11" customFormat="1">
      <c r="A226" s="11" t="s">
        <v>813</v>
      </c>
      <c r="B226" s="77" t="s">
        <v>814</v>
      </c>
      <c r="C226" s="78" t="s">
        <v>162</v>
      </c>
      <c r="D226" s="78" t="s">
        <v>642</v>
      </c>
      <c r="E226" s="11" t="s">
        <v>643</v>
      </c>
      <c r="G226" s="11" t="s">
        <v>644</v>
      </c>
      <c r="H226" s="11" t="s">
        <v>773</v>
      </c>
      <c r="J226" s="11">
        <v>45</v>
      </c>
      <c r="K226" s="11">
        <v>75</v>
      </c>
      <c r="L226" s="11" t="s">
        <v>64</v>
      </c>
      <c r="M226" s="11" t="s">
        <v>26</v>
      </c>
      <c r="N226" s="11" t="s">
        <v>768</v>
      </c>
      <c r="O226" s="11" t="s">
        <v>769</v>
      </c>
      <c r="P226" s="11">
        <v>0</v>
      </c>
      <c r="Q226" s="11" t="s">
        <v>804</v>
      </c>
      <c r="R226" s="126">
        <f t="shared" si="108"/>
        <v>0</v>
      </c>
      <c r="S226" s="75">
        <f t="shared" si="108"/>
        <v>24.149325716945818</v>
      </c>
      <c r="T226" s="75">
        <f t="shared" si="108"/>
        <v>75.85067428305419</v>
      </c>
      <c r="U226" s="75">
        <f t="shared" si="108"/>
        <v>0</v>
      </c>
      <c r="V226" s="126">
        <v>0</v>
      </c>
      <c r="W226" s="127">
        <v>0</v>
      </c>
      <c r="X226" s="76">
        <f t="shared" si="104"/>
        <v>12.6294</v>
      </c>
      <c r="Y226" s="76">
        <f t="shared" si="109"/>
        <v>86.592889999999997</v>
      </c>
      <c r="Z226" s="76">
        <f t="shared" si="105"/>
        <v>0.77771000000000001</v>
      </c>
      <c r="AA226" s="162">
        <f t="shared" si="106"/>
        <v>10.469429999999999</v>
      </c>
      <c r="AB226" s="76">
        <f t="shared" si="102"/>
        <v>44.920099999999998</v>
      </c>
      <c r="AC226" s="128">
        <f t="shared" si="107"/>
        <v>44.610469999999999</v>
      </c>
      <c r="AD226" s="76">
        <v>0</v>
      </c>
      <c r="AE226" s="76">
        <v>0</v>
      </c>
      <c r="AF226" s="128">
        <v>0</v>
      </c>
      <c r="AG226" s="11" t="s">
        <v>262</v>
      </c>
      <c r="AH226" s="11" t="s">
        <v>774</v>
      </c>
      <c r="AI226" s="79"/>
      <c r="AJ226" s="79"/>
      <c r="AN226" s="33"/>
      <c r="AO226" s="33"/>
      <c r="AP226" s="33"/>
      <c r="AQ226" s="238" t="s">
        <v>73</v>
      </c>
      <c r="AR226" s="223"/>
      <c r="AS226" s="11">
        <v>0</v>
      </c>
      <c r="AT226" s="11">
        <v>25</v>
      </c>
      <c r="AU226" s="11">
        <v>75</v>
      </c>
      <c r="AV226" s="224">
        <v>0</v>
      </c>
      <c r="AW226" s="33">
        <v>1</v>
      </c>
      <c r="AX226" s="33">
        <f t="shared" si="110"/>
        <v>3.2923873700000001</v>
      </c>
      <c r="AY226" s="33">
        <f t="shared" si="103"/>
        <v>3.1446893149999999</v>
      </c>
      <c r="AZ226" s="33">
        <v>1</v>
      </c>
      <c r="BA226" s="223"/>
      <c r="BB226" s="11">
        <f t="shared" si="111"/>
        <v>0</v>
      </c>
      <c r="BC226" s="11">
        <f t="shared" si="112"/>
        <v>7.5932741778194828</v>
      </c>
      <c r="BD226" s="11">
        <f t="shared" si="113"/>
        <v>23.84973283123837</v>
      </c>
      <c r="BE226" s="224">
        <f t="shared" si="114"/>
        <v>0</v>
      </c>
    </row>
    <row r="227" spans="1:57" s="11" customFormat="1">
      <c r="A227" s="11" t="s">
        <v>815</v>
      </c>
      <c r="B227" s="77" t="s">
        <v>816</v>
      </c>
      <c r="C227" s="78" t="s">
        <v>162</v>
      </c>
      <c r="D227" s="78" t="s">
        <v>642</v>
      </c>
      <c r="E227" s="11" t="s">
        <v>643</v>
      </c>
      <c r="G227" s="11" t="s">
        <v>644</v>
      </c>
      <c r="H227" s="11" t="s">
        <v>773</v>
      </c>
      <c r="J227" s="11">
        <v>45</v>
      </c>
      <c r="K227" s="11">
        <v>75</v>
      </c>
      <c r="L227" s="11" t="s">
        <v>64</v>
      </c>
      <c r="M227" s="11" t="s">
        <v>26</v>
      </c>
      <c r="N227" s="11" t="s">
        <v>768</v>
      </c>
      <c r="O227" s="11" t="s">
        <v>769</v>
      </c>
      <c r="P227" s="11">
        <v>0</v>
      </c>
      <c r="Q227" s="11" t="s">
        <v>804</v>
      </c>
      <c r="R227" s="126">
        <f t="shared" si="108"/>
        <v>0</v>
      </c>
      <c r="S227" s="75">
        <f t="shared" si="108"/>
        <v>84.405354293604461</v>
      </c>
      <c r="T227" s="75">
        <f t="shared" si="108"/>
        <v>15.594645706395543</v>
      </c>
      <c r="U227" s="75">
        <f t="shared" si="108"/>
        <v>0</v>
      </c>
      <c r="V227" s="126">
        <v>0</v>
      </c>
      <c r="W227" s="127">
        <v>0</v>
      </c>
      <c r="X227" s="76">
        <f t="shared" si="104"/>
        <v>12.6294</v>
      </c>
      <c r="Y227" s="76">
        <f t="shared" si="109"/>
        <v>86.592889999999997</v>
      </c>
      <c r="Z227" s="76">
        <f t="shared" si="105"/>
        <v>0.77771000000000001</v>
      </c>
      <c r="AA227" s="162">
        <f t="shared" si="106"/>
        <v>10.469429999999999</v>
      </c>
      <c r="AB227" s="76">
        <f t="shared" si="102"/>
        <v>44.920099999999998</v>
      </c>
      <c r="AC227" s="128">
        <f t="shared" si="107"/>
        <v>44.610469999999999</v>
      </c>
      <c r="AD227" s="76">
        <v>0</v>
      </c>
      <c r="AE227" s="76">
        <v>0</v>
      </c>
      <c r="AF227" s="128">
        <v>0</v>
      </c>
      <c r="AG227" s="11" t="s">
        <v>69</v>
      </c>
      <c r="AH227" s="11" t="s">
        <v>774</v>
      </c>
      <c r="AI227" s="79"/>
      <c r="AJ227" s="79"/>
      <c r="AN227" s="33"/>
      <c r="AO227" s="33"/>
      <c r="AP227" s="33"/>
      <c r="AQ227" s="238" t="s">
        <v>73</v>
      </c>
      <c r="AR227" s="223"/>
      <c r="AS227" s="11">
        <v>0</v>
      </c>
      <c r="AT227" s="11">
        <v>85</v>
      </c>
      <c r="AU227" s="11">
        <v>15</v>
      </c>
      <c r="AV227" s="224">
        <v>0</v>
      </c>
      <c r="AW227" s="33">
        <v>1</v>
      </c>
      <c r="AX227" s="33">
        <f t="shared" si="110"/>
        <v>3.2923873700000001</v>
      </c>
      <c r="AY227" s="33">
        <f t="shared" si="103"/>
        <v>3.1446893149999999</v>
      </c>
      <c r="AZ227" s="33">
        <v>1</v>
      </c>
      <c r="BA227" s="223"/>
      <c r="BB227" s="11">
        <f t="shared" si="111"/>
        <v>0</v>
      </c>
      <c r="BC227" s="11">
        <f t="shared" si="112"/>
        <v>25.81713220458624</v>
      </c>
      <c r="BD227" s="11">
        <f t="shared" si="113"/>
        <v>4.7699465662476737</v>
      </c>
      <c r="BE227" s="224">
        <f t="shared" si="114"/>
        <v>0</v>
      </c>
    </row>
    <row r="228" spans="1:57" s="11" customFormat="1">
      <c r="A228" s="11" t="s">
        <v>817</v>
      </c>
      <c r="B228" s="77" t="s">
        <v>818</v>
      </c>
      <c r="C228" s="78" t="s">
        <v>162</v>
      </c>
      <c r="D228" s="78" t="s">
        <v>642</v>
      </c>
      <c r="E228" s="11" t="s">
        <v>643</v>
      </c>
      <c r="G228" s="11" t="s">
        <v>644</v>
      </c>
      <c r="H228" s="11" t="s">
        <v>773</v>
      </c>
      <c r="J228" s="11">
        <v>45</v>
      </c>
      <c r="K228" s="11">
        <v>75</v>
      </c>
      <c r="L228" s="11" t="s">
        <v>64</v>
      </c>
      <c r="M228" s="11" t="s">
        <v>26</v>
      </c>
      <c r="N228" s="11" t="s">
        <v>768</v>
      </c>
      <c r="O228" s="11" t="s">
        <v>769</v>
      </c>
      <c r="P228" s="11">
        <v>0</v>
      </c>
      <c r="Q228" s="11" t="s">
        <v>804</v>
      </c>
      <c r="R228" s="126">
        <f t="shared" si="108"/>
        <v>0</v>
      </c>
      <c r="S228" s="75">
        <f t="shared" si="108"/>
        <v>14.424154059961511</v>
      </c>
      <c r="T228" s="75">
        <f t="shared" si="108"/>
        <v>85.575845940038491</v>
      </c>
      <c r="U228" s="75">
        <f t="shared" si="108"/>
        <v>0</v>
      </c>
      <c r="V228" s="126">
        <v>0</v>
      </c>
      <c r="W228" s="127">
        <v>0</v>
      </c>
      <c r="X228" s="76">
        <f t="shared" si="104"/>
        <v>12.6294</v>
      </c>
      <c r="Y228" s="76">
        <f t="shared" si="109"/>
        <v>86.592889999999997</v>
      </c>
      <c r="Z228" s="76">
        <f t="shared" si="105"/>
        <v>0.77771000000000001</v>
      </c>
      <c r="AA228" s="162">
        <f t="shared" si="106"/>
        <v>10.469429999999999</v>
      </c>
      <c r="AB228" s="76">
        <f t="shared" si="102"/>
        <v>44.920099999999998</v>
      </c>
      <c r="AC228" s="128">
        <f t="shared" si="107"/>
        <v>44.610469999999999</v>
      </c>
      <c r="AD228" s="76">
        <v>0</v>
      </c>
      <c r="AE228" s="76">
        <v>0</v>
      </c>
      <c r="AF228" s="128">
        <v>0</v>
      </c>
      <c r="AG228" s="11" t="s">
        <v>262</v>
      </c>
      <c r="AH228" s="11" t="s">
        <v>774</v>
      </c>
      <c r="AI228" s="79"/>
      <c r="AJ228" s="79"/>
      <c r="AN228" s="33"/>
      <c r="AO228" s="33"/>
      <c r="AP228" s="33"/>
      <c r="AQ228" s="239" t="s">
        <v>73</v>
      </c>
      <c r="AR228" s="225"/>
      <c r="AS228" s="226">
        <v>0</v>
      </c>
      <c r="AT228" s="226">
        <v>15</v>
      </c>
      <c r="AU228" s="226">
        <v>85</v>
      </c>
      <c r="AV228" s="227">
        <v>0</v>
      </c>
      <c r="AW228" s="168">
        <v>1</v>
      </c>
      <c r="AX228" s="168">
        <f t="shared" si="110"/>
        <v>3.2923873700000001</v>
      </c>
      <c r="AY228" s="168">
        <f t="shared" si="103"/>
        <v>3.1446893149999999</v>
      </c>
      <c r="AZ228" s="168">
        <v>1</v>
      </c>
      <c r="BA228" s="225"/>
      <c r="BB228" s="226">
        <f t="shared" si="111"/>
        <v>0</v>
      </c>
      <c r="BC228" s="226">
        <f t="shared" si="112"/>
        <v>4.5559645066916898</v>
      </c>
      <c r="BD228" s="226">
        <f t="shared" si="113"/>
        <v>27.02969720873682</v>
      </c>
      <c r="BE228" s="227">
        <f t="shared" si="114"/>
        <v>0</v>
      </c>
    </row>
    <row r="229" spans="1:57" s="16" customFormat="1">
      <c r="A229" s="16" t="s">
        <v>819</v>
      </c>
      <c r="B229" s="81" t="s">
        <v>820</v>
      </c>
      <c r="C229" s="82" t="s">
        <v>106</v>
      </c>
      <c r="D229" s="82" t="s">
        <v>642</v>
      </c>
      <c r="E229" s="16" t="s">
        <v>643</v>
      </c>
      <c r="G229" s="16" t="s">
        <v>821</v>
      </c>
      <c r="H229" s="16" t="s">
        <v>822</v>
      </c>
      <c r="J229" s="16">
        <v>0</v>
      </c>
      <c r="K229" s="16">
        <v>45</v>
      </c>
      <c r="L229" s="16" t="s">
        <v>64</v>
      </c>
      <c r="M229" s="16" t="s">
        <v>65</v>
      </c>
      <c r="N229" s="16" t="s">
        <v>823</v>
      </c>
      <c r="O229" s="16" t="s">
        <v>646</v>
      </c>
      <c r="P229" s="16">
        <v>637</v>
      </c>
      <c r="Q229" s="16" t="s">
        <v>647</v>
      </c>
      <c r="R229" s="129">
        <v>0</v>
      </c>
      <c r="S229" s="83">
        <f t="shared" ref="S229:S292" si="115">100 - R229 - U229 - T229</f>
        <v>0</v>
      </c>
      <c r="T229" s="83">
        <v>0</v>
      </c>
      <c r="U229" s="83">
        <v>100</v>
      </c>
      <c r="V229" s="129">
        <v>0</v>
      </c>
      <c r="W229" s="153">
        <f t="shared" ref="W229:W292" si="116">IF($R229 &gt; 0, 100 - $V229, 0)</f>
        <v>0</v>
      </c>
      <c r="X229" s="84">
        <v>0</v>
      </c>
      <c r="Y229" s="83">
        <f t="shared" ref="Y229:Y292" si="117">IF($S229 &gt; 0, 100 - $X229 - $Z229, 0)</f>
        <v>0</v>
      </c>
      <c r="Z229" s="84">
        <v>0</v>
      </c>
      <c r="AA229" s="163">
        <v>0</v>
      </c>
      <c r="AB229" s="83">
        <f t="shared" ref="AB229:AB292" si="118">IF($T229 &gt; 0, 100 - $AA229 - $AC229, 0)</f>
        <v>0</v>
      </c>
      <c r="AC229" s="130">
        <v>0</v>
      </c>
      <c r="AD229" s="84">
        <f>INDEX(Chemical_analyses!$A:$N, MATCH($P229, Chemical_analyses!$A:$A), 12)/$T$2/(INDEX(Chemical_analyses!$A:$N, MATCH($P229, Chemical_analyses!$A:$A), 12)/$T$2+INDEX(Chemical_analyses!$A:$N, MATCH($P229, Chemical_analyses!$A:$A), 13)/$U$2+INDEX(Chemical_analyses!$A:$N, MATCH($P229, Chemical_analyses!$A:$A), 14)/$V$2)*100</f>
        <v>67.869796124135235</v>
      </c>
      <c r="AE229" s="84">
        <f t="shared" ref="AE229:AE292" si="119">IF($U229 &gt; 0, 100 - $AD229 - $AF229, 0)</f>
        <v>31.06384928786817</v>
      </c>
      <c r="AF229" s="130">
        <f>INDEX(Chemical_analyses!$A:$N, MATCH($P229, Chemical_analyses!$A:$A), 14)/$V$2/(INDEX(Chemical_analyses!$A:$N, MATCH($P229, Chemical_analyses!$A:$A), 12)/$T$2+INDEX(Chemical_analyses!$A:$N, MATCH($P229, Chemical_analyses!$A:$A), 13)/$U$2+INDEX(Chemical_analyses!$A:$N, MATCH($P229, Chemical_analyses!$A:$A), 14)/$V$2)*100</f>
        <v>1.066354587996595</v>
      </c>
      <c r="AG229" s="16" t="s">
        <v>69</v>
      </c>
      <c r="AH229" s="16" t="str">
        <f>_xlfn.CONCAT("CaO: ", INDEX(Chemical_analyses!$A:$N, MATCH($P229, Chemical_analyses!$A:$A), 12), ", Na2O: ", INDEX(Chemical_analyses!$A:$N, MATCH($P229, Chemical_analyses!$A:$A), 13), ", K2O: ", INDEX(Chemical_analyses!$A:$N, MATCH($P229, Chemical_analyses!$A:$A), 14), ", MnO: ", INDEX(Chemical_analyses!$A:$M, MATCH($P229, Chemical_analyses!$A:$A), 10), ", Al2O3: ", INDEX(Chemical_analyses!$A:$M, MATCH($P229, Chemical_analyses!$A:$A), 6))</f>
        <v>CaO: 13.64, Na2O: 3.45, K2O: 0.18, MnO: 0.01, Al2O3: 30.91</v>
      </c>
      <c r="AI229" s="85"/>
      <c r="AJ229" s="85"/>
      <c r="AN229" s="30"/>
      <c r="AO229" s="30"/>
      <c r="AP229" s="30"/>
      <c r="AQ229" s="30"/>
      <c r="AW229" s="30"/>
      <c r="AX229" s="30"/>
      <c r="AY229" s="30"/>
      <c r="AZ229" s="30"/>
    </row>
    <row r="230" spans="1:57" s="16" customFormat="1">
      <c r="A230" s="86" t="s">
        <v>824</v>
      </c>
      <c r="B230" s="86" t="s">
        <v>825</v>
      </c>
      <c r="C230" s="87" t="s">
        <v>162</v>
      </c>
      <c r="D230" s="87" t="s">
        <v>642</v>
      </c>
      <c r="E230" s="86" t="s">
        <v>643</v>
      </c>
      <c r="F230" s="86"/>
      <c r="G230" s="86" t="s">
        <v>821</v>
      </c>
      <c r="H230" s="86" t="s">
        <v>826</v>
      </c>
      <c r="J230" s="88">
        <v>0</v>
      </c>
      <c r="K230" s="86">
        <v>25</v>
      </c>
      <c r="L230" s="16" t="s">
        <v>64</v>
      </c>
      <c r="M230" s="16" t="s">
        <v>65</v>
      </c>
      <c r="N230" s="86" t="s">
        <v>827</v>
      </c>
      <c r="O230" s="86" t="s">
        <v>828</v>
      </c>
      <c r="P230" s="16">
        <v>0</v>
      </c>
      <c r="R230" s="129">
        <v>0</v>
      </c>
      <c r="S230" s="83">
        <f t="shared" si="115"/>
        <v>0</v>
      </c>
      <c r="T230" s="83">
        <v>0</v>
      </c>
      <c r="U230" s="83">
        <v>100</v>
      </c>
      <c r="V230" s="129">
        <v>0</v>
      </c>
      <c r="W230" s="153">
        <f t="shared" si="116"/>
        <v>0</v>
      </c>
      <c r="X230" s="84">
        <v>0</v>
      </c>
      <c r="Y230" s="83">
        <f t="shared" si="117"/>
        <v>0</v>
      </c>
      <c r="Z230" s="84">
        <v>0</v>
      </c>
      <c r="AA230" s="163">
        <v>0</v>
      </c>
      <c r="AB230" s="83">
        <f t="shared" si="118"/>
        <v>0</v>
      </c>
      <c r="AC230" s="130">
        <v>0</v>
      </c>
      <c r="AD230" s="84">
        <v>48</v>
      </c>
      <c r="AE230" s="84">
        <f t="shared" si="119"/>
        <v>52</v>
      </c>
      <c r="AF230" s="130">
        <v>0</v>
      </c>
      <c r="AG230" s="16" t="s">
        <v>69</v>
      </c>
      <c r="AH230" s="89" t="s">
        <v>829</v>
      </c>
      <c r="AJ230" s="85"/>
      <c r="AN230" s="30"/>
      <c r="AO230" s="30"/>
      <c r="AP230" s="30"/>
      <c r="AQ230" s="30"/>
      <c r="AW230" s="30"/>
      <c r="AX230" s="30"/>
      <c r="AY230" s="30"/>
      <c r="AZ230" s="30"/>
    </row>
    <row r="231" spans="1:57" s="16" customFormat="1">
      <c r="A231" s="86" t="s">
        <v>830</v>
      </c>
      <c r="B231" s="86" t="s">
        <v>831</v>
      </c>
      <c r="C231" s="87" t="s">
        <v>162</v>
      </c>
      <c r="D231" s="87" t="s">
        <v>642</v>
      </c>
      <c r="E231" s="86" t="s">
        <v>643</v>
      </c>
      <c r="F231" s="86"/>
      <c r="G231" s="86" t="s">
        <v>821</v>
      </c>
      <c r="H231" s="86" t="s">
        <v>832</v>
      </c>
      <c r="J231" s="88">
        <v>0</v>
      </c>
      <c r="K231" s="86">
        <v>25</v>
      </c>
      <c r="L231" s="16" t="s">
        <v>64</v>
      </c>
      <c r="M231" s="16" t="s">
        <v>65</v>
      </c>
      <c r="N231" s="86" t="s">
        <v>833</v>
      </c>
      <c r="O231" s="86" t="s">
        <v>828</v>
      </c>
      <c r="P231" s="16">
        <v>0</v>
      </c>
      <c r="R231" s="129">
        <v>0</v>
      </c>
      <c r="S231" s="83">
        <f t="shared" si="115"/>
        <v>0</v>
      </c>
      <c r="T231" s="83">
        <v>0</v>
      </c>
      <c r="U231" s="83">
        <v>100</v>
      </c>
      <c r="V231" s="129">
        <v>0</v>
      </c>
      <c r="W231" s="153">
        <f t="shared" si="116"/>
        <v>0</v>
      </c>
      <c r="X231" s="84">
        <v>0</v>
      </c>
      <c r="Y231" s="83">
        <f t="shared" si="117"/>
        <v>0</v>
      </c>
      <c r="Z231" s="84">
        <v>0</v>
      </c>
      <c r="AA231" s="163">
        <v>0</v>
      </c>
      <c r="AB231" s="83">
        <f t="shared" si="118"/>
        <v>0</v>
      </c>
      <c r="AC231" s="130">
        <v>0</v>
      </c>
      <c r="AD231" s="84">
        <v>1</v>
      </c>
      <c r="AE231" s="84">
        <f t="shared" si="119"/>
        <v>99</v>
      </c>
      <c r="AF231" s="130">
        <v>0</v>
      </c>
      <c r="AG231" s="16" t="s">
        <v>69</v>
      </c>
      <c r="AH231" s="89" t="s">
        <v>829</v>
      </c>
      <c r="AI231" s="85"/>
      <c r="AJ231" s="85"/>
      <c r="AN231" s="30"/>
      <c r="AO231" s="30"/>
      <c r="AP231" s="30"/>
      <c r="AQ231" s="30"/>
      <c r="AW231" s="30"/>
      <c r="AX231" s="30"/>
      <c r="AY231" s="30"/>
      <c r="AZ231" s="30"/>
    </row>
    <row r="232" spans="1:57" s="16" customFormat="1">
      <c r="A232" s="86" t="s">
        <v>834</v>
      </c>
      <c r="B232" s="86" t="s">
        <v>835</v>
      </c>
      <c r="C232" s="87" t="s">
        <v>162</v>
      </c>
      <c r="D232" s="87" t="s">
        <v>642</v>
      </c>
      <c r="E232" s="86" t="s">
        <v>643</v>
      </c>
      <c r="F232" s="86"/>
      <c r="G232" s="86" t="s">
        <v>821</v>
      </c>
      <c r="H232" s="86" t="s">
        <v>826</v>
      </c>
      <c r="J232" s="88">
        <v>0</v>
      </c>
      <c r="K232" s="86">
        <v>25</v>
      </c>
      <c r="L232" s="16" t="s">
        <v>64</v>
      </c>
      <c r="M232" s="16" t="s">
        <v>65</v>
      </c>
      <c r="N232" s="86" t="s">
        <v>836</v>
      </c>
      <c r="O232" s="86" t="s">
        <v>837</v>
      </c>
      <c r="P232" s="16">
        <v>0</v>
      </c>
      <c r="R232" s="129">
        <v>0</v>
      </c>
      <c r="S232" s="83">
        <f t="shared" si="115"/>
        <v>0</v>
      </c>
      <c r="T232" s="83">
        <v>0</v>
      </c>
      <c r="U232" s="83">
        <v>100</v>
      </c>
      <c r="V232" s="129">
        <v>0</v>
      </c>
      <c r="W232" s="153">
        <f t="shared" si="116"/>
        <v>0</v>
      </c>
      <c r="X232" s="84">
        <v>0</v>
      </c>
      <c r="Y232" s="83">
        <f t="shared" si="117"/>
        <v>0</v>
      </c>
      <c r="Z232" s="84">
        <v>0</v>
      </c>
      <c r="AA232" s="163">
        <v>0</v>
      </c>
      <c r="AB232" s="83">
        <f t="shared" si="118"/>
        <v>0</v>
      </c>
      <c r="AC232" s="130">
        <v>0</v>
      </c>
      <c r="AD232" s="84">
        <v>62</v>
      </c>
      <c r="AE232" s="84">
        <f t="shared" si="119"/>
        <v>38</v>
      </c>
      <c r="AF232" s="130">
        <v>0</v>
      </c>
      <c r="AG232" s="16" t="s">
        <v>69</v>
      </c>
      <c r="AH232" s="89" t="s">
        <v>829</v>
      </c>
      <c r="AI232" s="85"/>
      <c r="AJ232" s="85"/>
      <c r="AN232" s="30"/>
      <c r="AO232" s="30"/>
      <c r="AP232" s="30"/>
      <c r="AQ232" s="30"/>
      <c r="AW232" s="30"/>
      <c r="AX232" s="30"/>
      <c r="AY232" s="30"/>
      <c r="AZ232" s="30"/>
    </row>
    <row r="233" spans="1:57" s="16" customFormat="1">
      <c r="A233" s="86" t="s">
        <v>838</v>
      </c>
      <c r="B233" s="86" t="s">
        <v>839</v>
      </c>
      <c r="C233" s="87" t="s">
        <v>162</v>
      </c>
      <c r="D233" s="87" t="s">
        <v>642</v>
      </c>
      <c r="E233" s="86" t="s">
        <v>643</v>
      </c>
      <c r="F233" s="86"/>
      <c r="G233" s="86" t="s">
        <v>821</v>
      </c>
      <c r="H233" s="86" t="s">
        <v>840</v>
      </c>
      <c r="J233" s="88">
        <v>0</v>
      </c>
      <c r="K233" s="86">
        <v>25</v>
      </c>
      <c r="L233" s="16" t="s">
        <v>64</v>
      </c>
      <c r="M233" s="16" t="s">
        <v>65</v>
      </c>
      <c r="N233" s="86" t="s">
        <v>836</v>
      </c>
      <c r="O233" s="86" t="s">
        <v>841</v>
      </c>
      <c r="P233" s="16">
        <v>0</v>
      </c>
      <c r="Q233" s="16" t="s">
        <v>842</v>
      </c>
      <c r="R233" s="129">
        <v>0</v>
      </c>
      <c r="S233" s="83">
        <f t="shared" si="115"/>
        <v>0</v>
      </c>
      <c r="T233" s="83">
        <v>0</v>
      </c>
      <c r="U233" s="83">
        <v>100</v>
      </c>
      <c r="V233" s="129">
        <v>0</v>
      </c>
      <c r="W233" s="153">
        <f t="shared" si="116"/>
        <v>0</v>
      </c>
      <c r="X233" s="84">
        <v>0</v>
      </c>
      <c r="Y233" s="83">
        <f t="shared" si="117"/>
        <v>0</v>
      </c>
      <c r="Z233" s="84">
        <v>0</v>
      </c>
      <c r="AA233" s="163">
        <v>0</v>
      </c>
      <c r="AB233" s="83">
        <f t="shared" si="118"/>
        <v>0</v>
      </c>
      <c r="AC233" s="130">
        <v>0</v>
      </c>
      <c r="AD233" s="84">
        <v>60</v>
      </c>
      <c r="AE233" s="84">
        <f t="shared" si="119"/>
        <v>40</v>
      </c>
      <c r="AF233" s="130">
        <v>0</v>
      </c>
      <c r="AG233" s="16" t="s">
        <v>69</v>
      </c>
      <c r="AH233" s="16" t="s">
        <v>829</v>
      </c>
      <c r="AI233" s="85"/>
      <c r="AJ233" s="85"/>
      <c r="AN233" s="30"/>
      <c r="AO233" s="30"/>
      <c r="AP233" s="30"/>
      <c r="AQ233" s="30"/>
      <c r="AW233" s="30"/>
      <c r="AX233" s="30"/>
      <c r="AY233" s="30"/>
      <c r="AZ233" s="30"/>
    </row>
    <row r="234" spans="1:57" s="16" customFormat="1">
      <c r="A234" s="16" t="s">
        <v>843</v>
      </c>
      <c r="B234" s="81" t="s">
        <v>844</v>
      </c>
      <c r="C234" s="82" t="s">
        <v>162</v>
      </c>
      <c r="D234" s="82" t="s">
        <v>279</v>
      </c>
      <c r="E234" s="16" t="s">
        <v>643</v>
      </c>
      <c r="G234" s="16" t="s">
        <v>821</v>
      </c>
      <c r="H234" s="16" t="s">
        <v>845</v>
      </c>
      <c r="J234" s="16">
        <v>0</v>
      </c>
      <c r="K234" s="16">
        <v>125</v>
      </c>
      <c r="L234" s="16" t="s">
        <v>64</v>
      </c>
      <c r="M234" s="16" t="s">
        <v>65</v>
      </c>
      <c r="N234" s="16" t="s">
        <v>846</v>
      </c>
      <c r="O234" s="16" t="s">
        <v>847</v>
      </c>
      <c r="P234" s="16">
        <v>675</v>
      </c>
      <c r="Q234" s="16" t="s">
        <v>848</v>
      </c>
      <c r="R234" s="129">
        <v>0</v>
      </c>
      <c r="S234" s="83">
        <f t="shared" si="115"/>
        <v>0</v>
      </c>
      <c r="T234" s="83">
        <v>0</v>
      </c>
      <c r="U234" s="83">
        <v>100</v>
      </c>
      <c r="V234" s="129">
        <v>0</v>
      </c>
      <c r="W234" s="153">
        <f t="shared" si="116"/>
        <v>0</v>
      </c>
      <c r="X234" s="84">
        <v>0</v>
      </c>
      <c r="Y234" s="83">
        <f t="shared" si="117"/>
        <v>0</v>
      </c>
      <c r="Z234" s="84">
        <v>0</v>
      </c>
      <c r="AA234" s="163">
        <v>0</v>
      </c>
      <c r="AB234" s="83">
        <f t="shared" si="118"/>
        <v>0</v>
      </c>
      <c r="AC234" s="130">
        <v>0</v>
      </c>
      <c r="AD234" s="84">
        <f>INDEX(Chemical_analyses!$A:$N, MATCH($P234, Chemical_analyses!$A:$A), 12)/$T$2/(INDEX(Chemical_analyses!$A:$N, MATCH($P234, Chemical_analyses!$A:$A), 12)/$T$2+INDEX(Chemical_analyses!$A:$N, MATCH($P234, Chemical_analyses!$A:$A), 13)/$U$2+INDEX(Chemical_analyses!$A:$N, MATCH($P234, Chemical_analyses!$A:$A), 14)/$V$2)*100</f>
        <v>90.913241468967669</v>
      </c>
      <c r="AE234" s="84">
        <f t="shared" si="119"/>
        <v>8.9073526047504608</v>
      </c>
      <c r="AF234" s="130">
        <f>INDEX(Chemical_analyses!$A:$N, MATCH($P234, Chemical_analyses!$A:$A), 14)/$V$2/(INDEX(Chemical_analyses!$A:$N, MATCH($P234, Chemical_analyses!$A:$A), 12)/$T$2+INDEX(Chemical_analyses!$A:$N, MATCH($P234, Chemical_analyses!$A:$A), 13)/$U$2+INDEX(Chemical_analyses!$A:$N, MATCH($P234, Chemical_analyses!$A:$A), 14)/$V$2)*100</f>
        <v>0.17940592628186955</v>
      </c>
      <c r="AG234" s="16" t="s">
        <v>69</v>
      </c>
      <c r="AH234" s="16" t="str">
        <f>_xlfn.CONCAT("CaO: ", INDEX(Chemical_analyses!$A:$N, MATCH($P234, Chemical_analyses!$A:$A), 12), ", Na2O: ", INDEX(Chemical_analyses!$A:$N, MATCH($P234, Chemical_analyses!$A:$A), 13), ", K2O: ", INDEX(Chemical_analyses!$A:$N, MATCH($P234, Chemical_analyses!$A:$A), 14), ", MnO: ", INDEX(Chemical_analyses!$A:$M, MATCH($P234, Chemical_analyses!$A:$A), 10), ", Al2O3: ", INDEX(Chemical_analyses!$A:$M, MATCH($P234, Chemical_analyses!$A:$A), 6))</f>
        <v>CaO: 18.1, Na2O: 0.98, K2O: 0.03, MnO: 0, Al2O3: 33.2</v>
      </c>
      <c r="AI234" s="85"/>
      <c r="AJ234" s="85"/>
      <c r="AN234" s="30"/>
      <c r="AO234" s="30"/>
      <c r="AP234" s="30"/>
      <c r="AQ234" s="30"/>
      <c r="AW234" s="30"/>
      <c r="AX234" s="30"/>
      <c r="AY234" s="30"/>
      <c r="AZ234" s="30"/>
    </row>
    <row r="235" spans="1:57" s="16" customFormat="1">
      <c r="A235" s="16" t="s">
        <v>849</v>
      </c>
      <c r="B235" s="81" t="s">
        <v>850</v>
      </c>
      <c r="C235" s="82" t="s">
        <v>162</v>
      </c>
      <c r="D235" s="82" t="s">
        <v>279</v>
      </c>
      <c r="E235" s="16" t="s">
        <v>643</v>
      </c>
      <c r="G235" s="16" t="s">
        <v>821</v>
      </c>
      <c r="H235" s="16" t="s">
        <v>845</v>
      </c>
      <c r="J235" s="16">
        <v>0</v>
      </c>
      <c r="K235" s="16">
        <v>125</v>
      </c>
      <c r="L235" s="16" t="s">
        <v>64</v>
      </c>
      <c r="M235" s="16" t="s">
        <v>65</v>
      </c>
      <c r="N235" s="16" t="s">
        <v>846</v>
      </c>
      <c r="O235" s="16" t="s">
        <v>847</v>
      </c>
      <c r="P235" s="16">
        <v>665</v>
      </c>
      <c r="Q235" s="16" t="s">
        <v>848</v>
      </c>
      <c r="R235" s="129">
        <v>0</v>
      </c>
      <c r="S235" s="83">
        <f t="shared" si="115"/>
        <v>0</v>
      </c>
      <c r="T235" s="83">
        <v>0</v>
      </c>
      <c r="U235" s="83">
        <v>100</v>
      </c>
      <c r="V235" s="129">
        <v>0</v>
      </c>
      <c r="W235" s="153">
        <f t="shared" si="116"/>
        <v>0</v>
      </c>
      <c r="X235" s="84">
        <v>0</v>
      </c>
      <c r="Y235" s="83">
        <f t="shared" si="117"/>
        <v>0</v>
      </c>
      <c r="Z235" s="84">
        <v>0</v>
      </c>
      <c r="AA235" s="163">
        <v>0</v>
      </c>
      <c r="AB235" s="83">
        <f t="shared" si="118"/>
        <v>0</v>
      </c>
      <c r="AC235" s="130">
        <v>0</v>
      </c>
      <c r="AD235" s="84">
        <f>INDEX(Chemical_analyses!$A:$N, MATCH($P235, Chemical_analyses!$A:$A), 12)/$T$2/(INDEX(Chemical_analyses!$A:$N, MATCH($P235, Chemical_analyses!$A:$A), 12)/$T$2+INDEX(Chemical_analyses!$A:$N, MATCH($P235, Chemical_analyses!$A:$A), 13)/$U$2+INDEX(Chemical_analyses!$A:$N, MATCH($P235, Chemical_analyses!$A:$A), 14)/$V$2)*100</f>
        <v>91.515935342012654</v>
      </c>
      <c r="AE235" s="84">
        <f t="shared" si="119"/>
        <v>8.1911637315354948</v>
      </c>
      <c r="AF235" s="130">
        <f>INDEX(Chemical_analyses!$A:$N, MATCH($P235, Chemical_analyses!$A:$A), 14)/$V$2/(INDEX(Chemical_analyses!$A:$N, MATCH($P235, Chemical_analyses!$A:$A), 12)/$T$2+INDEX(Chemical_analyses!$A:$N, MATCH($P235, Chemical_analyses!$A:$A), 13)/$U$2+INDEX(Chemical_analyses!$A:$N, MATCH($P235, Chemical_analyses!$A:$A), 14)/$V$2)*100</f>
        <v>0.29290092645185145</v>
      </c>
      <c r="AG235" s="16" t="s">
        <v>69</v>
      </c>
      <c r="AH235" s="16" t="str">
        <f>_xlfn.CONCAT("CaO: ", INDEX(Chemical_analyses!$A:$N, MATCH($P235, Chemical_analyses!$A:$A), 12), ", Na2O: ", INDEX(Chemical_analyses!$A:$N, MATCH($P235, Chemical_analyses!$A:$A), 13), ", K2O: ", INDEX(Chemical_analyses!$A:$N, MATCH($P235, Chemical_analyses!$A:$A), 14), ", MnO: ", INDEX(Chemical_analyses!$A:$M, MATCH($P235, Chemical_analyses!$A:$A), 10), ", Al2O3: ", INDEX(Chemical_analyses!$A:$M, MATCH($P235, Chemical_analyses!$A:$A), 6))</f>
        <v>CaO: 18.6, Na2O: 0.92, K2O: 0.05, MnO: 0, Al2O3: 33.32</v>
      </c>
      <c r="AI235" s="85"/>
      <c r="AJ235" s="85"/>
      <c r="AN235" s="30"/>
      <c r="AO235" s="30"/>
      <c r="AP235" s="30"/>
      <c r="AQ235" s="30"/>
      <c r="AW235" s="30"/>
      <c r="AX235" s="30"/>
      <c r="AY235" s="30"/>
      <c r="AZ235" s="30"/>
    </row>
    <row r="236" spans="1:57" s="16" customFormat="1">
      <c r="A236" s="16" t="s">
        <v>851</v>
      </c>
      <c r="B236" s="81" t="s">
        <v>852</v>
      </c>
      <c r="C236" s="82" t="s">
        <v>162</v>
      </c>
      <c r="D236" s="82" t="s">
        <v>279</v>
      </c>
      <c r="E236" s="16" t="s">
        <v>643</v>
      </c>
      <c r="G236" s="16" t="s">
        <v>821</v>
      </c>
      <c r="H236" s="16" t="s">
        <v>845</v>
      </c>
      <c r="J236" s="16">
        <v>0</v>
      </c>
      <c r="K236" s="16">
        <v>125</v>
      </c>
      <c r="L236" s="16" t="s">
        <v>64</v>
      </c>
      <c r="M236" s="16" t="s">
        <v>65</v>
      </c>
      <c r="N236" s="16" t="s">
        <v>294</v>
      </c>
      <c r="O236" s="16" t="s">
        <v>847</v>
      </c>
      <c r="P236" s="16">
        <v>678</v>
      </c>
      <c r="Q236" s="16" t="s">
        <v>853</v>
      </c>
      <c r="R236" s="129">
        <v>0</v>
      </c>
      <c r="S236" s="83">
        <f t="shared" si="115"/>
        <v>0</v>
      </c>
      <c r="T236" s="83">
        <v>0</v>
      </c>
      <c r="U236" s="83">
        <v>100</v>
      </c>
      <c r="V236" s="129">
        <v>0</v>
      </c>
      <c r="W236" s="153">
        <f t="shared" si="116"/>
        <v>0</v>
      </c>
      <c r="X236" s="84">
        <v>0</v>
      </c>
      <c r="Y236" s="83">
        <f t="shared" si="117"/>
        <v>0</v>
      </c>
      <c r="Z236" s="84">
        <v>0</v>
      </c>
      <c r="AA236" s="163">
        <v>0</v>
      </c>
      <c r="AB236" s="83">
        <f t="shared" si="118"/>
        <v>0</v>
      </c>
      <c r="AC236" s="130">
        <v>0</v>
      </c>
      <c r="AD236" s="84">
        <f>INDEX(Chemical_analyses!$A:$N, MATCH($P236, Chemical_analyses!$A:$A), 12)/$T$2/(INDEX(Chemical_analyses!$A:$N, MATCH($P236, Chemical_analyses!$A:$A), 12)/$T$2+INDEX(Chemical_analyses!$A:$N, MATCH($P236, Chemical_analyses!$A:$A), 13)/$U$2+INDEX(Chemical_analyses!$A:$N, MATCH($P236, Chemical_analyses!$A:$A), 14)/$V$2)*100</f>
        <v>86.677198458067537</v>
      </c>
      <c r="AE236" s="84">
        <f t="shared" si="119"/>
        <v>12.964888951909089</v>
      </c>
      <c r="AF236" s="130">
        <f>INDEX(Chemical_analyses!$A:$N, MATCH($P236, Chemical_analyses!$A:$A), 14)/$V$2/(INDEX(Chemical_analyses!$A:$N, MATCH($P236, Chemical_analyses!$A:$A), 12)/$T$2+INDEX(Chemical_analyses!$A:$N, MATCH($P236, Chemical_analyses!$A:$A), 13)/$U$2+INDEX(Chemical_analyses!$A:$N, MATCH($P236, Chemical_analyses!$A:$A), 14)/$V$2)*100</f>
        <v>0.35791259002337439</v>
      </c>
      <c r="AG236" s="16" t="s">
        <v>69</v>
      </c>
      <c r="AH236" s="16" t="str">
        <f>_xlfn.CONCAT("CaO: ", INDEX(Chemical_analyses!$A:$N, MATCH($P236, Chemical_analyses!$A:$A), 12), ", Na2O: ", INDEX(Chemical_analyses!$A:$N, MATCH($P236, Chemical_analyses!$A:$A), 13), ", K2O: ", INDEX(Chemical_analyses!$A:$N, MATCH($P236, Chemical_analyses!$A:$A), 14), ", MnO: ", INDEX(Chemical_analyses!$A:$M, MATCH($P236, Chemical_analyses!$A:$A), 10), ", Al2O3: ", INDEX(Chemical_analyses!$A:$M, MATCH($P236, Chemical_analyses!$A:$A), 6))</f>
        <v>CaO: 17.3, Na2O: 1.43, K2O: 0.06, MnO: 0, Al2O3: 32.7</v>
      </c>
      <c r="AI236" s="85"/>
      <c r="AJ236" s="85"/>
      <c r="AN236" s="30"/>
      <c r="AO236" s="30"/>
      <c r="AP236" s="30"/>
      <c r="AQ236" s="30"/>
      <c r="AW236" s="30"/>
      <c r="AX236" s="30"/>
      <c r="AY236" s="30"/>
      <c r="AZ236" s="30"/>
    </row>
    <row r="237" spans="1:57" s="16" customFormat="1">
      <c r="A237" s="16" t="s">
        <v>854</v>
      </c>
      <c r="B237" s="81" t="s">
        <v>855</v>
      </c>
      <c r="C237" s="82" t="s">
        <v>162</v>
      </c>
      <c r="D237" s="82" t="s">
        <v>279</v>
      </c>
      <c r="E237" s="16" t="s">
        <v>643</v>
      </c>
      <c r="G237" s="16" t="s">
        <v>821</v>
      </c>
      <c r="H237" s="16" t="s">
        <v>845</v>
      </c>
      <c r="J237" s="16">
        <v>0</v>
      </c>
      <c r="K237" s="16">
        <v>125</v>
      </c>
      <c r="L237" s="16" t="s">
        <v>64</v>
      </c>
      <c r="M237" s="16" t="s">
        <v>65</v>
      </c>
      <c r="N237" s="16" t="s">
        <v>294</v>
      </c>
      <c r="O237" s="16" t="s">
        <v>847</v>
      </c>
      <c r="P237" s="16">
        <v>668</v>
      </c>
      <c r="Q237" s="16" t="s">
        <v>853</v>
      </c>
      <c r="R237" s="129">
        <v>0</v>
      </c>
      <c r="S237" s="83">
        <f t="shared" si="115"/>
        <v>0</v>
      </c>
      <c r="T237" s="83">
        <v>0</v>
      </c>
      <c r="U237" s="83">
        <v>100</v>
      </c>
      <c r="V237" s="129">
        <v>0</v>
      </c>
      <c r="W237" s="153">
        <f t="shared" si="116"/>
        <v>0</v>
      </c>
      <c r="X237" s="84">
        <v>0</v>
      </c>
      <c r="Y237" s="83">
        <f t="shared" si="117"/>
        <v>0</v>
      </c>
      <c r="Z237" s="84">
        <v>0</v>
      </c>
      <c r="AA237" s="163">
        <v>0</v>
      </c>
      <c r="AB237" s="83">
        <f t="shared" si="118"/>
        <v>0</v>
      </c>
      <c r="AC237" s="130">
        <v>0</v>
      </c>
      <c r="AD237" s="84">
        <f>INDEX(Chemical_analyses!$A:$N, MATCH($P237, Chemical_analyses!$A:$A), 12)/$T$2/(INDEX(Chemical_analyses!$A:$N, MATCH($P237, Chemical_analyses!$A:$A), 12)/$T$2+INDEX(Chemical_analyses!$A:$N, MATCH($P237, Chemical_analyses!$A:$A), 13)/$U$2+INDEX(Chemical_analyses!$A:$N, MATCH($P237, Chemical_analyses!$A:$A), 14)/$V$2)*100</f>
        <v>87.101263503930554</v>
      </c>
      <c r="AE237" s="84">
        <f t="shared" si="119"/>
        <v>12.487915238235543</v>
      </c>
      <c r="AF237" s="130">
        <f>INDEX(Chemical_analyses!$A:$N, MATCH($P237, Chemical_analyses!$A:$A), 14)/$V$2/(INDEX(Chemical_analyses!$A:$N, MATCH($P237, Chemical_analyses!$A:$A), 12)/$T$2+INDEX(Chemical_analyses!$A:$N, MATCH($P237, Chemical_analyses!$A:$A), 13)/$U$2+INDEX(Chemical_analyses!$A:$N, MATCH($P237, Chemical_analyses!$A:$A), 14)/$V$2)*100</f>
        <v>0.41082125783390466</v>
      </c>
      <c r="AG237" s="16" t="s">
        <v>69</v>
      </c>
      <c r="AH237" s="16" t="str">
        <f>_xlfn.CONCAT("CaO: ", INDEX(Chemical_analyses!$A:$N, MATCH($P237, Chemical_analyses!$A:$A), 12), ", Na2O: ", INDEX(Chemical_analyses!$A:$N, MATCH($P237, Chemical_analyses!$A:$A), 13), ", K2O: ", INDEX(Chemical_analyses!$A:$N, MATCH($P237, Chemical_analyses!$A:$A), 14), ", MnO: ", INDEX(Chemical_analyses!$A:$M, MATCH($P237, Chemical_analyses!$A:$A), 10), ", Al2O3: ", INDEX(Chemical_analyses!$A:$M, MATCH($P237, Chemical_analyses!$A:$A), 6))</f>
        <v>CaO: 17.67, Na2O: 1.4, K2O: 0.07, MnO: 0, Al2O3: 32.89</v>
      </c>
      <c r="AI237" s="85"/>
      <c r="AJ237" s="85"/>
      <c r="AN237" s="30"/>
      <c r="AO237" s="30"/>
      <c r="AP237" s="30"/>
      <c r="AQ237" s="30"/>
      <c r="AW237" s="30"/>
      <c r="AX237" s="30"/>
      <c r="AY237" s="30"/>
      <c r="AZ237" s="30"/>
    </row>
    <row r="238" spans="1:57" s="16" customFormat="1">
      <c r="A238" s="16" t="s">
        <v>856</v>
      </c>
      <c r="B238" s="81" t="s">
        <v>857</v>
      </c>
      <c r="C238" s="82" t="s">
        <v>162</v>
      </c>
      <c r="D238" s="82" t="s">
        <v>279</v>
      </c>
      <c r="E238" s="16" t="s">
        <v>643</v>
      </c>
      <c r="G238" s="16" t="s">
        <v>821</v>
      </c>
      <c r="H238" s="16" t="s">
        <v>845</v>
      </c>
      <c r="J238" s="16">
        <v>0</v>
      </c>
      <c r="K238" s="16">
        <v>125</v>
      </c>
      <c r="L238" s="16" t="s">
        <v>64</v>
      </c>
      <c r="M238" s="16" t="s">
        <v>65</v>
      </c>
      <c r="N238" s="16" t="s">
        <v>284</v>
      </c>
      <c r="O238" s="16" t="s">
        <v>847</v>
      </c>
      <c r="P238" s="16">
        <v>670</v>
      </c>
      <c r="Q238" s="16" t="s">
        <v>858</v>
      </c>
      <c r="R238" s="129">
        <v>0</v>
      </c>
      <c r="S238" s="83">
        <f t="shared" si="115"/>
        <v>0</v>
      </c>
      <c r="T238" s="83">
        <v>0</v>
      </c>
      <c r="U238" s="83">
        <v>100</v>
      </c>
      <c r="V238" s="129">
        <v>0</v>
      </c>
      <c r="W238" s="153">
        <f t="shared" si="116"/>
        <v>0</v>
      </c>
      <c r="X238" s="84">
        <v>0</v>
      </c>
      <c r="Y238" s="83">
        <f t="shared" si="117"/>
        <v>0</v>
      </c>
      <c r="Z238" s="84">
        <v>0</v>
      </c>
      <c r="AA238" s="163">
        <v>0</v>
      </c>
      <c r="AB238" s="83">
        <f t="shared" si="118"/>
        <v>0</v>
      </c>
      <c r="AC238" s="130">
        <v>0</v>
      </c>
      <c r="AD238" s="84">
        <f>INDEX(Chemical_analyses!$A:$N, MATCH($P238, Chemical_analyses!$A:$A), 12)/$T$2/(INDEX(Chemical_analyses!$A:$N, MATCH($P238, Chemical_analyses!$A:$A), 12)/$T$2+INDEX(Chemical_analyses!$A:$N, MATCH($P238, Chemical_analyses!$A:$A), 13)/$U$2+INDEX(Chemical_analyses!$A:$N, MATCH($P238, Chemical_analyses!$A:$A), 14)/$V$2)*100</f>
        <v>95.416032136689253</v>
      </c>
      <c r="AE238" s="84">
        <f t="shared" si="119"/>
        <v>4.4064637828787543</v>
      </c>
      <c r="AF238" s="130">
        <f>INDEX(Chemical_analyses!$A:$N, MATCH($P238, Chemical_analyses!$A:$A), 14)/$V$2/(INDEX(Chemical_analyses!$A:$N, MATCH($P238, Chemical_analyses!$A:$A), 12)/$T$2+INDEX(Chemical_analyses!$A:$N, MATCH($P238, Chemical_analyses!$A:$A), 13)/$U$2+INDEX(Chemical_analyses!$A:$N, MATCH($P238, Chemical_analyses!$A:$A), 14)/$V$2)*100</f>
        <v>0.17750408043199237</v>
      </c>
      <c r="AG238" s="16" t="s">
        <v>69</v>
      </c>
      <c r="AH238" s="16" t="str">
        <f>_xlfn.CONCAT("CaO: ", INDEX(Chemical_analyses!$A:$N, MATCH($P238, Chemical_analyses!$A:$A), 12), ", Na2O: ", INDEX(Chemical_analyses!$A:$N, MATCH($P238, Chemical_analyses!$A:$A), 13), ", K2O: ", INDEX(Chemical_analyses!$A:$N, MATCH($P238, Chemical_analyses!$A:$A), 14), ", MnO: ", INDEX(Chemical_analyses!$A:$M, MATCH($P238, Chemical_analyses!$A:$A), 10), ", Al2O3: ", INDEX(Chemical_analyses!$A:$M, MATCH($P238, Chemical_analyses!$A:$A), 6))</f>
        <v>CaO: 19.2, Na2O: 0.49, K2O: 0.03, MnO: 0, Al2O3: 35.3</v>
      </c>
      <c r="AI238" s="85"/>
      <c r="AJ238" s="85"/>
      <c r="AN238" s="30"/>
      <c r="AO238" s="30"/>
      <c r="AP238" s="30"/>
      <c r="AQ238" s="30"/>
      <c r="AW238" s="30"/>
      <c r="AX238" s="30"/>
      <c r="AY238" s="30"/>
      <c r="AZ238" s="30"/>
    </row>
    <row r="239" spans="1:57" s="16" customFormat="1">
      <c r="A239" s="16" t="s">
        <v>859</v>
      </c>
      <c r="B239" s="81" t="s">
        <v>860</v>
      </c>
      <c r="C239" s="82" t="s">
        <v>162</v>
      </c>
      <c r="D239" s="82" t="s">
        <v>279</v>
      </c>
      <c r="E239" s="16" t="s">
        <v>643</v>
      </c>
      <c r="G239" s="16" t="s">
        <v>821</v>
      </c>
      <c r="H239" s="16" t="s">
        <v>845</v>
      </c>
      <c r="J239" s="90">
        <v>0</v>
      </c>
      <c r="K239" s="90">
        <v>45</v>
      </c>
      <c r="L239" s="16" t="s">
        <v>64</v>
      </c>
      <c r="M239" s="16" t="s">
        <v>65</v>
      </c>
      <c r="N239" s="16" t="s">
        <v>846</v>
      </c>
      <c r="O239" s="16" t="s">
        <v>847</v>
      </c>
      <c r="P239" s="16">
        <v>665</v>
      </c>
      <c r="Q239" s="16" t="s">
        <v>848</v>
      </c>
      <c r="R239" s="129">
        <v>0</v>
      </c>
      <c r="S239" s="83">
        <f t="shared" si="115"/>
        <v>0</v>
      </c>
      <c r="T239" s="83">
        <v>0</v>
      </c>
      <c r="U239" s="83">
        <v>100</v>
      </c>
      <c r="V239" s="129">
        <v>0</v>
      </c>
      <c r="W239" s="153">
        <f t="shared" si="116"/>
        <v>0</v>
      </c>
      <c r="X239" s="84">
        <v>0</v>
      </c>
      <c r="Y239" s="83">
        <f t="shared" si="117"/>
        <v>0</v>
      </c>
      <c r="Z239" s="84">
        <v>0</v>
      </c>
      <c r="AA239" s="163">
        <v>0</v>
      </c>
      <c r="AB239" s="83">
        <f t="shared" si="118"/>
        <v>0</v>
      </c>
      <c r="AC239" s="130">
        <v>0</v>
      </c>
      <c r="AD239" s="84">
        <f>INDEX(Chemical_analyses!$A:$N, MATCH($P239, Chemical_analyses!$A:$A), 12)/$T$2/(INDEX(Chemical_analyses!$A:$N, MATCH($P239, Chemical_analyses!$A:$A), 12)/$T$2+INDEX(Chemical_analyses!$A:$N, MATCH($P239, Chemical_analyses!$A:$A), 13)/$U$2+INDEX(Chemical_analyses!$A:$N, MATCH($P239, Chemical_analyses!$A:$A), 14)/$V$2)*100</f>
        <v>91.515935342012654</v>
      </c>
      <c r="AE239" s="84">
        <f t="shared" si="119"/>
        <v>8.1911637315354948</v>
      </c>
      <c r="AF239" s="130">
        <f>INDEX(Chemical_analyses!$A:$N, MATCH($P239, Chemical_analyses!$A:$A), 14)/$V$2/(INDEX(Chemical_analyses!$A:$N, MATCH($P239, Chemical_analyses!$A:$A), 12)/$T$2+INDEX(Chemical_analyses!$A:$N, MATCH($P239, Chemical_analyses!$A:$A), 13)/$U$2+INDEX(Chemical_analyses!$A:$N, MATCH($P239, Chemical_analyses!$A:$A), 14)/$V$2)*100</f>
        <v>0.29290092645185145</v>
      </c>
      <c r="AG239" s="16" t="s">
        <v>69</v>
      </c>
      <c r="AH239" s="16" t="str">
        <f>_xlfn.CONCAT("CaO: ", INDEX(Chemical_analyses!$A:$N, MATCH($P239, Chemical_analyses!$A:$A), 12), ", Na2O: ", INDEX(Chemical_analyses!$A:$N, MATCH($P239, Chemical_analyses!$A:$A), 13), ", K2O: ", INDEX(Chemical_analyses!$A:$N, MATCH($P239, Chemical_analyses!$A:$A), 14), ", MnO: ", INDEX(Chemical_analyses!$A:$M, MATCH($P239, Chemical_analyses!$A:$A), 10), ", Al2O3: ", INDEX(Chemical_analyses!$A:$M, MATCH($P239, Chemical_analyses!$A:$A), 6))</f>
        <v>CaO: 18.6, Na2O: 0.92, K2O: 0.05, MnO: 0, Al2O3: 33.32</v>
      </c>
      <c r="AI239" s="85"/>
      <c r="AJ239" s="85"/>
      <c r="AN239" s="30"/>
      <c r="AO239" s="30"/>
      <c r="AP239" s="30"/>
      <c r="AQ239" s="30"/>
      <c r="AW239" s="30"/>
      <c r="AX239" s="30"/>
      <c r="AY239" s="30"/>
      <c r="AZ239" s="30"/>
    </row>
    <row r="240" spans="1:57" s="16" customFormat="1">
      <c r="A240" s="16" t="s">
        <v>861</v>
      </c>
      <c r="B240" s="81" t="s">
        <v>862</v>
      </c>
      <c r="C240" s="82" t="s">
        <v>162</v>
      </c>
      <c r="D240" s="82" t="s">
        <v>279</v>
      </c>
      <c r="E240" s="16" t="s">
        <v>643</v>
      </c>
      <c r="G240" s="16" t="s">
        <v>821</v>
      </c>
      <c r="H240" s="16" t="s">
        <v>845</v>
      </c>
      <c r="J240" s="90">
        <v>0</v>
      </c>
      <c r="K240" s="90">
        <v>45</v>
      </c>
      <c r="L240" s="16" t="s">
        <v>64</v>
      </c>
      <c r="M240" s="16" t="s">
        <v>65</v>
      </c>
      <c r="N240" s="16" t="s">
        <v>846</v>
      </c>
      <c r="O240" s="16" t="s">
        <v>847</v>
      </c>
      <c r="P240" s="16">
        <v>675</v>
      </c>
      <c r="Q240" s="16" t="s">
        <v>848</v>
      </c>
      <c r="R240" s="129">
        <v>0</v>
      </c>
      <c r="S240" s="83">
        <f t="shared" si="115"/>
        <v>0</v>
      </c>
      <c r="T240" s="83">
        <v>0</v>
      </c>
      <c r="U240" s="83">
        <v>100</v>
      </c>
      <c r="V240" s="129">
        <v>0</v>
      </c>
      <c r="W240" s="153">
        <f t="shared" si="116"/>
        <v>0</v>
      </c>
      <c r="X240" s="84">
        <v>0</v>
      </c>
      <c r="Y240" s="83">
        <f t="shared" si="117"/>
        <v>0</v>
      </c>
      <c r="Z240" s="84">
        <v>0</v>
      </c>
      <c r="AA240" s="163">
        <v>0</v>
      </c>
      <c r="AB240" s="83">
        <f t="shared" si="118"/>
        <v>0</v>
      </c>
      <c r="AC240" s="130">
        <v>0</v>
      </c>
      <c r="AD240" s="84">
        <f>INDEX(Chemical_analyses!$A:$N, MATCH($P240, Chemical_analyses!$A:$A), 12)/$T$2/(INDEX(Chemical_analyses!$A:$N, MATCH($P240, Chemical_analyses!$A:$A), 12)/$T$2+INDEX(Chemical_analyses!$A:$N, MATCH($P240, Chemical_analyses!$A:$A), 13)/$U$2+INDEX(Chemical_analyses!$A:$N, MATCH($P240, Chemical_analyses!$A:$A), 14)/$V$2)*100</f>
        <v>90.913241468967669</v>
      </c>
      <c r="AE240" s="84">
        <f t="shared" si="119"/>
        <v>8.9073526047504608</v>
      </c>
      <c r="AF240" s="130">
        <f>INDEX(Chemical_analyses!$A:$N, MATCH($P240, Chemical_analyses!$A:$A), 14)/$V$2/(INDEX(Chemical_analyses!$A:$N, MATCH($P240, Chemical_analyses!$A:$A), 12)/$T$2+INDEX(Chemical_analyses!$A:$N, MATCH($P240, Chemical_analyses!$A:$A), 13)/$U$2+INDEX(Chemical_analyses!$A:$N, MATCH($P240, Chemical_analyses!$A:$A), 14)/$V$2)*100</f>
        <v>0.17940592628186955</v>
      </c>
      <c r="AG240" s="16" t="s">
        <v>69</v>
      </c>
      <c r="AH240" s="16" t="str">
        <f>_xlfn.CONCAT("CaO: ", INDEX(Chemical_analyses!$A:$N, MATCH($P240, Chemical_analyses!$A:$A), 12), ", Na2O: ", INDEX(Chemical_analyses!$A:$N, MATCH($P240, Chemical_analyses!$A:$A), 13), ", K2O: ", INDEX(Chemical_analyses!$A:$N, MATCH($P240, Chemical_analyses!$A:$A), 14), ", MnO: ", INDEX(Chemical_analyses!$A:$M, MATCH($P240, Chemical_analyses!$A:$A), 10), ", Al2O3: ", INDEX(Chemical_analyses!$A:$M, MATCH($P240, Chemical_analyses!$A:$A), 6))</f>
        <v>CaO: 18.1, Na2O: 0.98, K2O: 0.03, MnO: 0, Al2O3: 33.2</v>
      </c>
      <c r="AI240" s="85"/>
      <c r="AJ240" s="85"/>
      <c r="AN240" s="30"/>
      <c r="AO240" s="30"/>
      <c r="AP240" s="30"/>
      <c r="AQ240" s="30"/>
      <c r="AW240" s="30"/>
      <c r="AX240" s="30"/>
      <c r="AY240" s="30"/>
      <c r="AZ240" s="30"/>
    </row>
    <row r="241" spans="1:52" s="16" customFormat="1">
      <c r="A241" s="16" t="s">
        <v>863</v>
      </c>
      <c r="B241" s="81" t="s">
        <v>864</v>
      </c>
      <c r="C241" s="82" t="s">
        <v>162</v>
      </c>
      <c r="D241" s="82" t="s">
        <v>279</v>
      </c>
      <c r="E241" s="16" t="s">
        <v>643</v>
      </c>
      <c r="G241" s="16" t="s">
        <v>821</v>
      </c>
      <c r="H241" s="16" t="s">
        <v>845</v>
      </c>
      <c r="J241" s="90">
        <v>0</v>
      </c>
      <c r="K241" s="90">
        <v>45</v>
      </c>
      <c r="L241" s="16" t="s">
        <v>64</v>
      </c>
      <c r="M241" s="16" t="s">
        <v>65</v>
      </c>
      <c r="N241" s="16" t="s">
        <v>294</v>
      </c>
      <c r="O241" s="16" t="s">
        <v>847</v>
      </c>
      <c r="P241" s="16">
        <v>678</v>
      </c>
      <c r="Q241" s="16" t="s">
        <v>853</v>
      </c>
      <c r="R241" s="129">
        <v>0</v>
      </c>
      <c r="S241" s="83">
        <f t="shared" si="115"/>
        <v>0</v>
      </c>
      <c r="T241" s="83">
        <v>0</v>
      </c>
      <c r="U241" s="83">
        <v>100</v>
      </c>
      <c r="V241" s="129">
        <v>0</v>
      </c>
      <c r="W241" s="153">
        <f t="shared" si="116"/>
        <v>0</v>
      </c>
      <c r="X241" s="84">
        <v>0</v>
      </c>
      <c r="Y241" s="83">
        <f t="shared" si="117"/>
        <v>0</v>
      </c>
      <c r="Z241" s="84">
        <v>0</v>
      </c>
      <c r="AA241" s="163">
        <v>0</v>
      </c>
      <c r="AB241" s="83">
        <f t="shared" si="118"/>
        <v>0</v>
      </c>
      <c r="AC241" s="130">
        <v>0</v>
      </c>
      <c r="AD241" s="84">
        <f>INDEX(Chemical_analyses!$A:$N, MATCH($P241, Chemical_analyses!$A:$A), 12)/$T$2/(INDEX(Chemical_analyses!$A:$N, MATCH($P241, Chemical_analyses!$A:$A), 12)/$T$2+INDEX(Chemical_analyses!$A:$N, MATCH($P241, Chemical_analyses!$A:$A), 13)/$U$2+INDEX(Chemical_analyses!$A:$N, MATCH($P241, Chemical_analyses!$A:$A), 14)/$V$2)*100</f>
        <v>86.677198458067537</v>
      </c>
      <c r="AE241" s="84">
        <f t="shared" si="119"/>
        <v>12.964888951909089</v>
      </c>
      <c r="AF241" s="130">
        <f>INDEX(Chemical_analyses!$A:$N, MATCH($P241, Chemical_analyses!$A:$A), 14)/$V$2/(INDEX(Chemical_analyses!$A:$N, MATCH($P241, Chemical_analyses!$A:$A), 12)/$T$2+INDEX(Chemical_analyses!$A:$N, MATCH($P241, Chemical_analyses!$A:$A), 13)/$U$2+INDEX(Chemical_analyses!$A:$N, MATCH($P241, Chemical_analyses!$A:$A), 14)/$V$2)*100</f>
        <v>0.35791259002337439</v>
      </c>
      <c r="AG241" s="16" t="s">
        <v>69</v>
      </c>
      <c r="AH241" s="16" t="str">
        <f>_xlfn.CONCAT("CaO: ", INDEX(Chemical_analyses!$A:$N, MATCH($P241, Chemical_analyses!$A:$A), 12), ", Na2O: ", INDEX(Chemical_analyses!$A:$N, MATCH($P241, Chemical_analyses!$A:$A), 13), ", K2O: ", INDEX(Chemical_analyses!$A:$N, MATCH($P241, Chemical_analyses!$A:$A), 14), ", MnO: ", INDEX(Chemical_analyses!$A:$M, MATCH($P241, Chemical_analyses!$A:$A), 10), ", Al2O3: ", INDEX(Chemical_analyses!$A:$M, MATCH($P241, Chemical_analyses!$A:$A), 6))</f>
        <v>CaO: 17.3, Na2O: 1.43, K2O: 0.06, MnO: 0, Al2O3: 32.7</v>
      </c>
      <c r="AI241" s="85"/>
      <c r="AJ241" s="85"/>
      <c r="AN241" s="30"/>
      <c r="AO241" s="30"/>
      <c r="AP241" s="30"/>
      <c r="AQ241" s="30"/>
      <c r="AW241" s="30"/>
      <c r="AX241" s="30"/>
      <c r="AY241" s="30"/>
      <c r="AZ241" s="30"/>
    </row>
    <row r="242" spans="1:52" s="16" customFormat="1">
      <c r="A242" s="16" t="s">
        <v>865</v>
      </c>
      <c r="B242" s="81" t="s">
        <v>866</v>
      </c>
      <c r="C242" s="82" t="s">
        <v>162</v>
      </c>
      <c r="D242" s="82" t="s">
        <v>279</v>
      </c>
      <c r="E242" s="16" t="s">
        <v>643</v>
      </c>
      <c r="G242" s="16" t="s">
        <v>821</v>
      </c>
      <c r="H242" s="16" t="s">
        <v>845</v>
      </c>
      <c r="J242" s="90">
        <v>0</v>
      </c>
      <c r="K242" s="90">
        <v>45</v>
      </c>
      <c r="L242" s="16" t="s">
        <v>64</v>
      </c>
      <c r="M242" s="16" t="s">
        <v>65</v>
      </c>
      <c r="N242" s="16" t="s">
        <v>294</v>
      </c>
      <c r="O242" s="16" t="s">
        <v>847</v>
      </c>
      <c r="P242" s="16">
        <v>668</v>
      </c>
      <c r="Q242" s="16" t="s">
        <v>853</v>
      </c>
      <c r="R242" s="129">
        <v>0</v>
      </c>
      <c r="S242" s="83">
        <f t="shared" si="115"/>
        <v>0</v>
      </c>
      <c r="T242" s="83">
        <v>0</v>
      </c>
      <c r="U242" s="83">
        <v>100</v>
      </c>
      <c r="V242" s="129">
        <v>0</v>
      </c>
      <c r="W242" s="153">
        <f t="shared" si="116"/>
        <v>0</v>
      </c>
      <c r="X242" s="84">
        <v>0</v>
      </c>
      <c r="Y242" s="83">
        <f t="shared" si="117"/>
        <v>0</v>
      </c>
      <c r="Z242" s="84">
        <v>0</v>
      </c>
      <c r="AA242" s="163">
        <v>0</v>
      </c>
      <c r="AB242" s="83">
        <f t="shared" si="118"/>
        <v>0</v>
      </c>
      <c r="AC242" s="130">
        <v>0</v>
      </c>
      <c r="AD242" s="84">
        <f>INDEX(Chemical_analyses!$A:$N, MATCH($P242, Chemical_analyses!$A:$A), 12)/$T$2/(INDEX(Chemical_analyses!$A:$N, MATCH($P242, Chemical_analyses!$A:$A), 12)/$T$2+INDEX(Chemical_analyses!$A:$N, MATCH($P242, Chemical_analyses!$A:$A), 13)/$U$2+INDEX(Chemical_analyses!$A:$N, MATCH($P242, Chemical_analyses!$A:$A), 14)/$V$2)*100</f>
        <v>87.101263503930554</v>
      </c>
      <c r="AE242" s="84">
        <f t="shared" si="119"/>
        <v>12.487915238235543</v>
      </c>
      <c r="AF242" s="130">
        <f>INDEX(Chemical_analyses!$A:$N, MATCH($P242, Chemical_analyses!$A:$A), 14)/$V$2/(INDEX(Chemical_analyses!$A:$N, MATCH($P242, Chemical_analyses!$A:$A), 12)/$T$2+INDEX(Chemical_analyses!$A:$N, MATCH($P242, Chemical_analyses!$A:$A), 13)/$U$2+INDEX(Chemical_analyses!$A:$N, MATCH($P242, Chemical_analyses!$A:$A), 14)/$V$2)*100</f>
        <v>0.41082125783390466</v>
      </c>
      <c r="AG242" s="16" t="s">
        <v>69</v>
      </c>
      <c r="AH242" s="16" t="str">
        <f>_xlfn.CONCAT("CaO: ", INDEX(Chemical_analyses!$A:$N, MATCH($P242, Chemical_analyses!$A:$A), 12), ", Na2O: ", INDEX(Chemical_analyses!$A:$N, MATCH($P242, Chemical_analyses!$A:$A), 13), ", K2O: ", INDEX(Chemical_analyses!$A:$N, MATCH($P242, Chemical_analyses!$A:$A), 14), ", MnO: ", INDEX(Chemical_analyses!$A:$M, MATCH($P242, Chemical_analyses!$A:$A), 10), ", Al2O3: ", INDEX(Chemical_analyses!$A:$M, MATCH($P242, Chemical_analyses!$A:$A), 6))</f>
        <v>CaO: 17.67, Na2O: 1.4, K2O: 0.07, MnO: 0, Al2O3: 32.89</v>
      </c>
      <c r="AI242" s="85"/>
      <c r="AJ242" s="85"/>
      <c r="AN242" s="30"/>
      <c r="AO242" s="30"/>
      <c r="AP242" s="30"/>
      <c r="AQ242" s="30"/>
      <c r="AW242" s="30"/>
      <c r="AX242" s="30"/>
      <c r="AY242" s="30"/>
      <c r="AZ242" s="30"/>
    </row>
    <row r="243" spans="1:52" s="16" customFormat="1">
      <c r="A243" s="16" t="s">
        <v>867</v>
      </c>
      <c r="B243" s="81" t="s">
        <v>868</v>
      </c>
      <c r="C243" s="82" t="s">
        <v>162</v>
      </c>
      <c r="D243" s="82" t="s">
        <v>279</v>
      </c>
      <c r="E243" s="16" t="s">
        <v>643</v>
      </c>
      <c r="G243" s="16" t="s">
        <v>821</v>
      </c>
      <c r="H243" s="16" t="s">
        <v>845</v>
      </c>
      <c r="J243" s="90">
        <v>0</v>
      </c>
      <c r="K243" s="90">
        <v>45</v>
      </c>
      <c r="L243" s="16" t="s">
        <v>64</v>
      </c>
      <c r="M243" s="16" t="s">
        <v>65</v>
      </c>
      <c r="N243" s="16" t="s">
        <v>284</v>
      </c>
      <c r="O243" s="16" t="s">
        <v>847</v>
      </c>
      <c r="P243" s="16">
        <v>670</v>
      </c>
      <c r="Q243" s="16" t="s">
        <v>858</v>
      </c>
      <c r="R243" s="129">
        <v>0</v>
      </c>
      <c r="S243" s="83">
        <f t="shared" si="115"/>
        <v>0</v>
      </c>
      <c r="T243" s="83">
        <v>0</v>
      </c>
      <c r="U243" s="83">
        <v>100</v>
      </c>
      <c r="V243" s="129">
        <v>0</v>
      </c>
      <c r="W243" s="153">
        <f t="shared" si="116"/>
        <v>0</v>
      </c>
      <c r="X243" s="84">
        <v>0</v>
      </c>
      <c r="Y243" s="83">
        <f t="shared" si="117"/>
        <v>0</v>
      </c>
      <c r="Z243" s="84">
        <v>0</v>
      </c>
      <c r="AA243" s="163">
        <v>0</v>
      </c>
      <c r="AB243" s="83">
        <f t="shared" si="118"/>
        <v>0</v>
      </c>
      <c r="AC243" s="130">
        <v>0</v>
      </c>
      <c r="AD243" s="84">
        <f>INDEX(Chemical_analyses!$A:$N, MATCH($P243, Chemical_analyses!$A:$A), 12)/$T$2/(INDEX(Chemical_analyses!$A:$N, MATCH($P243, Chemical_analyses!$A:$A), 12)/$T$2+INDEX(Chemical_analyses!$A:$N, MATCH($P243, Chemical_analyses!$A:$A), 13)/$U$2+INDEX(Chemical_analyses!$A:$N, MATCH($P243, Chemical_analyses!$A:$A), 14)/$V$2)*100</f>
        <v>95.416032136689253</v>
      </c>
      <c r="AE243" s="84">
        <f t="shared" si="119"/>
        <v>4.4064637828787543</v>
      </c>
      <c r="AF243" s="130">
        <f>INDEX(Chemical_analyses!$A:$N, MATCH($P243, Chemical_analyses!$A:$A), 14)/$V$2/(INDEX(Chemical_analyses!$A:$N, MATCH($P243, Chemical_analyses!$A:$A), 12)/$T$2+INDEX(Chemical_analyses!$A:$N, MATCH($P243, Chemical_analyses!$A:$A), 13)/$U$2+INDEX(Chemical_analyses!$A:$N, MATCH($P243, Chemical_analyses!$A:$A), 14)/$V$2)*100</f>
        <v>0.17750408043199237</v>
      </c>
      <c r="AG243" s="16" t="s">
        <v>69</v>
      </c>
      <c r="AH243" s="16" t="str">
        <f>_xlfn.CONCAT("CaO: ", INDEX(Chemical_analyses!$A:$N, MATCH($P243, Chemical_analyses!$A:$A), 12), ", Na2O: ", INDEX(Chemical_analyses!$A:$N, MATCH($P243, Chemical_analyses!$A:$A), 13), ", K2O: ", INDEX(Chemical_analyses!$A:$N, MATCH($P243, Chemical_analyses!$A:$A), 14), ", MnO: ", INDEX(Chemical_analyses!$A:$M, MATCH($P243, Chemical_analyses!$A:$A), 10), ", Al2O3: ", INDEX(Chemical_analyses!$A:$M, MATCH($P243, Chemical_analyses!$A:$A), 6))</f>
        <v>CaO: 19.2, Na2O: 0.49, K2O: 0.03, MnO: 0, Al2O3: 35.3</v>
      </c>
      <c r="AI243" s="85"/>
      <c r="AJ243" s="85"/>
      <c r="AN243" s="30"/>
      <c r="AO243" s="30"/>
      <c r="AP243" s="30"/>
      <c r="AQ243" s="30"/>
      <c r="AW243" s="30"/>
      <c r="AX243" s="30"/>
      <c r="AY243" s="30"/>
      <c r="AZ243" s="30"/>
    </row>
    <row r="244" spans="1:52" s="16" customFormat="1">
      <c r="A244" s="16" t="s">
        <v>869</v>
      </c>
      <c r="B244" s="81" t="s">
        <v>870</v>
      </c>
      <c r="C244" s="82" t="s">
        <v>162</v>
      </c>
      <c r="D244" s="82" t="s">
        <v>279</v>
      </c>
      <c r="E244" s="16" t="s">
        <v>643</v>
      </c>
      <c r="G244" s="16" t="s">
        <v>821</v>
      </c>
      <c r="H244" s="16" t="s">
        <v>845</v>
      </c>
      <c r="J244" s="90">
        <v>0</v>
      </c>
      <c r="K244" s="90">
        <v>125</v>
      </c>
      <c r="L244" s="16" t="s">
        <v>64</v>
      </c>
      <c r="M244" s="16" t="s">
        <v>65</v>
      </c>
      <c r="N244" s="16" t="s">
        <v>846</v>
      </c>
      <c r="O244" s="16" t="s">
        <v>847</v>
      </c>
      <c r="P244" s="16">
        <v>252</v>
      </c>
      <c r="Q244" s="16" t="s">
        <v>871</v>
      </c>
      <c r="R244" s="129">
        <v>0</v>
      </c>
      <c r="S244" s="83">
        <f t="shared" si="115"/>
        <v>0</v>
      </c>
      <c r="T244" s="83">
        <v>0</v>
      </c>
      <c r="U244" s="83">
        <v>100</v>
      </c>
      <c r="V244" s="129">
        <v>0</v>
      </c>
      <c r="W244" s="153">
        <f t="shared" si="116"/>
        <v>0</v>
      </c>
      <c r="X244" s="84">
        <v>0</v>
      </c>
      <c r="Y244" s="83">
        <f t="shared" si="117"/>
        <v>0</v>
      </c>
      <c r="Z244" s="84">
        <v>0</v>
      </c>
      <c r="AA244" s="163">
        <v>0</v>
      </c>
      <c r="AB244" s="83">
        <f t="shared" si="118"/>
        <v>0</v>
      </c>
      <c r="AC244" s="130">
        <v>0</v>
      </c>
      <c r="AD244" s="84">
        <f>INDEX(Chemical_analyses!$A:$N, MATCH($P244, Chemical_analyses!$A:$A), 12)/$T$2/(INDEX(Chemical_analyses!$A:$N, MATCH($P244, Chemical_analyses!$A:$A), 12)/$T$2+INDEX(Chemical_analyses!$A:$N, MATCH($P244, Chemical_analyses!$A:$A), 13)/$U$2+INDEX(Chemical_analyses!$A:$N, MATCH($P244, Chemical_analyses!$A:$A), 14)/$V$2)*100</f>
        <v>96.911641355302436</v>
      </c>
      <c r="AE244" s="84">
        <f t="shared" si="119"/>
        <v>3.0297289250544219</v>
      </c>
      <c r="AF244" s="130">
        <f>INDEX(Chemical_analyses!$A:$N, MATCH($P244, Chemical_analyses!$A:$A), 14)/$V$2/(INDEX(Chemical_analyses!$A:$N, MATCH($P244, Chemical_analyses!$A:$A), 12)/$T$2+INDEX(Chemical_analyses!$A:$N, MATCH($P244, Chemical_analyses!$A:$A), 13)/$U$2+INDEX(Chemical_analyses!$A:$N, MATCH($P244, Chemical_analyses!$A:$A), 14)/$V$2)*100</f>
        <v>5.8629719643142043E-2</v>
      </c>
      <c r="AG244" s="16" t="s">
        <v>69</v>
      </c>
      <c r="AH244" s="16" t="str">
        <f>_xlfn.CONCAT("CaO: ", INDEX(Chemical_analyses!$A:$N, MATCH($P244, Chemical_analyses!$A:$A), 12), ", Na2O: ", INDEX(Chemical_analyses!$A:$N, MATCH($P244, Chemical_analyses!$A:$A), 13), ", K2O: ", INDEX(Chemical_analyses!$A:$N, MATCH($P244, Chemical_analyses!$A:$A), 14), ", MnO: ", INDEX(Chemical_analyses!$A:$M, MATCH($P244, Chemical_analyses!$A:$A), 10), ", Al2O3: ", INDEX(Chemical_analyses!$A:$M, MATCH($P244, Chemical_analyses!$A:$A), 6))</f>
        <v>CaO: 19.68, Na2O: 0.34, K2O: 0.01, MnO: 0, Al2O3: 35.49</v>
      </c>
      <c r="AI244" s="85"/>
      <c r="AJ244" s="85"/>
      <c r="AN244" s="30"/>
      <c r="AO244" s="30"/>
      <c r="AP244" s="30"/>
      <c r="AQ244" s="30"/>
      <c r="AW244" s="30"/>
      <c r="AX244" s="30"/>
      <c r="AY244" s="30"/>
      <c r="AZ244" s="30"/>
    </row>
    <row r="245" spans="1:52" s="16" customFormat="1">
      <c r="A245" s="16" t="s">
        <v>872</v>
      </c>
      <c r="B245" s="81" t="s">
        <v>873</v>
      </c>
      <c r="C245" s="82" t="s">
        <v>162</v>
      </c>
      <c r="D245" s="82" t="s">
        <v>279</v>
      </c>
      <c r="E245" s="16" t="s">
        <v>643</v>
      </c>
      <c r="G245" s="16" t="s">
        <v>821</v>
      </c>
      <c r="H245" s="16" t="s">
        <v>845</v>
      </c>
      <c r="J245" s="90">
        <v>0</v>
      </c>
      <c r="K245" s="90">
        <v>125</v>
      </c>
      <c r="L245" s="16" t="s">
        <v>64</v>
      </c>
      <c r="M245" s="16" t="s">
        <v>65</v>
      </c>
      <c r="N245" s="16" t="s">
        <v>294</v>
      </c>
      <c r="O245" s="16" t="s">
        <v>847</v>
      </c>
      <c r="P245" s="16">
        <v>249</v>
      </c>
      <c r="Q245" s="16" t="s">
        <v>874</v>
      </c>
      <c r="R245" s="129">
        <v>0</v>
      </c>
      <c r="S245" s="83">
        <f t="shared" si="115"/>
        <v>0</v>
      </c>
      <c r="T245" s="83">
        <v>0</v>
      </c>
      <c r="U245" s="83">
        <v>100</v>
      </c>
      <c r="V245" s="129">
        <v>0</v>
      </c>
      <c r="W245" s="153">
        <f t="shared" si="116"/>
        <v>0</v>
      </c>
      <c r="X245" s="84">
        <v>0</v>
      </c>
      <c r="Y245" s="83">
        <f t="shared" si="117"/>
        <v>0</v>
      </c>
      <c r="Z245" s="84">
        <v>0</v>
      </c>
      <c r="AA245" s="163">
        <v>0</v>
      </c>
      <c r="AB245" s="83">
        <f t="shared" si="118"/>
        <v>0</v>
      </c>
      <c r="AC245" s="130">
        <v>0</v>
      </c>
      <c r="AD245" s="84">
        <f>INDEX(Chemical_analyses!$A:$N, MATCH($P245, Chemical_analyses!$A:$A), 12)/$T$2/(INDEX(Chemical_analyses!$A:$N, MATCH($P245, Chemical_analyses!$A:$A), 12)/$T$2+INDEX(Chemical_analyses!$A:$N, MATCH($P245, Chemical_analyses!$A:$A), 13)/$U$2+INDEX(Chemical_analyses!$A:$N, MATCH($P245, Chemical_analyses!$A:$A), 14)/$V$2)*100</f>
        <v>96.190178808321392</v>
      </c>
      <c r="AE245" s="84">
        <f t="shared" si="119"/>
        <v>3.5087055576607473</v>
      </c>
      <c r="AF245" s="130">
        <f>INDEX(Chemical_analyses!$A:$N, MATCH($P245, Chemical_analyses!$A:$A), 14)/$V$2/(INDEX(Chemical_analyses!$A:$N, MATCH($P245, Chemical_analyses!$A:$A), 12)/$T$2+INDEX(Chemical_analyses!$A:$N, MATCH($P245, Chemical_analyses!$A:$A), 13)/$U$2+INDEX(Chemical_analyses!$A:$N, MATCH($P245, Chemical_analyses!$A:$A), 14)/$V$2)*100</f>
        <v>0.30111563401786129</v>
      </c>
      <c r="AG245" s="16" t="s">
        <v>69</v>
      </c>
      <c r="AH245" s="16" t="str">
        <f>_xlfn.CONCAT("CaO: ", INDEX(Chemical_analyses!$A:$N, MATCH($P245, Chemical_analyses!$A:$A), 12), ", Na2O: ", INDEX(Chemical_analyses!$A:$N, MATCH($P245, Chemical_analyses!$A:$A), 13), ", K2O: ", INDEX(Chemical_analyses!$A:$N, MATCH($P245, Chemical_analyses!$A:$A), 14), ", MnO: ", INDEX(Chemical_analyses!$A:$M, MATCH($P245, Chemical_analyses!$A:$A), 10), ", Al2O3: ", INDEX(Chemical_analyses!$A:$M, MATCH($P245, Chemical_analyses!$A:$A), 6))</f>
        <v>CaO: 11.41, Na2O: 0.23, K2O: 0.03, MnO: 0.07, Al2O3: 20.73</v>
      </c>
      <c r="AI245" s="85"/>
      <c r="AJ245" s="85"/>
      <c r="AN245" s="30"/>
      <c r="AO245" s="30"/>
      <c r="AP245" s="30"/>
      <c r="AQ245" s="30"/>
      <c r="AW245" s="30"/>
      <c r="AX245" s="30"/>
      <c r="AY245" s="30"/>
      <c r="AZ245" s="30"/>
    </row>
    <row r="246" spans="1:52" s="16" customFormat="1">
      <c r="A246" s="16" t="s">
        <v>875</v>
      </c>
      <c r="B246" s="81" t="s">
        <v>876</v>
      </c>
      <c r="C246" s="82" t="s">
        <v>162</v>
      </c>
      <c r="D246" s="82" t="s">
        <v>279</v>
      </c>
      <c r="E246" s="16" t="s">
        <v>643</v>
      </c>
      <c r="G246" s="16" t="s">
        <v>821</v>
      </c>
      <c r="H246" s="16" t="s">
        <v>877</v>
      </c>
      <c r="J246" s="16">
        <v>0</v>
      </c>
      <c r="K246" s="16">
        <v>0</v>
      </c>
      <c r="L246" s="16" t="s">
        <v>445</v>
      </c>
      <c r="M246" s="16" t="s">
        <v>878</v>
      </c>
      <c r="N246" s="16" t="s">
        <v>879</v>
      </c>
      <c r="O246" s="16" t="s">
        <v>880</v>
      </c>
      <c r="P246" s="16">
        <v>249</v>
      </c>
      <c r="Q246" s="16" t="s">
        <v>881</v>
      </c>
      <c r="R246" s="129">
        <v>0</v>
      </c>
      <c r="S246" s="83">
        <f t="shared" si="115"/>
        <v>0</v>
      </c>
      <c r="T246" s="83">
        <v>0</v>
      </c>
      <c r="U246" s="83">
        <v>100</v>
      </c>
      <c r="V246" s="129">
        <v>0</v>
      </c>
      <c r="W246" s="153">
        <f t="shared" si="116"/>
        <v>0</v>
      </c>
      <c r="X246" s="84">
        <v>0</v>
      </c>
      <c r="Y246" s="83">
        <f t="shared" si="117"/>
        <v>0</v>
      </c>
      <c r="Z246" s="84">
        <v>0</v>
      </c>
      <c r="AA246" s="163">
        <v>0</v>
      </c>
      <c r="AB246" s="83">
        <f t="shared" si="118"/>
        <v>0</v>
      </c>
      <c r="AC246" s="130">
        <v>0</v>
      </c>
      <c r="AD246" s="84">
        <f>INDEX(Chemical_analyses!$A:$N, MATCH($P246, Chemical_analyses!$A:$A), 12)/$T$2/(INDEX(Chemical_analyses!$A:$N, MATCH($P246, Chemical_analyses!$A:$A), 12)/$T$2+INDEX(Chemical_analyses!$A:$N, MATCH($P246, Chemical_analyses!$A:$A), 13)/$U$2+INDEX(Chemical_analyses!$A:$N, MATCH($P246, Chemical_analyses!$A:$A), 14)/$V$2)*100</f>
        <v>96.190178808321392</v>
      </c>
      <c r="AE246" s="84">
        <f t="shared" si="119"/>
        <v>3.5087055576607473</v>
      </c>
      <c r="AF246" s="130">
        <f>INDEX(Chemical_analyses!$A:$N, MATCH($P246, Chemical_analyses!$A:$A), 14)/$V$2/(INDEX(Chemical_analyses!$A:$N, MATCH($P246, Chemical_analyses!$A:$A), 12)/$T$2+INDEX(Chemical_analyses!$A:$N, MATCH($P246, Chemical_analyses!$A:$A), 13)/$U$2+INDEX(Chemical_analyses!$A:$N, MATCH($P246, Chemical_analyses!$A:$A), 14)/$V$2)*100</f>
        <v>0.30111563401786129</v>
      </c>
      <c r="AG246" s="16" t="s">
        <v>69</v>
      </c>
      <c r="AH246" s="16" t="str">
        <f>_xlfn.CONCAT("CaO: ", INDEX(Chemical_analyses!$A:$N, MATCH($P246, Chemical_analyses!$A:$A), 12), ", Na2O: ", INDEX(Chemical_analyses!$A:$N, MATCH($P246, Chemical_analyses!$A:$A), 13), ", K2O: ", INDEX(Chemical_analyses!$A:$N, MATCH($P246, Chemical_analyses!$A:$A), 14), ", MnO: ", INDEX(Chemical_analyses!$A:$M, MATCH($P246, Chemical_analyses!$A:$A), 10), ", Al2O3: ", INDEX(Chemical_analyses!$A:$M, MATCH($P246, Chemical_analyses!$A:$A), 6))</f>
        <v>CaO: 11.41, Na2O: 0.23, K2O: 0.03, MnO: 0.07, Al2O3: 20.73</v>
      </c>
      <c r="AI246" s="85"/>
      <c r="AJ246" s="85"/>
      <c r="AN246" s="30"/>
      <c r="AO246" s="30"/>
      <c r="AP246" s="30"/>
      <c r="AQ246" s="30"/>
      <c r="AW246" s="30"/>
      <c r="AX246" s="30"/>
      <c r="AY246" s="30"/>
      <c r="AZ246" s="30"/>
    </row>
    <row r="247" spans="1:52" s="16" customFormat="1">
      <c r="A247" s="16" t="s">
        <v>882</v>
      </c>
      <c r="B247" s="81" t="s">
        <v>883</v>
      </c>
      <c r="C247" s="82" t="s">
        <v>162</v>
      </c>
      <c r="D247" s="82" t="s">
        <v>279</v>
      </c>
      <c r="E247" s="16" t="s">
        <v>643</v>
      </c>
      <c r="G247" s="16" t="s">
        <v>821</v>
      </c>
      <c r="H247" s="16" t="s">
        <v>884</v>
      </c>
      <c r="J247" s="16">
        <v>0</v>
      </c>
      <c r="K247" s="16">
        <v>500</v>
      </c>
      <c r="L247" s="16" t="s">
        <v>445</v>
      </c>
      <c r="M247" s="16" t="s">
        <v>885</v>
      </c>
      <c r="N247" s="16" t="s">
        <v>886</v>
      </c>
      <c r="O247" s="16" t="s">
        <v>887</v>
      </c>
      <c r="P247" s="16">
        <v>252</v>
      </c>
      <c r="Q247" s="16" t="s">
        <v>871</v>
      </c>
      <c r="R247" s="129">
        <v>0</v>
      </c>
      <c r="S247" s="83">
        <f t="shared" si="115"/>
        <v>0</v>
      </c>
      <c r="T247" s="83">
        <v>0</v>
      </c>
      <c r="U247" s="83">
        <v>100</v>
      </c>
      <c r="V247" s="129">
        <v>0</v>
      </c>
      <c r="W247" s="153">
        <f t="shared" si="116"/>
        <v>0</v>
      </c>
      <c r="X247" s="84">
        <v>0</v>
      </c>
      <c r="Y247" s="83">
        <f t="shared" si="117"/>
        <v>0</v>
      </c>
      <c r="Z247" s="84">
        <v>0</v>
      </c>
      <c r="AA247" s="163">
        <v>0</v>
      </c>
      <c r="AB247" s="83">
        <f t="shared" si="118"/>
        <v>0</v>
      </c>
      <c r="AC247" s="130">
        <v>0</v>
      </c>
      <c r="AD247" s="84">
        <f>INDEX(Chemical_analyses!$A:$N, MATCH($P247, Chemical_analyses!$A:$A), 12)/$T$2/(INDEX(Chemical_analyses!$A:$N, MATCH($P247, Chemical_analyses!$A:$A), 12)/$T$2+INDEX(Chemical_analyses!$A:$N, MATCH($P247, Chemical_analyses!$A:$A), 13)/$U$2+INDEX(Chemical_analyses!$A:$N, MATCH($P247, Chemical_analyses!$A:$A), 14)/$V$2)*100</f>
        <v>96.911641355302436</v>
      </c>
      <c r="AE247" s="84">
        <f t="shared" si="119"/>
        <v>3.0297289250544219</v>
      </c>
      <c r="AF247" s="130">
        <f>INDEX(Chemical_analyses!$A:$N, MATCH($P247, Chemical_analyses!$A:$A), 14)/$V$2/(INDEX(Chemical_analyses!$A:$N, MATCH($P247, Chemical_analyses!$A:$A), 12)/$T$2+INDEX(Chemical_analyses!$A:$N, MATCH($P247, Chemical_analyses!$A:$A), 13)/$U$2+INDEX(Chemical_analyses!$A:$N, MATCH($P247, Chemical_analyses!$A:$A), 14)/$V$2)*100</f>
        <v>5.8629719643142043E-2</v>
      </c>
      <c r="AG247" s="16" t="s">
        <v>69</v>
      </c>
      <c r="AH247" s="16" t="str">
        <f>_xlfn.CONCAT("CaO: ", INDEX(Chemical_analyses!$A:$N, MATCH($P247, Chemical_analyses!$A:$A), 12), ", Na2O: ", INDEX(Chemical_analyses!$A:$N, MATCH($P247, Chemical_analyses!$A:$A), 13), ", K2O: ", INDEX(Chemical_analyses!$A:$N, MATCH($P247, Chemical_analyses!$A:$A), 14), ", MnO: ", INDEX(Chemical_analyses!$A:$M, MATCH($P247, Chemical_analyses!$A:$A), 10), ", Al2O3: ", INDEX(Chemical_analyses!$A:$M, MATCH($P247, Chemical_analyses!$A:$A), 6))</f>
        <v>CaO: 19.68, Na2O: 0.34, K2O: 0.01, MnO: 0, Al2O3: 35.49</v>
      </c>
      <c r="AI247" s="85"/>
      <c r="AJ247" s="85"/>
      <c r="AN247" s="30"/>
      <c r="AO247" s="30"/>
      <c r="AP247" s="30"/>
      <c r="AQ247" s="30"/>
      <c r="AW247" s="30"/>
      <c r="AX247" s="30"/>
      <c r="AY247" s="30"/>
      <c r="AZ247" s="30"/>
    </row>
    <row r="248" spans="1:52" s="16" customFormat="1">
      <c r="A248" s="16" t="s">
        <v>888</v>
      </c>
      <c r="B248" s="16" t="s">
        <v>889</v>
      </c>
      <c r="C248" s="82" t="s">
        <v>890</v>
      </c>
      <c r="D248" s="82" t="s">
        <v>642</v>
      </c>
      <c r="E248" s="16" t="s">
        <v>643</v>
      </c>
      <c r="G248" s="16" t="s">
        <v>821</v>
      </c>
      <c r="H248" s="16" t="s">
        <v>845</v>
      </c>
      <c r="J248" s="16">
        <v>0</v>
      </c>
      <c r="K248" s="16">
        <v>45</v>
      </c>
      <c r="L248" s="16" t="s">
        <v>64</v>
      </c>
      <c r="M248" s="16" t="s">
        <v>108</v>
      </c>
      <c r="N248" s="16" t="s">
        <v>891</v>
      </c>
      <c r="O248" s="16" t="s">
        <v>892</v>
      </c>
      <c r="P248" s="16">
        <v>529</v>
      </c>
      <c r="R248" s="129">
        <v>0</v>
      </c>
      <c r="S248" s="83">
        <f t="shared" si="115"/>
        <v>0</v>
      </c>
      <c r="T248" s="83">
        <v>0</v>
      </c>
      <c r="U248" s="83">
        <v>100</v>
      </c>
      <c r="V248" s="129">
        <v>0</v>
      </c>
      <c r="W248" s="153">
        <f t="shared" si="116"/>
        <v>0</v>
      </c>
      <c r="X248" s="84">
        <v>0</v>
      </c>
      <c r="Y248" s="83">
        <f t="shared" si="117"/>
        <v>0</v>
      </c>
      <c r="Z248" s="84">
        <v>0</v>
      </c>
      <c r="AA248" s="163">
        <v>0</v>
      </c>
      <c r="AB248" s="83">
        <f t="shared" si="118"/>
        <v>0</v>
      </c>
      <c r="AC248" s="130">
        <v>0</v>
      </c>
      <c r="AD248" s="84">
        <f>INDEX(Chemical_analyses!$A:$N, MATCH($P248, Chemical_analyses!$A:$A), 12)/$T$2/(INDEX(Chemical_analyses!$A:$N, MATCH($P248, Chemical_analyses!$A:$A), 12)/$T$2+INDEX(Chemical_analyses!$A:$N, MATCH($P248, Chemical_analyses!$A:$A), 13)/$U$2+INDEX(Chemical_analyses!$A:$N, MATCH($P248, Chemical_analyses!$A:$A), 14)/$V$2)*100</f>
        <v>52.828015789761416</v>
      </c>
      <c r="AE248" s="84">
        <f t="shared" si="119"/>
        <v>44.878558772672889</v>
      </c>
      <c r="AF248" s="130">
        <f>INDEX(Chemical_analyses!$A:$N, MATCH($P248, Chemical_analyses!$A:$A), 14)/$V$2/(INDEX(Chemical_analyses!$A:$N, MATCH($P248, Chemical_analyses!$A:$A), 12)/$T$2+INDEX(Chemical_analyses!$A:$N, MATCH($P248, Chemical_analyses!$A:$A), 13)/$U$2+INDEX(Chemical_analyses!$A:$N, MATCH($P248, Chemical_analyses!$A:$A), 14)/$V$2)*100</f>
        <v>2.2934254375656957</v>
      </c>
      <c r="AG248" s="16" t="s">
        <v>69</v>
      </c>
      <c r="AH248" s="16" t="str">
        <f>_xlfn.CONCAT("CaO: ", INDEX(Chemical_analyses!$A:$N, MATCH($P248, Chemical_analyses!$A:$A), 12), ", Na2O: ", INDEX(Chemical_analyses!$A:$N, MATCH($P248, Chemical_analyses!$A:$A), 13), ", K2O: ", INDEX(Chemical_analyses!$A:$N, MATCH($P248, Chemical_analyses!$A:$A), 14), ", MnO: ", INDEX(Chemical_analyses!$A:$M, MATCH($P248, Chemical_analyses!$A:$A), 10), ", Al2O3: ", INDEX(Chemical_analyses!$A:$M, MATCH($P248, Chemical_analyses!$A:$A), 6))</f>
        <v>CaO: 10.97, Na2O: 5.15, K2O: 0.4, MnO: 0.01, Al2O3: 27.71</v>
      </c>
      <c r="AI248" s="85"/>
      <c r="AJ248" s="85"/>
      <c r="AN248" s="30"/>
      <c r="AO248" s="30"/>
      <c r="AP248" s="30"/>
      <c r="AQ248" s="30"/>
      <c r="AW248" s="30"/>
      <c r="AX248" s="30"/>
      <c r="AY248" s="30"/>
      <c r="AZ248" s="30"/>
    </row>
    <row r="249" spans="1:52" s="16" customFormat="1">
      <c r="A249" s="16" t="s">
        <v>893</v>
      </c>
      <c r="B249" s="16" t="s">
        <v>894</v>
      </c>
      <c r="C249" s="82" t="s">
        <v>890</v>
      </c>
      <c r="D249" s="82" t="s">
        <v>642</v>
      </c>
      <c r="E249" s="16" t="s">
        <v>643</v>
      </c>
      <c r="G249" s="16" t="s">
        <v>821</v>
      </c>
      <c r="H249" s="16" t="s">
        <v>845</v>
      </c>
      <c r="J249" s="16">
        <v>0</v>
      </c>
      <c r="K249" s="16">
        <v>45</v>
      </c>
      <c r="L249" s="16" t="s">
        <v>64</v>
      </c>
      <c r="M249" s="16" t="s">
        <v>108</v>
      </c>
      <c r="N249" s="16" t="s">
        <v>895</v>
      </c>
      <c r="O249" s="16" t="s">
        <v>892</v>
      </c>
      <c r="P249" s="16">
        <v>532</v>
      </c>
      <c r="R249" s="129">
        <v>0</v>
      </c>
      <c r="S249" s="83">
        <f t="shared" si="115"/>
        <v>0</v>
      </c>
      <c r="T249" s="83">
        <v>0</v>
      </c>
      <c r="U249" s="83">
        <v>100</v>
      </c>
      <c r="V249" s="129">
        <v>0</v>
      </c>
      <c r="W249" s="153">
        <f t="shared" si="116"/>
        <v>0</v>
      </c>
      <c r="X249" s="84">
        <v>0</v>
      </c>
      <c r="Y249" s="83">
        <f t="shared" si="117"/>
        <v>0</v>
      </c>
      <c r="Z249" s="84">
        <v>0</v>
      </c>
      <c r="AA249" s="163">
        <v>0</v>
      </c>
      <c r="AB249" s="83">
        <f t="shared" si="118"/>
        <v>0</v>
      </c>
      <c r="AC249" s="130">
        <v>0</v>
      </c>
      <c r="AD249" s="84">
        <f>INDEX(Chemical_analyses!$A:$N, MATCH($P249, Chemical_analyses!$A:$A), 12)/$T$2/(INDEX(Chemical_analyses!$A:$N, MATCH($P249, Chemical_analyses!$A:$A), 12)/$T$2+INDEX(Chemical_analyses!$A:$N, MATCH($P249, Chemical_analyses!$A:$A), 13)/$U$2+INDEX(Chemical_analyses!$A:$N, MATCH($P249, Chemical_analyses!$A:$A), 14)/$V$2)*100</f>
        <v>52.824427231659065</v>
      </c>
      <c r="AE249" s="84">
        <f t="shared" si="119"/>
        <v>45.069655987472203</v>
      </c>
      <c r="AF249" s="130">
        <f>INDEX(Chemical_analyses!$A:$N, MATCH($P249, Chemical_analyses!$A:$A), 14)/$V$2/(INDEX(Chemical_analyses!$A:$N, MATCH($P249, Chemical_analyses!$A:$A), 12)/$T$2+INDEX(Chemical_analyses!$A:$N, MATCH($P249, Chemical_analyses!$A:$A), 13)/$U$2+INDEX(Chemical_analyses!$A:$N, MATCH($P249, Chemical_analyses!$A:$A), 14)/$V$2)*100</f>
        <v>2.105916780868732</v>
      </c>
      <c r="AG249" s="16" t="s">
        <v>69</v>
      </c>
      <c r="AH249" s="16" t="str">
        <f>_xlfn.CONCAT("CaO: ", INDEX(Chemical_analyses!$A:$N, MATCH($P249, Chemical_analyses!$A:$A), 12), ", Na2O: ", INDEX(Chemical_analyses!$A:$N, MATCH($P249, Chemical_analyses!$A:$A), 13), ", K2O: ", INDEX(Chemical_analyses!$A:$N, MATCH($P249, Chemical_analyses!$A:$A), 14), ", MnO: ", INDEX(Chemical_analyses!$A:$M, MATCH($P249, Chemical_analyses!$A:$A), 10), ", Al2O3: ", INDEX(Chemical_analyses!$A:$M, MATCH($P249, Chemical_analyses!$A:$A), 6))</f>
        <v>CaO: 11.05, Na2O: 5.21, K2O: 0.37, MnO: 0.01, Al2O3: 27.85</v>
      </c>
      <c r="AI249" s="85"/>
      <c r="AJ249" s="85"/>
      <c r="AN249" s="30"/>
      <c r="AO249" s="30"/>
      <c r="AP249" s="30"/>
      <c r="AQ249" s="30"/>
      <c r="AW249" s="30"/>
      <c r="AX249" s="30"/>
      <c r="AY249" s="30"/>
      <c r="AZ249" s="30"/>
    </row>
    <row r="250" spans="1:52" s="16" customFormat="1">
      <c r="A250" s="16" t="s">
        <v>896</v>
      </c>
      <c r="B250" s="16" t="s">
        <v>897</v>
      </c>
      <c r="C250" s="82" t="s">
        <v>890</v>
      </c>
      <c r="D250" s="82" t="s">
        <v>642</v>
      </c>
      <c r="E250" s="16" t="s">
        <v>643</v>
      </c>
      <c r="G250" s="16" t="s">
        <v>821</v>
      </c>
      <c r="H250" s="16" t="s">
        <v>845</v>
      </c>
      <c r="J250" s="16">
        <v>0</v>
      </c>
      <c r="K250" s="16">
        <v>45</v>
      </c>
      <c r="L250" s="16" t="s">
        <v>64</v>
      </c>
      <c r="M250" s="16" t="s">
        <v>108</v>
      </c>
      <c r="N250" s="16" t="s">
        <v>898</v>
      </c>
      <c r="O250" s="16" t="s">
        <v>892</v>
      </c>
      <c r="P250" s="16">
        <v>550</v>
      </c>
      <c r="R250" s="129">
        <v>0</v>
      </c>
      <c r="S250" s="83">
        <f t="shared" si="115"/>
        <v>0</v>
      </c>
      <c r="T250" s="83">
        <v>0</v>
      </c>
      <c r="U250" s="83">
        <v>100</v>
      </c>
      <c r="V250" s="129">
        <v>0</v>
      </c>
      <c r="W250" s="153">
        <f t="shared" si="116"/>
        <v>0</v>
      </c>
      <c r="X250" s="84">
        <v>0</v>
      </c>
      <c r="Y250" s="83">
        <f t="shared" si="117"/>
        <v>0</v>
      </c>
      <c r="Z250" s="84">
        <v>0</v>
      </c>
      <c r="AA250" s="163">
        <v>0</v>
      </c>
      <c r="AB250" s="83">
        <f t="shared" si="118"/>
        <v>0</v>
      </c>
      <c r="AC250" s="130">
        <v>0</v>
      </c>
      <c r="AD250" s="84">
        <f>INDEX(Chemical_analyses!$A:$N, MATCH($P250, Chemical_analyses!$A:$A), 12)/$T$2/(INDEX(Chemical_analyses!$A:$N, MATCH($P250, Chemical_analyses!$A:$A), 12)/$T$2+INDEX(Chemical_analyses!$A:$N, MATCH($P250, Chemical_analyses!$A:$A), 13)/$U$2+INDEX(Chemical_analyses!$A:$N, MATCH($P250, Chemical_analyses!$A:$A), 14)/$V$2)*100</f>
        <v>49.142821010634528</v>
      </c>
      <c r="AE250" s="84">
        <f t="shared" si="119"/>
        <v>49.039405357758767</v>
      </c>
      <c r="AF250" s="130">
        <f>INDEX(Chemical_analyses!$A:$N, MATCH($P250, Chemical_analyses!$A:$A), 14)/$V$2/(INDEX(Chemical_analyses!$A:$N, MATCH($P250, Chemical_analyses!$A:$A), 12)/$T$2+INDEX(Chemical_analyses!$A:$N, MATCH($P250, Chemical_analyses!$A:$A), 13)/$U$2+INDEX(Chemical_analyses!$A:$N, MATCH($P250, Chemical_analyses!$A:$A), 14)/$V$2)*100</f>
        <v>1.8177736316067075</v>
      </c>
      <c r="AG250" s="16" t="s">
        <v>69</v>
      </c>
      <c r="AH250" s="16" t="str">
        <f>_xlfn.CONCAT("CaO: ", INDEX(Chemical_analyses!$A:$N, MATCH($P250, Chemical_analyses!$A:$A), 12), ", Na2O: ", INDEX(Chemical_analyses!$A:$N, MATCH($P250, Chemical_analyses!$A:$A), 13), ", K2O: ", INDEX(Chemical_analyses!$A:$N, MATCH($P250, Chemical_analyses!$A:$A), 14), ", MnO: ", INDEX(Chemical_analyses!$A:$M, MATCH($P250, Chemical_analyses!$A:$A), 10), ", Al2O3: ", INDEX(Chemical_analyses!$A:$M, MATCH($P250, Chemical_analyses!$A:$A), 6))</f>
        <v>CaO: 10.3, Na2O: 5.68, K2O: 0.32, MnO: 0.02, Al2O3: 27.17</v>
      </c>
      <c r="AI250" s="85"/>
      <c r="AJ250" s="85"/>
      <c r="AN250" s="30"/>
      <c r="AO250" s="30"/>
      <c r="AP250" s="30"/>
      <c r="AQ250" s="30"/>
      <c r="AW250" s="30"/>
      <c r="AX250" s="30"/>
      <c r="AY250" s="30"/>
      <c r="AZ250" s="30"/>
    </row>
    <row r="251" spans="1:52" s="16" customFormat="1">
      <c r="A251" s="16" t="s">
        <v>899</v>
      </c>
      <c r="B251" s="16" t="s">
        <v>900</v>
      </c>
      <c r="C251" s="82" t="s">
        <v>890</v>
      </c>
      <c r="D251" s="82" t="s">
        <v>642</v>
      </c>
      <c r="E251" s="16" t="s">
        <v>643</v>
      </c>
      <c r="G251" s="16" t="s">
        <v>821</v>
      </c>
      <c r="H251" s="16" t="s">
        <v>845</v>
      </c>
      <c r="J251" s="16">
        <v>0</v>
      </c>
      <c r="K251" s="16">
        <v>45</v>
      </c>
      <c r="L251" s="16" t="s">
        <v>64</v>
      </c>
      <c r="M251" s="16" t="s">
        <v>108</v>
      </c>
      <c r="N251" s="16" t="s">
        <v>901</v>
      </c>
      <c r="O251" s="16" t="s">
        <v>892</v>
      </c>
      <c r="P251" s="16">
        <v>535</v>
      </c>
      <c r="R251" s="129">
        <v>0</v>
      </c>
      <c r="S251" s="83">
        <f t="shared" si="115"/>
        <v>0</v>
      </c>
      <c r="T251" s="83">
        <v>0</v>
      </c>
      <c r="U251" s="83">
        <v>100</v>
      </c>
      <c r="V251" s="129">
        <v>0</v>
      </c>
      <c r="W251" s="153">
        <f t="shared" si="116"/>
        <v>0</v>
      </c>
      <c r="X251" s="84">
        <v>0</v>
      </c>
      <c r="Y251" s="83">
        <f t="shared" si="117"/>
        <v>0</v>
      </c>
      <c r="Z251" s="84">
        <v>0</v>
      </c>
      <c r="AA251" s="163">
        <v>0</v>
      </c>
      <c r="AB251" s="83">
        <f t="shared" si="118"/>
        <v>0</v>
      </c>
      <c r="AC251" s="130">
        <v>0</v>
      </c>
      <c r="AD251" s="84">
        <f>INDEX(Chemical_analyses!$A:$N, MATCH($P251, Chemical_analyses!$A:$A), 12)/$T$2/(INDEX(Chemical_analyses!$A:$N, MATCH($P251, Chemical_analyses!$A:$A), 12)/$T$2+INDEX(Chemical_analyses!$A:$N, MATCH($P251, Chemical_analyses!$A:$A), 13)/$U$2+INDEX(Chemical_analyses!$A:$N, MATCH($P251, Chemical_analyses!$A:$A), 14)/$V$2)*100</f>
        <v>83.832725822098368</v>
      </c>
      <c r="AE251" s="84">
        <f t="shared" si="119"/>
        <v>15.012048569705875</v>
      </c>
      <c r="AF251" s="130">
        <f>INDEX(Chemical_analyses!$A:$N, MATCH($P251, Chemical_analyses!$A:$A), 14)/$V$2/(INDEX(Chemical_analyses!$A:$N, MATCH($P251, Chemical_analyses!$A:$A), 12)/$T$2+INDEX(Chemical_analyses!$A:$N, MATCH($P251, Chemical_analyses!$A:$A), 13)/$U$2+INDEX(Chemical_analyses!$A:$N, MATCH($P251, Chemical_analyses!$A:$A), 14)/$V$2)*100</f>
        <v>1.1552256081957561</v>
      </c>
      <c r="AG251" s="16" t="s">
        <v>69</v>
      </c>
      <c r="AH251" s="16" t="str">
        <f>_xlfn.CONCAT("CaO: ", INDEX(Chemical_analyses!$A:$N, MATCH($P251, Chemical_analyses!$A:$A), 12), ", Na2O: ", INDEX(Chemical_analyses!$A:$N, MATCH($P251, Chemical_analyses!$A:$A), 13), ", K2O: ", INDEX(Chemical_analyses!$A:$N, MATCH($P251, Chemical_analyses!$A:$A), 14), ", MnO: ", INDEX(Chemical_analyses!$A:$M, MATCH($P251, Chemical_analyses!$A:$A), 10), ", Al2O3: ", INDEX(Chemical_analyses!$A:$M, MATCH($P251, Chemical_analyses!$A:$A), 6))</f>
        <v>CaO: 17.28, Na2O: 1.71, K2O: 0.2, MnO: 0.01, Al2O3: 32.7</v>
      </c>
      <c r="AI251" s="85"/>
      <c r="AJ251" s="85"/>
      <c r="AN251" s="30"/>
      <c r="AO251" s="30"/>
      <c r="AP251" s="30"/>
      <c r="AQ251" s="30"/>
      <c r="AW251" s="30"/>
      <c r="AX251" s="30"/>
      <c r="AY251" s="30"/>
      <c r="AZ251" s="30"/>
    </row>
    <row r="252" spans="1:52" s="16" customFormat="1">
      <c r="A252" s="16" t="s">
        <v>902</v>
      </c>
      <c r="B252" s="16" t="s">
        <v>903</v>
      </c>
      <c r="C252" s="82" t="s">
        <v>890</v>
      </c>
      <c r="D252" s="82" t="s">
        <v>642</v>
      </c>
      <c r="E252" s="16" t="s">
        <v>643</v>
      </c>
      <c r="G252" s="16" t="s">
        <v>821</v>
      </c>
      <c r="H252" s="16" t="s">
        <v>845</v>
      </c>
      <c r="J252" s="16">
        <v>0</v>
      </c>
      <c r="K252" s="16">
        <v>45</v>
      </c>
      <c r="L252" s="16" t="s">
        <v>64</v>
      </c>
      <c r="M252" s="16" t="s">
        <v>108</v>
      </c>
      <c r="N252" s="16" t="s">
        <v>836</v>
      </c>
      <c r="O252" s="16" t="s">
        <v>892</v>
      </c>
      <c r="P252" s="16">
        <v>536</v>
      </c>
      <c r="R252" s="129">
        <v>0</v>
      </c>
      <c r="S252" s="83">
        <f t="shared" si="115"/>
        <v>0</v>
      </c>
      <c r="T252" s="83">
        <v>0</v>
      </c>
      <c r="U252" s="83">
        <v>100</v>
      </c>
      <c r="V252" s="129">
        <v>0</v>
      </c>
      <c r="W252" s="153">
        <f t="shared" si="116"/>
        <v>0</v>
      </c>
      <c r="X252" s="84">
        <v>0</v>
      </c>
      <c r="Y252" s="83">
        <f t="shared" si="117"/>
        <v>0</v>
      </c>
      <c r="Z252" s="84">
        <v>0</v>
      </c>
      <c r="AA252" s="163">
        <v>0</v>
      </c>
      <c r="AB252" s="83">
        <f t="shared" si="118"/>
        <v>0</v>
      </c>
      <c r="AC252" s="130">
        <v>0</v>
      </c>
      <c r="AD252" s="84">
        <f>INDEX(Chemical_analyses!$A:$N, MATCH($P252, Chemical_analyses!$A:$A), 12)/$T$2/(INDEX(Chemical_analyses!$A:$N, MATCH($P252, Chemical_analyses!$A:$A), 12)/$T$2+INDEX(Chemical_analyses!$A:$N, MATCH($P252, Chemical_analyses!$A:$A), 13)/$U$2+INDEX(Chemical_analyses!$A:$N, MATCH($P252, Chemical_analyses!$A:$A), 14)/$V$2)*100</f>
        <v>67.313770626403297</v>
      </c>
      <c r="AE252" s="84">
        <f t="shared" si="119"/>
        <v>31.984750376737267</v>
      </c>
      <c r="AF252" s="130">
        <f>INDEX(Chemical_analyses!$A:$N, MATCH($P252, Chemical_analyses!$A:$A), 14)/$V$2/(INDEX(Chemical_analyses!$A:$N, MATCH($P252, Chemical_analyses!$A:$A), 12)/$T$2+INDEX(Chemical_analyses!$A:$N, MATCH($P252, Chemical_analyses!$A:$A), 13)/$U$2+INDEX(Chemical_analyses!$A:$N, MATCH($P252, Chemical_analyses!$A:$A), 14)/$V$2)*100</f>
        <v>0.70147899685943449</v>
      </c>
      <c r="AG252" s="16" t="s">
        <v>69</v>
      </c>
      <c r="AH252" s="16" t="str">
        <f>_xlfn.CONCAT("CaO: ", INDEX(Chemical_analyses!$A:$N, MATCH($P252, Chemical_analyses!$A:$A), 12), ", Na2O: ", INDEX(Chemical_analyses!$A:$N, MATCH($P252, Chemical_analyses!$A:$A), 13), ", K2O: ", INDEX(Chemical_analyses!$A:$N, MATCH($P252, Chemical_analyses!$A:$A), 14), ", MnO: ", INDEX(Chemical_analyses!$A:$M, MATCH($P252, Chemical_analyses!$A:$A), 10), ", Al2O3: ", INDEX(Chemical_analyses!$A:$M, MATCH($P252, Chemical_analyses!$A:$A), 6))</f>
        <v>CaO: 13.71, Na2O: 3.6, K2O: 0.12, MnO: 0, Al2O3: 31.19</v>
      </c>
      <c r="AI252" s="85"/>
      <c r="AJ252" s="85"/>
      <c r="AN252" s="30"/>
      <c r="AO252" s="30"/>
      <c r="AP252" s="30"/>
      <c r="AQ252" s="30"/>
      <c r="AW252" s="30"/>
      <c r="AX252" s="30"/>
      <c r="AY252" s="30"/>
      <c r="AZ252" s="30"/>
    </row>
    <row r="253" spans="1:52" s="16" customFormat="1">
      <c r="A253" s="16" t="s">
        <v>904</v>
      </c>
      <c r="B253" s="16" t="s">
        <v>905</v>
      </c>
      <c r="C253" s="82" t="s">
        <v>890</v>
      </c>
      <c r="D253" s="82" t="s">
        <v>642</v>
      </c>
      <c r="E253" s="16" t="s">
        <v>643</v>
      </c>
      <c r="G253" s="16" t="s">
        <v>821</v>
      </c>
      <c r="H253" s="16" t="s">
        <v>845</v>
      </c>
      <c r="J253" s="16">
        <v>0</v>
      </c>
      <c r="K253" s="16">
        <v>45</v>
      </c>
      <c r="L253" s="16" t="s">
        <v>64</v>
      </c>
      <c r="M253" s="16" t="s">
        <v>108</v>
      </c>
      <c r="N253" s="16" t="s">
        <v>836</v>
      </c>
      <c r="O253" s="16" t="s">
        <v>892</v>
      </c>
      <c r="P253" s="16">
        <v>0</v>
      </c>
      <c r="R253" s="129">
        <v>0</v>
      </c>
      <c r="S253" s="83">
        <f t="shared" si="115"/>
        <v>0</v>
      </c>
      <c r="T253" s="83">
        <v>0</v>
      </c>
      <c r="U253" s="83">
        <v>100</v>
      </c>
      <c r="V253" s="129">
        <v>0</v>
      </c>
      <c r="W253" s="153">
        <f t="shared" si="116"/>
        <v>0</v>
      </c>
      <c r="X253" s="84">
        <v>0</v>
      </c>
      <c r="Y253" s="83">
        <f t="shared" si="117"/>
        <v>0</v>
      </c>
      <c r="Z253" s="84">
        <v>0</v>
      </c>
      <c r="AA253" s="163">
        <v>0</v>
      </c>
      <c r="AB253" s="83">
        <f t="shared" si="118"/>
        <v>0</v>
      </c>
      <c r="AC253" s="130">
        <v>0</v>
      </c>
      <c r="AD253" s="84">
        <v>53.7</v>
      </c>
      <c r="AE253" s="84">
        <f t="shared" si="119"/>
        <v>45.599999999999994</v>
      </c>
      <c r="AF253" s="130">
        <v>0.7</v>
      </c>
      <c r="AG253" s="16" t="s">
        <v>69</v>
      </c>
      <c r="AH253" s="200" t="s">
        <v>906</v>
      </c>
      <c r="AI253" s="85"/>
      <c r="AJ253" s="85"/>
      <c r="AN253" s="30"/>
      <c r="AO253" s="30"/>
      <c r="AP253" s="30"/>
      <c r="AQ253" s="30"/>
      <c r="AW253" s="30"/>
      <c r="AX253" s="30"/>
      <c r="AY253" s="30"/>
      <c r="AZ253" s="30"/>
    </row>
    <row r="254" spans="1:52" s="16" customFormat="1">
      <c r="A254" s="16" t="s">
        <v>907</v>
      </c>
      <c r="B254" s="16" t="s">
        <v>908</v>
      </c>
      <c r="C254" s="82" t="s">
        <v>890</v>
      </c>
      <c r="D254" s="82" t="s">
        <v>642</v>
      </c>
      <c r="E254" s="16" t="s">
        <v>643</v>
      </c>
      <c r="G254" s="16" t="s">
        <v>821</v>
      </c>
      <c r="H254" s="16" t="s">
        <v>845</v>
      </c>
      <c r="J254" s="16">
        <v>0</v>
      </c>
      <c r="K254" s="16">
        <v>45</v>
      </c>
      <c r="L254" s="16" t="s">
        <v>64</v>
      </c>
      <c r="M254" s="16" t="s">
        <v>108</v>
      </c>
      <c r="N254" s="16" t="s">
        <v>909</v>
      </c>
      <c r="O254" s="16" t="s">
        <v>892</v>
      </c>
      <c r="P254" s="16">
        <v>551</v>
      </c>
      <c r="R254" s="129">
        <v>0</v>
      </c>
      <c r="S254" s="83">
        <f t="shared" si="115"/>
        <v>0</v>
      </c>
      <c r="T254" s="83">
        <v>0</v>
      </c>
      <c r="U254" s="83">
        <v>100</v>
      </c>
      <c r="V254" s="129">
        <v>0</v>
      </c>
      <c r="W254" s="153">
        <f t="shared" si="116"/>
        <v>0</v>
      </c>
      <c r="X254" s="84">
        <v>0</v>
      </c>
      <c r="Y254" s="83">
        <f t="shared" si="117"/>
        <v>0</v>
      </c>
      <c r="Z254" s="84">
        <v>0</v>
      </c>
      <c r="AA254" s="163">
        <v>0</v>
      </c>
      <c r="AB254" s="83">
        <f t="shared" si="118"/>
        <v>0</v>
      </c>
      <c r="AC254" s="130">
        <v>0</v>
      </c>
      <c r="AD254" s="84">
        <f>INDEX(Chemical_analyses!$A:$N, MATCH($P254, Chemical_analyses!$A:$A), 12)/$T$2/(INDEX(Chemical_analyses!$A:$N, MATCH($P254, Chemical_analyses!$A:$A), 12)/$T$2+INDEX(Chemical_analyses!$A:$N, MATCH($P254, Chemical_analyses!$A:$A), 13)/$U$2+INDEX(Chemical_analyses!$A:$N, MATCH($P254, Chemical_analyses!$A:$A), 14)/$V$2)*100</f>
        <v>57.935718991742505</v>
      </c>
      <c r="AE254" s="84">
        <f t="shared" si="119"/>
        <v>40.402840196006778</v>
      </c>
      <c r="AF254" s="130">
        <f>INDEX(Chemical_analyses!$A:$N, MATCH($P254, Chemical_analyses!$A:$A), 14)/$V$2/(INDEX(Chemical_analyses!$A:$N, MATCH($P254, Chemical_analyses!$A:$A), 12)/$T$2+INDEX(Chemical_analyses!$A:$N, MATCH($P254, Chemical_analyses!$A:$A), 13)/$U$2+INDEX(Chemical_analyses!$A:$N, MATCH($P254, Chemical_analyses!$A:$A), 14)/$V$2)*100</f>
        <v>1.6614408122507192</v>
      </c>
      <c r="AG254" s="16" t="s">
        <v>69</v>
      </c>
      <c r="AH254" s="16" t="str">
        <f>_xlfn.CONCAT("CaO: ", INDEX(Chemical_analyses!$A:$N, MATCH($P254, Chemical_analyses!$A:$A), 12), ", Na2O: ", INDEX(Chemical_analyses!$A:$N, MATCH($P254, Chemical_analyses!$A:$A), 13), ", K2O: ", INDEX(Chemical_analyses!$A:$N, MATCH($P254, Chemical_analyses!$A:$A), 14), ", MnO: ", INDEX(Chemical_analyses!$A:$M, MATCH($P254, Chemical_analyses!$A:$A), 10), ", Al2O3: ", INDEX(Chemical_analyses!$A:$M, MATCH($P254, Chemical_analyses!$A:$A), 6))</f>
        <v>CaO: 12.04, Na2O: 4.64, K2O: 0.29, MnO: 0.02, Al2O3: 29.11</v>
      </c>
      <c r="AI254" s="85"/>
      <c r="AJ254" s="85"/>
      <c r="AN254" s="30"/>
      <c r="AO254" s="30"/>
      <c r="AP254" s="30"/>
      <c r="AQ254" s="30"/>
      <c r="AW254" s="30"/>
      <c r="AX254" s="30"/>
      <c r="AY254" s="30"/>
      <c r="AZ254" s="30"/>
    </row>
    <row r="255" spans="1:52" s="16" customFormat="1">
      <c r="A255" s="16" t="s">
        <v>910</v>
      </c>
      <c r="B255" s="16" t="s">
        <v>911</v>
      </c>
      <c r="C255" s="82" t="s">
        <v>890</v>
      </c>
      <c r="D255" s="82" t="s">
        <v>642</v>
      </c>
      <c r="E255" s="16" t="s">
        <v>643</v>
      </c>
      <c r="G255" s="16" t="s">
        <v>821</v>
      </c>
      <c r="H255" s="16" t="s">
        <v>845</v>
      </c>
      <c r="J255" s="16">
        <v>0</v>
      </c>
      <c r="K255" s="16">
        <v>45</v>
      </c>
      <c r="L255" s="16" t="s">
        <v>64</v>
      </c>
      <c r="M255" s="16" t="s">
        <v>108</v>
      </c>
      <c r="N255" s="16" t="s">
        <v>912</v>
      </c>
      <c r="O255" s="16" t="s">
        <v>892</v>
      </c>
      <c r="P255" s="16">
        <v>0</v>
      </c>
      <c r="R255" s="129">
        <v>0</v>
      </c>
      <c r="S255" s="83">
        <f t="shared" si="115"/>
        <v>0</v>
      </c>
      <c r="T255" s="83">
        <v>0</v>
      </c>
      <c r="U255" s="83">
        <v>100</v>
      </c>
      <c r="V255" s="129">
        <v>0</v>
      </c>
      <c r="W255" s="153">
        <f t="shared" si="116"/>
        <v>0</v>
      </c>
      <c r="X255" s="84">
        <v>0</v>
      </c>
      <c r="Y255" s="83">
        <f t="shared" si="117"/>
        <v>0</v>
      </c>
      <c r="Z255" s="84">
        <v>0</v>
      </c>
      <c r="AA255" s="163">
        <v>0</v>
      </c>
      <c r="AB255" s="83">
        <f t="shared" si="118"/>
        <v>0</v>
      </c>
      <c r="AC255" s="130">
        <v>0</v>
      </c>
      <c r="AD255" s="84">
        <v>26.5</v>
      </c>
      <c r="AE255" s="84">
        <f t="shared" si="119"/>
        <v>71.3</v>
      </c>
      <c r="AF255" s="130">
        <v>2.2000000000000002</v>
      </c>
      <c r="AG255" s="16" t="s">
        <v>69</v>
      </c>
      <c r="AH255" s="200" t="s">
        <v>906</v>
      </c>
      <c r="AI255" s="85"/>
      <c r="AJ255" s="85"/>
      <c r="AN255" s="30"/>
      <c r="AO255" s="30"/>
      <c r="AP255" s="30"/>
      <c r="AQ255" s="30"/>
      <c r="AW255" s="30"/>
      <c r="AX255" s="30"/>
      <c r="AY255" s="30"/>
      <c r="AZ255" s="30"/>
    </row>
    <row r="256" spans="1:52" s="16" customFormat="1">
      <c r="A256" s="16" t="s">
        <v>913</v>
      </c>
      <c r="B256" s="16" t="s">
        <v>914</v>
      </c>
      <c r="C256" s="82" t="s">
        <v>890</v>
      </c>
      <c r="D256" s="82" t="s">
        <v>642</v>
      </c>
      <c r="E256" s="16" t="s">
        <v>643</v>
      </c>
      <c r="G256" s="16" t="s">
        <v>821</v>
      </c>
      <c r="H256" s="16" t="s">
        <v>845</v>
      </c>
      <c r="J256" s="16">
        <v>0</v>
      </c>
      <c r="K256" s="16">
        <v>45</v>
      </c>
      <c r="L256" s="16" t="s">
        <v>64</v>
      </c>
      <c r="M256" s="16" t="s">
        <v>108</v>
      </c>
      <c r="N256" s="16" t="s">
        <v>915</v>
      </c>
      <c r="O256" s="16" t="s">
        <v>892</v>
      </c>
      <c r="P256" s="16">
        <v>552</v>
      </c>
      <c r="R256" s="129">
        <v>0</v>
      </c>
      <c r="S256" s="83">
        <f t="shared" si="115"/>
        <v>0</v>
      </c>
      <c r="T256" s="83">
        <v>0</v>
      </c>
      <c r="U256" s="83">
        <v>100</v>
      </c>
      <c r="V256" s="129">
        <v>0</v>
      </c>
      <c r="W256" s="153">
        <f t="shared" si="116"/>
        <v>0</v>
      </c>
      <c r="X256" s="84">
        <v>0</v>
      </c>
      <c r="Y256" s="83">
        <f t="shared" si="117"/>
        <v>0</v>
      </c>
      <c r="Z256" s="84">
        <v>0</v>
      </c>
      <c r="AA256" s="163">
        <v>0</v>
      </c>
      <c r="AB256" s="83">
        <f t="shared" si="118"/>
        <v>0</v>
      </c>
      <c r="AC256" s="130">
        <v>0</v>
      </c>
      <c r="AD256" s="84">
        <f>INDEX(Chemical_analyses!$A:$N, MATCH($P256, Chemical_analyses!$A:$A), 12)/$T$2/(INDEX(Chemical_analyses!$A:$N, MATCH($P256, Chemical_analyses!$A:$A), 12)/$T$2+INDEX(Chemical_analyses!$A:$N, MATCH($P256, Chemical_analyses!$A:$A), 13)/$U$2+INDEX(Chemical_analyses!$A:$N, MATCH($P256, Chemical_analyses!$A:$A), 14)/$V$2)*100</f>
        <v>11.406989254048826</v>
      </c>
      <c r="AE256" s="84">
        <f t="shared" si="119"/>
        <v>87.706075541902479</v>
      </c>
      <c r="AF256" s="130">
        <f>INDEX(Chemical_analyses!$A:$N, MATCH($P256, Chemical_analyses!$A:$A), 14)/$V$2/(INDEX(Chemical_analyses!$A:$N, MATCH($P256, Chemical_analyses!$A:$A), 12)/$T$2+INDEX(Chemical_analyses!$A:$N, MATCH($P256, Chemical_analyses!$A:$A), 13)/$U$2+INDEX(Chemical_analyses!$A:$N, MATCH($P256, Chemical_analyses!$A:$A), 14)/$V$2)*100</f>
        <v>0.88693520404869897</v>
      </c>
      <c r="AG256" s="16" t="s">
        <v>69</v>
      </c>
      <c r="AH256" s="16" t="str">
        <f>_xlfn.CONCAT("CaO: ", INDEX(Chemical_analyses!$A:$N, MATCH($P256, Chemical_analyses!$A:$A), 12), ", Na2O: ", INDEX(Chemical_analyses!$A:$N, MATCH($P256, Chemical_analyses!$A:$A), 13), ", K2O: ", INDEX(Chemical_analyses!$A:$N, MATCH($P256, Chemical_analyses!$A:$A), 14), ", MnO: ", INDEX(Chemical_analyses!$A:$M, MATCH($P256, Chemical_analyses!$A:$A), 10), ", Al2O3: ", INDEX(Chemical_analyses!$A:$M, MATCH($P256, Chemical_analyses!$A:$A), 6))</f>
        <v>CaO: 2.45, Na2O: 10.41, K2O: 0.16, MnO: 0, Al2O3: 21.79</v>
      </c>
      <c r="AI256" s="85"/>
      <c r="AJ256" s="85"/>
      <c r="AN256" s="30"/>
      <c r="AO256" s="30"/>
      <c r="AP256" s="30"/>
      <c r="AQ256" s="30"/>
      <c r="AW256" s="30"/>
      <c r="AX256" s="30"/>
      <c r="AY256" s="30"/>
      <c r="AZ256" s="30"/>
    </row>
    <row r="257" spans="1:52" s="16" customFormat="1">
      <c r="A257" s="16" t="s">
        <v>916</v>
      </c>
      <c r="B257" s="16" t="s">
        <v>917</v>
      </c>
      <c r="C257" s="82" t="s">
        <v>890</v>
      </c>
      <c r="D257" s="82" t="s">
        <v>642</v>
      </c>
      <c r="E257" s="16" t="s">
        <v>643</v>
      </c>
      <c r="G257" s="16" t="s">
        <v>821</v>
      </c>
      <c r="H257" s="16" t="s">
        <v>845</v>
      </c>
      <c r="J257" s="16">
        <v>0</v>
      </c>
      <c r="K257" s="16">
        <v>45</v>
      </c>
      <c r="L257" s="16" t="s">
        <v>64</v>
      </c>
      <c r="M257" s="16" t="s">
        <v>108</v>
      </c>
      <c r="N257" s="16" t="s">
        <v>836</v>
      </c>
      <c r="O257" s="16" t="s">
        <v>892</v>
      </c>
      <c r="P257" s="16">
        <v>0</v>
      </c>
      <c r="R257" s="129">
        <v>0</v>
      </c>
      <c r="S257" s="83">
        <f t="shared" si="115"/>
        <v>0</v>
      </c>
      <c r="T257" s="83">
        <v>0</v>
      </c>
      <c r="U257" s="83">
        <v>100</v>
      </c>
      <c r="V257" s="129">
        <v>0</v>
      </c>
      <c r="W257" s="153">
        <f t="shared" si="116"/>
        <v>0</v>
      </c>
      <c r="X257" s="84">
        <v>0</v>
      </c>
      <c r="Y257" s="83">
        <f t="shared" si="117"/>
        <v>0</v>
      </c>
      <c r="Z257" s="84">
        <v>0</v>
      </c>
      <c r="AA257" s="163">
        <v>0</v>
      </c>
      <c r="AB257" s="83">
        <f t="shared" si="118"/>
        <v>0</v>
      </c>
      <c r="AC257" s="130">
        <v>0</v>
      </c>
      <c r="AD257" s="84">
        <v>59.7</v>
      </c>
      <c r="AE257" s="84">
        <f t="shared" si="119"/>
        <v>38.099999999999994</v>
      </c>
      <c r="AF257" s="130">
        <v>2.2000000000000002</v>
      </c>
      <c r="AG257" s="16" t="s">
        <v>69</v>
      </c>
      <c r="AH257" s="200" t="s">
        <v>906</v>
      </c>
      <c r="AI257" s="85"/>
      <c r="AJ257" s="85"/>
      <c r="AN257" s="30"/>
      <c r="AO257" s="30"/>
      <c r="AP257" s="30"/>
      <c r="AQ257" s="30"/>
      <c r="AW257" s="30"/>
      <c r="AX257" s="30"/>
      <c r="AY257" s="30"/>
      <c r="AZ257" s="30"/>
    </row>
    <row r="258" spans="1:52" s="16" customFormat="1">
      <c r="A258" s="16" t="s">
        <v>918</v>
      </c>
      <c r="B258" s="16" t="s">
        <v>919</v>
      </c>
      <c r="C258" s="82" t="s">
        <v>890</v>
      </c>
      <c r="D258" s="82" t="s">
        <v>642</v>
      </c>
      <c r="E258" s="16" t="s">
        <v>643</v>
      </c>
      <c r="G258" s="16" t="s">
        <v>821</v>
      </c>
      <c r="H258" s="16" t="s">
        <v>845</v>
      </c>
      <c r="J258" s="16">
        <v>0</v>
      </c>
      <c r="K258" s="16">
        <v>45</v>
      </c>
      <c r="L258" s="16" t="s">
        <v>64</v>
      </c>
      <c r="M258" s="16" t="s">
        <v>108</v>
      </c>
      <c r="N258" s="16" t="s">
        <v>920</v>
      </c>
      <c r="O258" s="16" t="s">
        <v>892</v>
      </c>
      <c r="P258" s="16">
        <v>553</v>
      </c>
      <c r="R258" s="129">
        <v>0</v>
      </c>
      <c r="S258" s="83">
        <f t="shared" si="115"/>
        <v>0</v>
      </c>
      <c r="T258" s="83">
        <v>0</v>
      </c>
      <c r="U258" s="83">
        <v>100</v>
      </c>
      <c r="V258" s="129">
        <v>0</v>
      </c>
      <c r="W258" s="153">
        <f t="shared" si="116"/>
        <v>0</v>
      </c>
      <c r="X258" s="84">
        <v>0</v>
      </c>
      <c r="Y258" s="83">
        <f t="shared" si="117"/>
        <v>0</v>
      </c>
      <c r="Z258" s="84">
        <v>0</v>
      </c>
      <c r="AA258" s="163">
        <v>0</v>
      </c>
      <c r="AB258" s="83">
        <f t="shared" si="118"/>
        <v>0</v>
      </c>
      <c r="AC258" s="130">
        <v>0</v>
      </c>
      <c r="AD258" s="84">
        <f>INDEX(Chemical_analyses!$A:$N, MATCH($P258, Chemical_analyses!$A:$A), 12)/$T$2/(INDEX(Chemical_analyses!$A:$N, MATCH($P258, Chemical_analyses!$A:$A), 12)/$T$2+INDEX(Chemical_analyses!$A:$N, MATCH($P258, Chemical_analyses!$A:$A), 13)/$U$2+INDEX(Chemical_analyses!$A:$N, MATCH($P258, Chemical_analyses!$A:$A), 14)/$V$2)*100</f>
        <v>71.471016098120373</v>
      </c>
      <c r="AE258" s="84">
        <f t="shared" si="119"/>
        <v>28.528983901879627</v>
      </c>
      <c r="AF258" s="130">
        <f>INDEX(Chemical_analyses!$A:$N, MATCH($P258, Chemical_analyses!$A:$A), 14)/$V$2/(INDEX(Chemical_analyses!$A:$N, MATCH($P258, Chemical_analyses!$A:$A), 12)/$T$2+INDEX(Chemical_analyses!$A:$N, MATCH($P258, Chemical_analyses!$A:$A), 13)/$U$2+INDEX(Chemical_analyses!$A:$N, MATCH($P258, Chemical_analyses!$A:$A), 14)/$V$2)*100</f>
        <v>0</v>
      </c>
      <c r="AG258" s="16" t="s">
        <v>69</v>
      </c>
      <c r="AH258" s="16" t="str">
        <f>_xlfn.CONCAT("CaO: ", INDEX(Chemical_analyses!$A:$N, MATCH($P258, Chemical_analyses!$A:$A), 12), ", Na2O: ", INDEX(Chemical_analyses!$A:$N, MATCH($P258, Chemical_analyses!$A:$A), 13), ", K2O: ", INDEX(Chemical_analyses!$A:$N, MATCH($P258, Chemical_analyses!$A:$A), 14), ", MnO: ", INDEX(Chemical_analyses!$A:$M, MATCH($P258, Chemical_analyses!$A:$A), 10), ", Al2O3: ", INDEX(Chemical_analyses!$A:$M, MATCH($P258, Chemical_analyses!$A:$A), 6))</f>
        <v>CaO: 17, Na2O: 3.75, K2O: 0, MnO: 0.01, Al2O3: 27.21</v>
      </c>
      <c r="AI258" s="85"/>
      <c r="AJ258" s="85"/>
      <c r="AN258" s="30"/>
      <c r="AO258" s="30"/>
      <c r="AP258" s="30"/>
      <c r="AQ258" s="30"/>
      <c r="AW258" s="30"/>
      <c r="AX258" s="30"/>
      <c r="AY258" s="30"/>
      <c r="AZ258" s="30"/>
    </row>
    <row r="259" spans="1:52" s="16" customFormat="1">
      <c r="A259" s="16" t="s">
        <v>921</v>
      </c>
      <c r="B259" s="16" t="s">
        <v>922</v>
      </c>
      <c r="C259" s="82" t="s">
        <v>890</v>
      </c>
      <c r="D259" s="82" t="s">
        <v>642</v>
      </c>
      <c r="E259" s="16" t="s">
        <v>643</v>
      </c>
      <c r="G259" s="16" t="s">
        <v>821</v>
      </c>
      <c r="H259" s="16" t="s">
        <v>845</v>
      </c>
      <c r="J259" s="16">
        <v>0</v>
      </c>
      <c r="K259" s="16">
        <v>45</v>
      </c>
      <c r="L259" s="16" t="s">
        <v>64</v>
      </c>
      <c r="M259" s="16" t="s">
        <v>65</v>
      </c>
      <c r="N259" s="16" t="s">
        <v>909</v>
      </c>
      <c r="O259" s="16" t="s">
        <v>892</v>
      </c>
      <c r="P259" s="16">
        <v>0</v>
      </c>
      <c r="R259" s="129">
        <v>0</v>
      </c>
      <c r="S259" s="83">
        <f t="shared" si="115"/>
        <v>0</v>
      </c>
      <c r="T259" s="83">
        <v>0</v>
      </c>
      <c r="U259" s="83">
        <v>100</v>
      </c>
      <c r="V259" s="129">
        <v>0</v>
      </c>
      <c r="W259" s="153">
        <f t="shared" si="116"/>
        <v>0</v>
      </c>
      <c r="X259" s="84">
        <v>0</v>
      </c>
      <c r="Y259" s="83">
        <f t="shared" si="117"/>
        <v>0</v>
      </c>
      <c r="Z259" s="84">
        <v>0</v>
      </c>
      <c r="AA259" s="163">
        <v>0</v>
      </c>
      <c r="AB259" s="83">
        <f t="shared" si="118"/>
        <v>0</v>
      </c>
      <c r="AC259" s="130">
        <v>0</v>
      </c>
      <c r="AD259" s="84">
        <v>64</v>
      </c>
      <c r="AE259" s="84">
        <f t="shared" si="119"/>
        <v>34.4</v>
      </c>
      <c r="AF259" s="130">
        <v>1.6</v>
      </c>
      <c r="AG259" s="16" t="s">
        <v>69</v>
      </c>
      <c r="AH259" s="200" t="s">
        <v>906</v>
      </c>
      <c r="AI259" s="85"/>
      <c r="AJ259" s="85"/>
      <c r="AN259" s="30"/>
      <c r="AO259" s="30"/>
      <c r="AP259" s="30"/>
      <c r="AQ259" s="30"/>
      <c r="AW259" s="30"/>
      <c r="AX259" s="30"/>
      <c r="AY259" s="30"/>
      <c r="AZ259" s="30"/>
    </row>
    <row r="260" spans="1:52" s="16" customFormat="1">
      <c r="A260" s="16" t="s">
        <v>923</v>
      </c>
      <c r="B260" s="16" t="s">
        <v>924</v>
      </c>
      <c r="C260" s="82" t="s">
        <v>925</v>
      </c>
      <c r="D260" s="82" t="s">
        <v>642</v>
      </c>
      <c r="E260" s="16" t="s">
        <v>643</v>
      </c>
      <c r="G260" s="16" t="s">
        <v>821</v>
      </c>
      <c r="H260" s="16" t="s">
        <v>926</v>
      </c>
      <c r="J260" s="16">
        <v>0</v>
      </c>
      <c r="K260" s="16">
        <v>0</v>
      </c>
      <c r="M260" s="16" t="s">
        <v>927</v>
      </c>
      <c r="N260" s="16" t="s">
        <v>928</v>
      </c>
      <c r="O260" s="16" t="s">
        <v>929</v>
      </c>
      <c r="P260" s="16">
        <v>749</v>
      </c>
      <c r="Q260" s="16" t="s">
        <v>930</v>
      </c>
      <c r="R260" s="129">
        <v>0</v>
      </c>
      <c r="S260" s="83">
        <f t="shared" si="115"/>
        <v>0</v>
      </c>
      <c r="T260" s="83">
        <v>0</v>
      </c>
      <c r="U260" s="83">
        <v>100</v>
      </c>
      <c r="V260" s="129">
        <v>0</v>
      </c>
      <c r="W260" s="153">
        <f t="shared" si="116"/>
        <v>0</v>
      </c>
      <c r="X260" s="84">
        <v>0</v>
      </c>
      <c r="Y260" s="83">
        <f t="shared" si="117"/>
        <v>0</v>
      </c>
      <c r="Z260" s="84">
        <v>0</v>
      </c>
      <c r="AA260" s="163">
        <v>0</v>
      </c>
      <c r="AB260" s="83">
        <f t="shared" si="118"/>
        <v>0</v>
      </c>
      <c r="AC260" s="130">
        <v>0</v>
      </c>
      <c r="AD260" s="84">
        <f>INDEX(Chemical_analyses!$A:$N, MATCH($P260, Chemical_analyses!$A:$A), 12)/$T$2/(INDEX(Chemical_analyses!$A:$N, MATCH($P260, Chemical_analyses!$A:$A), 12)/$T$2+INDEX(Chemical_analyses!$A:$N, MATCH($P260, Chemical_analyses!$A:$A), 13)/$U$2+INDEX(Chemical_analyses!$A:$N, MATCH($P260, Chemical_analyses!$A:$A), 14)/$V$2)*100</f>
        <v>48.277777298072316</v>
      </c>
      <c r="AE260" s="84">
        <f t="shared" si="119"/>
        <v>50.078067520236921</v>
      </c>
      <c r="AF260" s="130">
        <f>INDEX(Chemical_analyses!$A:$N, MATCH($P260, Chemical_analyses!$A:$A), 14)/$V$2/(INDEX(Chemical_analyses!$A:$N, MATCH($P260, Chemical_analyses!$A:$A), 12)/$T$2+INDEX(Chemical_analyses!$A:$N, MATCH($P260, Chemical_analyses!$A:$A), 13)/$U$2+INDEX(Chemical_analyses!$A:$N, MATCH($P260, Chemical_analyses!$A:$A), 14)/$V$2)*100</f>
        <v>1.6441551816907647</v>
      </c>
      <c r="AG260" s="16" t="s">
        <v>69</v>
      </c>
      <c r="AH260" s="16" t="str">
        <f>_xlfn.CONCAT("CaO: ", INDEX(Chemical_analyses!$A:$N, MATCH($P260, Chemical_analyses!$A:$A), 12), ", Na2O: ", INDEX(Chemical_analyses!$A:$N, MATCH($P260, Chemical_analyses!$A:$A), 13), ", K2O: ", INDEX(Chemical_analyses!$A:$N, MATCH($P260, Chemical_analyses!$A:$A), 14), ", MnO: ", INDEX(Chemical_analyses!$A:$M, MATCH($P260, Chemical_analyses!$A:$A), 10), ", Al2O3: ", INDEX(Chemical_analyses!$A:$M, MATCH($P260, Chemical_analyses!$A:$A), 6))</f>
        <v>CaO: 8.74, Na2O: 5.01, K2O: 0.25, MnO: 0, Al2O3: 29.15</v>
      </c>
      <c r="AI260" s="85"/>
      <c r="AJ260" s="85"/>
      <c r="AN260" s="30"/>
      <c r="AO260" s="30"/>
      <c r="AP260" s="30"/>
      <c r="AQ260" s="30"/>
      <c r="AW260" s="30"/>
      <c r="AX260" s="30"/>
      <c r="AY260" s="30"/>
      <c r="AZ260" s="30"/>
    </row>
    <row r="261" spans="1:52" s="16" customFormat="1">
      <c r="A261" s="16" t="s">
        <v>931</v>
      </c>
      <c r="B261" s="16" t="s">
        <v>932</v>
      </c>
      <c r="C261" s="82" t="s">
        <v>925</v>
      </c>
      <c r="D261" s="82" t="s">
        <v>642</v>
      </c>
      <c r="E261" s="16" t="s">
        <v>643</v>
      </c>
      <c r="G261" s="16" t="s">
        <v>821</v>
      </c>
      <c r="H261" s="16" t="s">
        <v>926</v>
      </c>
      <c r="J261" s="16">
        <v>125</v>
      </c>
      <c r="K261" s="16">
        <v>500</v>
      </c>
      <c r="L261" s="16" t="s">
        <v>64</v>
      </c>
      <c r="M261" s="16" t="s">
        <v>65</v>
      </c>
      <c r="N261" s="16" t="s">
        <v>928</v>
      </c>
      <c r="O261" s="16" t="s">
        <v>929</v>
      </c>
      <c r="P261" s="16">
        <v>749</v>
      </c>
      <c r="Q261" s="16" t="s">
        <v>933</v>
      </c>
      <c r="R261" s="129">
        <v>0</v>
      </c>
      <c r="S261" s="83">
        <f t="shared" si="115"/>
        <v>0</v>
      </c>
      <c r="T261" s="83">
        <v>0</v>
      </c>
      <c r="U261" s="83">
        <v>100</v>
      </c>
      <c r="V261" s="129">
        <v>0</v>
      </c>
      <c r="W261" s="153">
        <f t="shared" si="116"/>
        <v>0</v>
      </c>
      <c r="X261" s="84">
        <v>0</v>
      </c>
      <c r="Y261" s="83">
        <f t="shared" si="117"/>
        <v>0</v>
      </c>
      <c r="Z261" s="84">
        <v>0</v>
      </c>
      <c r="AA261" s="163">
        <v>0</v>
      </c>
      <c r="AB261" s="83">
        <f t="shared" si="118"/>
        <v>0</v>
      </c>
      <c r="AC261" s="130">
        <v>0</v>
      </c>
      <c r="AD261" s="84">
        <f>INDEX(Chemical_analyses!$A:$N, MATCH($P261, Chemical_analyses!$A:$A), 12)/$T$2/(INDEX(Chemical_analyses!$A:$N, MATCH($P261, Chemical_analyses!$A:$A), 12)/$T$2+INDEX(Chemical_analyses!$A:$N, MATCH($P261, Chemical_analyses!$A:$A), 13)/$U$2+INDEX(Chemical_analyses!$A:$N, MATCH($P261, Chemical_analyses!$A:$A), 14)/$V$2)*100</f>
        <v>48.277777298072316</v>
      </c>
      <c r="AE261" s="84">
        <f t="shared" si="119"/>
        <v>50.078067520236921</v>
      </c>
      <c r="AF261" s="130">
        <f>INDEX(Chemical_analyses!$A:$N, MATCH($P261, Chemical_analyses!$A:$A), 14)/$V$2/(INDEX(Chemical_analyses!$A:$N, MATCH($P261, Chemical_analyses!$A:$A), 12)/$T$2+INDEX(Chemical_analyses!$A:$N, MATCH($P261, Chemical_analyses!$A:$A), 13)/$U$2+INDEX(Chemical_analyses!$A:$N, MATCH($P261, Chemical_analyses!$A:$A), 14)/$V$2)*100</f>
        <v>1.6441551816907647</v>
      </c>
      <c r="AG261" s="16" t="s">
        <v>69</v>
      </c>
      <c r="AH261" s="16" t="str">
        <f>_xlfn.CONCAT("CaO: ", INDEX(Chemical_analyses!$A:$N, MATCH($P261, Chemical_analyses!$A:$A), 12), ", Na2O: ", INDEX(Chemical_analyses!$A:$N, MATCH($P261, Chemical_analyses!$A:$A), 13), ", K2O: ", INDEX(Chemical_analyses!$A:$N, MATCH($P261, Chemical_analyses!$A:$A), 14), ", MnO: ", INDEX(Chemical_analyses!$A:$M, MATCH($P261, Chemical_analyses!$A:$A), 10), ", Al2O3: ", INDEX(Chemical_analyses!$A:$M, MATCH($P261, Chemical_analyses!$A:$A), 6))</f>
        <v>CaO: 8.74, Na2O: 5.01, K2O: 0.25, MnO: 0, Al2O3: 29.15</v>
      </c>
      <c r="AI261" s="85"/>
      <c r="AJ261" s="85"/>
      <c r="AN261" s="30"/>
      <c r="AO261" s="30"/>
      <c r="AP261" s="30"/>
      <c r="AQ261" s="30"/>
      <c r="AW261" s="30"/>
      <c r="AX261" s="30"/>
      <c r="AY261" s="30"/>
      <c r="AZ261" s="30"/>
    </row>
    <row r="262" spans="1:52" s="16" customFormat="1">
      <c r="A262" s="16" t="s">
        <v>934</v>
      </c>
      <c r="B262" s="16" t="s">
        <v>935</v>
      </c>
      <c r="C262" s="82" t="s">
        <v>925</v>
      </c>
      <c r="D262" s="82" t="s">
        <v>642</v>
      </c>
      <c r="E262" s="16" t="s">
        <v>643</v>
      </c>
      <c r="G262" s="16" t="s">
        <v>821</v>
      </c>
      <c r="H262" s="16" t="s">
        <v>926</v>
      </c>
      <c r="J262" s="16">
        <v>0</v>
      </c>
      <c r="K262" s="16">
        <v>125</v>
      </c>
      <c r="L262" s="16" t="s">
        <v>64</v>
      </c>
      <c r="M262" s="16" t="s">
        <v>65</v>
      </c>
      <c r="N262" s="16" t="s">
        <v>928</v>
      </c>
      <c r="O262" s="16" t="s">
        <v>929</v>
      </c>
      <c r="P262" s="16">
        <v>749</v>
      </c>
      <c r="Q262" s="16" t="s">
        <v>933</v>
      </c>
      <c r="R262" s="129">
        <v>0</v>
      </c>
      <c r="S262" s="83">
        <f t="shared" si="115"/>
        <v>0</v>
      </c>
      <c r="T262" s="83">
        <v>0</v>
      </c>
      <c r="U262" s="83">
        <v>100</v>
      </c>
      <c r="V262" s="129">
        <v>0</v>
      </c>
      <c r="W262" s="153">
        <f t="shared" si="116"/>
        <v>0</v>
      </c>
      <c r="X262" s="84">
        <v>0</v>
      </c>
      <c r="Y262" s="83">
        <f t="shared" si="117"/>
        <v>0</v>
      </c>
      <c r="Z262" s="84">
        <v>0</v>
      </c>
      <c r="AA262" s="163">
        <v>0</v>
      </c>
      <c r="AB262" s="83">
        <f t="shared" si="118"/>
        <v>0</v>
      </c>
      <c r="AC262" s="130">
        <v>0</v>
      </c>
      <c r="AD262" s="84">
        <f>INDEX(Chemical_analyses!$A:$N, MATCH($P262, Chemical_analyses!$A:$A), 12)/$T$2/(INDEX(Chemical_analyses!$A:$N, MATCH($P262, Chemical_analyses!$A:$A), 12)/$T$2+INDEX(Chemical_analyses!$A:$N, MATCH($P262, Chemical_analyses!$A:$A), 13)/$U$2+INDEX(Chemical_analyses!$A:$N, MATCH($P262, Chemical_analyses!$A:$A), 14)/$V$2)*100</f>
        <v>48.277777298072316</v>
      </c>
      <c r="AE262" s="84">
        <f t="shared" si="119"/>
        <v>50.078067520236921</v>
      </c>
      <c r="AF262" s="130">
        <f>INDEX(Chemical_analyses!$A:$N, MATCH($P262, Chemical_analyses!$A:$A), 14)/$V$2/(INDEX(Chemical_analyses!$A:$N, MATCH($P262, Chemical_analyses!$A:$A), 12)/$T$2+INDEX(Chemical_analyses!$A:$N, MATCH($P262, Chemical_analyses!$A:$A), 13)/$U$2+INDEX(Chemical_analyses!$A:$N, MATCH($P262, Chemical_analyses!$A:$A), 14)/$V$2)*100</f>
        <v>1.6441551816907647</v>
      </c>
      <c r="AG262" s="16" t="s">
        <v>69</v>
      </c>
      <c r="AH262" s="16" t="str">
        <f>_xlfn.CONCAT("CaO: ", INDEX(Chemical_analyses!$A:$N, MATCH($P262, Chemical_analyses!$A:$A), 12), ", Na2O: ", INDEX(Chemical_analyses!$A:$N, MATCH($P262, Chemical_analyses!$A:$A), 13), ", K2O: ", INDEX(Chemical_analyses!$A:$N, MATCH($P262, Chemical_analyses!$A:$A), 14), ", MnO: ", INDEX(Chemical_analyses!$A:$M, MATCH($P262, Chemical_analyses!$A:$A), 10), ", Al2O3: ", INDEX(Chemical_analyses!$A:$M, MATCH($P262, Chemical_analyses!$A:$A), 6))</f>
        <v>CaO: 8.74, Na2O: 5.01, K2O: 0.25, MnO: 0, Al2O3: 29.15</v>
      </c>
      <c r="AI262" s="85"/>
      <c r="AJ262" s="85"/>
      <c r="AN262" s="30"/>
      <c r="AO262" s="30"/>
      <c r="AP262" s="30"/>
      <c r="AQ262" s="30"/>
      <c r="AW262" s="30"/>
      <c r="AX262" s="30"/>
      <c r="AY262" s="30"/>
      <c r="AZ262" s="30"/>
    </row>
    <row r="263" spans="1:52" s="16" customFormat="1">
      <c r="A263" s="16" t="s">
        <v>936</v>
      </c>
      <c r="B263" s="16" t="s">
        <v>937</v>
      </c>
      <c r="C263" s="82" t="s">
        <v>925</v>
      </c>
      <c r="D263" s="82" t="s">
        <v>642</v>
      </c>
      <c r="E263" s="16" t="s">
        <v>643</v>
      </c>
      <c r="G263" s="16" t="s">
        <v>821</v>
      </c>
      <c r="H263" s="16" t="s">
        <v>926</v>
      </c>
      <c r="J263" s="16">
        <v>75</v>
      </c>
      <c r="K263" s="16">
        <v>125</v>
      </c>
      <c r="L263" s="16" t="s">
        <v>64</v>
      </c>
      <c r="M263" s="16" t="s">
        <v>65</v>
      </c>
      <c r="N263" s="16" t="s">
        <v>928</v>
      </c>
      <c r="O263" s="16" t="s">
        <v>929</v>
      </c>
      <c r="P263" s="16">
        <v>749</v>
      </c>
      <c r="Q263" s="16" t="s">
        <v>933</v>
      </c>
      <c r="R263" s="129">
        <v>0</v>
      </c>
      <c r="S263" s="83">
        <f t="shared" si="115"/>
        <v>0</v>
      </c>
      <c r="T263" s="83">
        <v>0</v>
      </c>
      <c r="U263" s="83">
        <v>100</v>
      </c>
      <c r="V263" s="129">
        <v>0</v>
      </c>
      <c r="W263" s="153">
        <f t="shared" si="116"/>
        <v>0</v>
      </c>
      <c r="X263" s="84">
        <v>0</v>
      </c>
      <c r="Y263" s="83">
        <f t="shared" si="117"/>
        <v>0</v>
      </c>
      <c r="Z263" s="84">
        <v>0</v>
      </c>
      <c r="AA263" s="163">
        <v>0</v>
      </c>
      <c r="AB263" s="83">
        <f t="shared" si="118"/>
        <v>0</v>
      </c>
      <c r="AC263" s="130">
        <v>0</v>
      </c>
      <c r="AD263" s="84">
        <f>INDEX(Chemical_analyses!$A:$N, MATCH($P263, Chemical_analyses!$A:$A), 12)/$T$2/(INDEX(Chemical_analyses!$A:$N, MATCH($P263, Chemical_analyses!$A:$A), 12)/$T$2+INDEX(Chemical_analyses!$A:$N, MATCH($P263, Chemical_analyses!$A:$A), 13)/$U$2+INDEX(Chemical_analyses!$A:$N, MATCH($P263, Chemical_analyses!$A:$A), 14)/$V$2)*100</f>
        <v>48.277777298072316</v>
      </c>
      <c r="AE263" s="84">
        <f t="shared" si="119"/>
        <v>50.078067520236921</v>
      </c>
      <c r="AF263" s="130">
        <f>INDEX(Chemical_analyses!$A:$N, MATCH($P263, Chemical_analyses!$A:$A), 14)/$V$2/(INDEX(Chemical_analyses!$A:$N, MATCH($P263, Chemical_analyses!$A:$A), 12)/$T$2+INDEX(Chemical_analyses!$A:$N, MATCH($P263, Chemical_analyses!$A:$A), 13)/$U$2+INDEX(Chemical_analyses!$A:$N, MATCH($P263, Chemical_analyses!$A:$A), 14)/$V$2)*100</f>
        <v>1.6441551816907647</v>
      </c>
      <c r="AG263" s="16" t="s">
        <v>69</v>
      </c>
      <c r="AH263" s="16" t="str">
        <f>_xlfn.CONCAT("CaO: ", INDEX(Chemical_analyses!$A:$N, MATCH($P263, Chemical_analyses!$A:$A), 12), ", Na2O: ", INDEX(Chemical_analyses!$A:$N, MATCH($P263, Chemical_analyses!$A:$A), 13), ", K2O: ", INDEX(Chemical_analyses!$A:$N, MATCH($P263, Chemical_analyses!$A:$A), 14), ", MnO: ", INDEX(Chemical_analyses!$A:$M, MATCH($P263, Chemical_analyses!$A:$A), 10), ", Al2O3: ", INDEX(Chemical_analyses!$A:$M, MATCH($P263, Chemical_analyses!$A:$A), 6))</f>
        <v>CaO: 8.74, Na2O: 5.01, K2O: 0.25, MnO: 0, Al2O3: 29.15</v>
      </c>
      <c r="AI263" s="85"/>
      <c r="AJ263" s="85"/>
      <c r="AN263" s="30"/>
      <c r="AO263" s="30"/>
      <c r="AP263" s="30"/>
      <c r="AQ263" s="30"/>
      <c r="AW263" s="30"/>
      <c r="AX263" s="30"/>
      <c r="AY263" s="30"/>
      <c r="AZ263" s="30"/>
    </row>
    <row r="264" spans="1:52" s="16" customFormat="1">
      <c r="A264" s="16" t="s">
        <v>938</v>
      </c>
      <c r="B264" s="16" t="s">
        <v>939</v>
      </c>
      <c r="C264" s="82" t="s">
        <v>925</v>
      </c>
      <c r="D264" s="82" t="s">
        <v>642</v>
      </c>
      <c r="E264" s="16" t="s">
        <v>643</v>
      </c>
      <c r="G264" s="16" t="s">
        <v>821</v>
      </c>
      <c r="H264" s="16" t="s">
        <v>926</v>
      </c>
      <c r="J264" s="16">
        <v>0</v>
      </c>
      <c r="K264" s="16">
        <v>75</v>
      </c>
      <c r="L264" s="16" t="s">
        <v>64</v>
      </c>
      <c r="M264" s="16" t="s">
        <v>65</v>
      </c>
      <c r="N264" s="16" t="s">
        <v>928</v>
      </c>
      <c r="O264" s="16" t="s">
        <v>929</v>
      </c>
      <c r="P264" s="16">
        <v>749</v>
      </c>
      <c r="Q264" s="16" t="s">
        <v>933</v>
      </c>
      <c r="R264" s="129">
        <v>0</v>
      </c>
      <c r="S264" s="83">
        <f t="shared" si="115"/>
        <v>0</v>
      </c>
      <c r="T264" s="83">
        <v>0</v>
      </c>
      <c r="U264" s="83">
        <v>100</v>
      </c>
      <c r="V264" s="129">
        <v>0</v>
      </c>
      <c r="W264" s="153">
        <f t="shared" si="116"/>
        <v>0</v>
      </c>
      <c r="X264" s="84">
        <v>0</v>
      </c>
      <c r="Y264" s="83">
        <f t="shared" si="117"/>
        <v>0</v>
      </c>
      <c r="Z264" s="84">
        <v>0</v>
      </c>
      <c r="AA264" s="163">
        <v>0</v>
      </c>
      <c r="AB264" s="83">
        <f t="shared" si="118"/>
        <v>0</v>
      </c>
      <c r="AC264" s="130">
        <v>0</v>
      </c>
      <c r="AD264" s="84">
        <f>INDEX(Chemical_analyses!$A:$N, MATCH($P264, Chemical_analyses!$A:$A), 12)/$T$2/(INDEX(Chemical_analyses!$A:$N, MATCH($P264, Chemical_analyses!$A:$A), 12)/$T$2+INDEX(Chemical_analyses!$A:$N, MATCH($P264, Chemical_analyses!$A:$A), 13)/$U$2+INDEX(Chemical_analyses!$A:$N, MATCH($P264, Chemical_analyses!$A:$A), 14)/$V$2)*100</f>
        <v>48.277777298072316</v>
      </c>
      <c r="AE264" s="84">
        <f t="shared" si="119"/>
        <v>50.078067520236921</v>
      </c>
      <c r="AF264" s="130">
        <f>INDEX(Chemical_analyses!$A:$N, MATCH($P264, Chemical_analyses!$A:$A), 14)/$V$2/(INDEX(Chemical_analyses!$A:$N, MATCH($P264, Chemical_analyses!$A:$A), 12)/$T$2+INDEX(Chemical_analyses!$A:$N, MATCH($P264, Chemical_analyses!$A:$A), 13)/$U$2+INDEX(Chemical_analyses!$A:$N, MATCH($P264, Chemical_analyses!$A:$A), 14)/$V$2)*100</f>
        <v>1.6441551816907647</v>
      </c>
      <c r="AG264" s="16" t="s">
        <v>69</v>
      </c>
      <c r="AH264" s="16" t="str">
        <f>_xlfn.CONCAT("CaO: ", INDEX(Chemical_analyses!$A:$N, MATCH($P264, Chemical_analyses!$A:$A), 12), ", Na2O: ", INDEX(Chemical_analyses!$A:$N, MATCH($P264, Chemical_analyses!$A:$A), 13), ", K2O: ", INDEX(Chemical_analyses!$A:$N, MATCH($P264, Chemical_analyses!$A:$A), 14), ", MnO: ", INDEX(Chemical_analyses!$A:$M, MATCH($P264, Chemical_analyses!$A:$A), 10), ", Al2O3: ", INDEX(Chemical_analyses!$A:$M, MATCH($P264, Chemical_analyses!$A:$A), 6))</f>
        <v>CaO: 8.74, Na2O: 5.01, K2O: 0.25, MnO: 0, Al2O3: 29.15</v>
      </c>
      <c r="AI264" s="85"/>
      <c r="AJ264" s="85"/>
      <c r="AN264" s="30"/>
      <c r="AO264" s="30"/>
      <c r="AP264" s="30"/>
      <c r="AQ264" s="30"/>
      <c r="AW264" s="30"/>
      <c r="AX264" s="30"/>
      <c r="AY264" s="30"/>
      <c r="AZ264" s="30"/>
    </row>
    <row r="265" spans="1:52" s="16" customFormat="1">
      <c r="A265" s="16" t="s">
        <v>940</v>
      </c>
      <c r="B265" s="16" t="s">
        <v>941</v>
      </c>
      <c r="C265" s="82" t="s">
        <v>93</v>
      </c>
      <c r="D265" s="82" t="s">
        <v>642</v>
      </c>
      <c r="E265" s="16" t="s">
        <v>643</v>
      </c>
      <c r="G265" s="16" t="s">
        <v>821</v>
      </c>
      <c r="H265" s="16" t="s">
        <v>845</v>
      </c>
      <c r="J265" s="16">
        <v>45</v>
      </c>
      <c r="K265" s="16">
        <v>125</v>
      </c>
      <c r="L265" s="16" t="s">
        <v>64</v>
      </c>
      <c r="M265" s="16" t="s">
        <v>942</v>
      </c>
      <c r="N265" s="16" t="s">
        <v>943</v>
      </c>
      <c r="O265" s="16" t="s">
        <v>944</v>
      </c>
      <c r="P265" s="16">
        <v>692</v>
      </c>
      <c r="Q265" s="16" t="s">
        <v>945</v>
      </c>
      <c r="R265" s="129">
        <v>0</v>
      </c>
      <c r="S265" s="83">
        <f t="shared" si="115"/>
        <v>0</v>
      </c>
      <c r="T265" s="83">
        <v>0</v>
      </c>
      <c r="U265" s="83">
        <v>100</v>
      </c>
      <c r="V265" s="129">
        <v>0</v>
      </c>
      <c r="W265" s="153">
        <f t="shared" si="116"/>
        <v>0</v>
      </c>
      <c r="X265" s="84">
        <v>0</v>
      </c>
      <c r="Y265" s="83">
        <f t="shared" si="117"/>
        <v>0</v>
      </c>
      <c r="Z265" s="84">
        <v>0</v>
      </c>
      <c r="AA265" s="163">
        <v>0</v>
      </c>
      <c r="AB265" s="83">
        <f t="shared" si="118"/>
        <v>0</v>
      </c>
      <c r="AC265" s="130">
        <v>0</v>
      </c>
      <c r="AD265" s="84">
        <f>INDEX(Chemical_analyses!$A:$N, MATCH($P265, Chemical_analyses!$A:$A), 12)/$T$2/(INDEX(Chemical_analyses!$A:$N, MATCH($P265, Chemical_analyses!$A:$A), 12)/$T$2+INDEX(Chemical_analyses!$A:$N, MATCH($P265, Chemical_analyses!$A:$A), 13)/$U$2+INDEX(Chemical_analyses!$A:$N, MATCH($P265, Chemical_analyses!$A:$A), 14)/$V$2)*100</f>
        <v>51.038230649435548</v>
      </c>
      <c r="AE265" s="84">
        <f t="shared" si="119"/>
        <v>40.900937732975187</v>
      </c>
      <c r="AF265" s="130">
        <f>INDEX(Chemical_analyses!$A:$N, MATCH($P265, Chemical_analyses!$A:$A), 14)/$V$2/(INDEX(Chemical_analyses!$A:$N, MATCH($P265, Chemical_analyses!$A:$A), 12)/$T$2+INDEX(Chemical_analyses!$A:$N, MATCH($P265, Chemical_analyses!$A:$A), 13)/$U$2+INDEX(Chemical_analyses!$A:$N, MATCH($P265, Chemical_analyses!$A:$A), 14)/$V$2)*100</f>
        <v>8.0608316175892671</v>
      </c>
      <c r="AG265" s="16" t="s">
        <v>69</v>
      </c>
      <c r="AH265" s="16" t="str">
        <f>_xlfn.CONCAT("CaO: ", INDEX(Chemical_analyses!$A:$N, MATCH($P265, Chemical_analyses!$A:$A), 12), ", Na2O: ", INDEX(Chemical_analyses!$A:$N, MATCH($P265, Chemical_analyses!$A:$A), 13), ", K2O: ", INDEX(Chemical_analyses!$A:$N, MATCH($P265, Chemical_analyses!$A:$A), 14), ", MnO: ", INDEX(Chemical_analyses!$A:$M, MATCH($P265, Chemical_analyses!$A:$A), 10), ", Al2O3: ", INDEX(Chemical_analyses!$A:$M, MATCH($P265, Chemical_analyses!$A:$A), 6))</f>
        <v>CaO: 9.8, Na2O: 4.34, K2O: 1.3, MnO: 0.05, Al2O3: 24.4</v>
      </c>
      <c r="AI265" s="85"/>
      <c r="AJ265" s="85"/>
      <c r="AN265" s="30"/>
      <c r="AO265" s="30"/>
      <c r="AP265" s="30"/>
      <c r="AQ265" s="30"/>
      <c r="AW265" s="30"/>
      <c r="AX265" s="30"/>
      <c r="AY265" s="30"/>
      <c r="AZ265" s="30"/>
    </row>
    <row r="266" spans="1:52" s="16" customFormat="1">
      <c r="A266" s="16" t="s">
        <v>946</v>
      </c>
      <c r="B266" s="16" t="s">
        <v>947</v>
      </c>
      <c r="C266" s="82" t="s">
        <v>93</v>
      </c>
      <c r="D266" s="82" t="s">
        <v>642</v>
      </c>
      <c r="E266" s="16" t="s">
        <v>643</v>
      </c>
      <c r="G266" s="16" t="s">
        <v>821</v>
      </c>
      <c r="H266" s="16" t="s">
        <v>845</v>
      </c>
      <c r="J266" s="16">
        <v>0</v>
      </c>
      <c r="K266" s="16">
        <v>25</v>
      </c>
      <c r="L266" s="16" t="s">
        <v>64</v>
      </c>
      <c r="M266" s="16" t="s">
        <v>942</v>
      </c>
      <c r="N266" s="16" t="s">
        <v>943</v>
      </c>
      <c r="O266" s="16" t="s">
        <v>944</v>
      </c>
      <c r="P266" s="16">
        <v>694</v>
      </c>
      <c r="Q266" s="16" t="s">
        <v>945</v>
      </c>
      <c r="R266" s="129">
        <v>0</v>
      </c>
      <c r="S266" s="83">
        <f t="shared" si="115"/>
        <v>0</v>
      </c>
      <c r="T266" s="83">
        <v>0</v>
      </c>
      <c r="U266" s="83">
        <v>100</v>
      </c>
      <c r="V266" s="129">
        <v>0</v>
      </c>
      <c r="W266" s="153">
        <f t="shared" si="116"/>
        <v>0</v>
      </c>
      <c r="X266" s="84">
        <v>0</v>
      </c>
      <c r="Y266" s="83">
        <f t="shared" si="117"/>
        <v>0</v>
      </c>
      <c r="Z266" s="84">
        <v>0</v>
      </c>
      <c r="AA266" s="163">
        <v>0</v>
      </c>
      <c r="AB266" s="83">
        <f t="shared" si="118"/>
        <v>0</v>
      </c>
      <c r="AC266" s="130">
        <v>0</v>
      </c>
      <c r="AD266" s="84">
        <f>INDEX(Chemical_analyses!$A:$N, MATCH($P266, Chemical_analyses!$A:$A), 12)/$T$2/(INDEX(Chemical_analyses!$A:$N, MATCH($P266, Chemical_analyses!$A:$A), 12)/$T$2+INDEX(Chemical_analyses!$A:$N, MATCH($P266, Chemical_analyses!$A:$A), 13)/$U$2+INDEX(Chemical_analyses!$A:$N, MATCH($P266, Chemical_analyses!$A:$A), 14)/$V$2)*100</f>
        <v>67.829575866221944</v>
      </c>
      <c r="AE266" s="84">
        <f t="shared" si="119"/>
        <v>31.326682846464202</v>
      </c>
      <c r="AF266" s="130">
        <f>INDEX(Chemical_analyses!$A:$N, MATCH($P266, Chemical_analyses!$A:$A), 14)/$V$2/(INDEX(Chemical_analyses!$A:$N, MATCH($P266, Chemical_analyses!$A:$A), 12)/$T$2+INDEX(Chemical_analyses!$A:$N, MATCH($P266, Chemical_analyses!$A:$A), 13)/$U$2+INDEX(Chemical_analyses!$A:$N, MATCH($P266, Chemical_analyses!$A:$A), 14)/$V$2)*100</f>
        <v>0.84374128731385489</v>
      </c>
      <c r="AG266" s="16" t="s">
        <v>69</v>
      </c>
      <c r="AH266" s="16" t="str">
        <f>_xlfn.CONCAT("CaO: ", INDEX(Chemical_analyses!$A:$N, MATCH($P266, Chemical_analyses!$A:$A), 12), ", Na2O: ", INDEX(Chemical_analyses!$A:$N, MATCH($P266, Chemical_analyses!$A:$A), 13), ", K2O: ", INDEX(Chemical_analyses!$A:$N, MATCH($P266, Chemical_analyses!$A:$A), 14), ", MnO: ", INDEX(Chemical_analyses!$A:$M, MATCH($P266, Chemical_analyses!$A:$A), 10), ", Al2O3: ", INDEX(Chemical_analyses!$A:$M, MATCH($P266, Chemical_analyses!$A:$A), 6))</f>
        <v>CaO: 13.4, Na2O: 3.42, K2O: 0.14, MnO: 0.02, Al2O3: 29.8</v>
      </c>
      <c r="AI266" s="85"/>
      <c r="AJ266" s="85"/>
      <c r="AN266" s="30"/>
      <c r="AO266" s="30"/>
      <c r="AP266" s="30"/>
      <c r="AQ266" s="30"/>
      <c r="AW266" s="30"/>
      <c r="AX266" s="30"/>
      <c r="AY266" s="30"/>
      <c r="AZ266" s="30"/>
    </row>
    <row r="267" spans="1:52" s="16" customFormat="1">
      <c r="A267" s="16" t="s">
        <v>948</v>
      </c>
      <c r="B267" s="16" t="s">
        <v>949</v>
      </c>
      <c r="C267" s="82" t="s">
        <v>93</v>
      </c>
      <c r="D267" s="82" t="s">
        <v>642</v>
      </c>
      <c r="E267" s="16" t="s">
        <v>643</v>
      </c>
      <c r="G267" s="16" t="s">
        <v>821</v>
      </c>
      <c r="H267" s="16" t="s">
        <v>845</v>
      </c>
      <c r="J267" s="16">
        <v>25</v>
      </c>
      <c r="K267" s="16">
        <v>45</v>
      </c>
      <c r="L267" s="16" t="s">
        <v>64</v>
      </c>
      <c r="M267" s="16" t="s">
        <v>942</v>
      </c>
      <c r="N267" s="16" t="s">
        <v>943</v>
      </c>
      <c r="O267" s="16" t="s">
        <v>944</v>
      </c>
      <c r="P267" s="16">
        <v>694</v>
      </c>
      <c r="Q267" s="16" t="s">
        <v>945</v>
      </c>
      <c r="R267" s="129">
        <v>0</v>
      </c>
      <c r="S267" s="83">
        <f t="shared" si="115"/>
        <v>0</v>
      </c>
      <c r="T267" s="83">
        <v>0</v>
      </c>
      <c r="U267" s="83">
        <v>100</v>
      </c>
      <c r="V267" s="129">
        <v>0</v>
      </c>
      <c r="W267" s="153">
        <f t="shared" si="116"/>
        <v>0</v>
      </c>
      <c r="X267" s="84">
        <v>0</v>
      </c>
      <c r="Y267" s="83">
        <f t="shared" si="117"/>
        <v>0</v>
      </c>
      <c r="Z267" s="84">
        <v>0</v>
      </c>
      <c r="AA267" s="163">
        <v>0</v>
      </c>
      <c r="AB267" s="83">
        <f t="shared" si="118"/>
        <v>0</v>
      </c>
      <c r="AC267" s="130">
        <v>0</v>
      </c>
      <c r="AD267" s="84">
        <f>INDEX(Chemical_analyses!$A:$N, MATCH($P267, Chemical_analyses!$A:$A), 12)/$T$2/(INDEX(Chemical_analyses!$A:$N, MATCH($P267, Chemical_analyses!$A:$A), 12)/$T$2+INDEX(Chemical_analyses!$A:$N, MATCH($P267, Chemical_analyses!$A:$A), 13)/$U$2+INDEX(Chemical_analyses!$A:$N, MATCH($P267, Chemical_analyses!$A:$A), 14)/$V$2)*100</f>
        <v>67.829575866221944</v>
      </c>
      <c r="AE267" s="84">
        <f t="shared" si="119"/>
        <v>31.326682846464202</v>
      </c>
      <c r="AF267" s="130">
        <f>INDEX(Chemical_analyses!$A:$N, MATCH($P267, Chemical_analyses!$A:$A), 14)/$V$2/(INDEX(Chemical_analyses!$A:$N, MATCH($P267, Chemical_analyses!$A:$A), 12)/$T$2+INDEX(Chemical_analyses!$A:$N, MATCH($P267, Chemical_analyses!$A:$A), 13)/$U$2+INDEX(Chemical_analyses!$A:$N, MATCH($P267, Chemical_analyses!$A:$A), 14)/$V$2)*100</f>
        <v>0.84374128731385489</v>
      </c>
      <c r="AG267" s="16" t="s">
        <v>69</v>
      </c>
      <c r="AH267" s="16" t="str">
        <f>_xlfn.CONCAT("CaO: ", INDEX(Chemical_analyses!$A:$N, MATCH($P267, Chemical_analyses!$A:$A), 12), ", Na2O: ", INDEX(Chemical_analyses!$A:$N, MATCH($P267, Chemical_analyses!$A:$A), 13), ", K2O: ", INDEX(Chemical_analyses!$A:$N, MATCH($P267, Chemical_analyses!$A:$A), 14), ", MnO: ", INDEX(Chemical_analyses!$A:$M, MATCH($P267, Chemical_analyses!$A:$A), 10), ", Al2O3: ", INDEX(Chemical_analyses!$A:$M, MATCH($P267, Chemical_analyses!$A:$A), 6))</f>
        <v>CaO: 13.4, Na2O: 3.42, K2O: 0.14, MnO: 0.02, Al2O3: 29.8</v>
      </c>
      <c r="AI267" s="85"/>
      <c r="AJ267" s="85"/>
      <c r="AN267" s="30"/>
      <c r="AO267" s="30"/>
      <c r="AP267" s="30"/>
      <c r="AQ267" s="30"/>
      <c r="AW267" s="30"/>
      <c r="AX267" s="30"/>
      <c r="AY267" s="30"/>
      <c r="AZ267" s="30"/>
    </row>
    <row r="268" spans="1:52" s="16" customFormat="1">
      <c r="A268" s="16" t="s">
        <v>950</v>
      </c>
      <c r="B268" s="16" t="s">
        <v>951</v>
      </c>
      <c r="C268" s="82" t="s">
        <v>93</v>
      </c>
      <c r="D268" s="82" t="s">
        <v>642</v>
      </c>
      <c r="E268" s="16" t="s">
        <v>643</v>
      </c>
      <c r="G268" s="16" t="s">
        <v>821</v>
      </c>
      <c r="H268" s="16" t="s">
        <v>845</v>
      </c>
      <c r="J268" s="16">
        <v>45</v>
      </c>
      <c r="K268" s="16">
        <v>125</v>
      </c>
      <c r="L268" s="16" t="s">
        <v>64</v>
      </c>
      <c r="M268" s="16" t="s">
        <v>942</v>
      </c>
      <c r="N268" s="16" t="s">
        <v>943</v>
      </c>
      <c r="O268" s="16" t="s">
        <v>944</v>
      </c>
      <c r="P268" s="16">
        <v>694</v>
      </c>
      <c r="Q268" s="16" t="s">
        <v>945</v>
      </c>
      <c r="R268" s="129">
        <v>0</v>
      </c>
      <c r="S268" s="83">
        <f t="shared" si="115"/>
        <v>0</v>
      </c>
      <c r="T268" s="83">
        <v>0</v>
      </c>
      <c r="U268" s="83">
        <v>100</v>
      </c>
      <c r="V268" s="129">
        <v>0</v>
      </c>
      <c r="W268" s="153">
        <f t="shared" si="116"/>
        <v>0</v>
      </c>
      <c r="X268" s="84">
        <v>0</v>
      </c>
      <c r="Y268" s="83">
        <f t="shared" si="117"/>
        <v>0</v>
      </c>
      <c r="Z268" s="84">
        <v>0</v>
      </c>
      <c r="AA268" s="163">
        <v>0</v>
      </c>
      <c r="AB268" s="83">
        <f t="shared" si="118"/>
        <v>0</v>
      </c>
      <c r="AC268" s="130">
        <v>0</v>
      </c>
      <c r="AD268" s="84">
        <f>INDEX(Chemical_analyses!$A:$N, MATCH($P268, Chemical_analyses!$A:$A), 12)/$T$2/(INDEX(Chemical_analyses!$A:$N, MATCH($P268, Chemical_analyses!$A:$A), 12)/$T$2+INDEX(Chemical_analyses!$A:$N, MATCH($P268, Chemical_analyses!$A:$A), 13)/$U$2+INDEX(Chemical_analyses!$A:$N, MATCH($P268, Chemical_analyses!$A:$A), 14)/$V$2)*100</f>
        <v>67.829575866221944</v>
      </c>
      <c r="AE268" s="84">
        <f t="shared" si="119"/>
        <v>31.326682846464202</v>
      </c>
      <c r="AF268" s="130">
        <f>INDEX(Chemical_analyses!$A:$N, MATCH($P268, Chemical_analyses!$A:$A), 14)/$V$2/(INDEX(Chemical_analyses!$A:$N, MATCH($P268, Chemical_analyses!$A:$A), 12)/$T$2+INDEX(Chemical_analyses!$A:$N, MATCH($P268, Chemical_analyses!$A:$A), 13)/$U$2+INDEX(Chemical_analyses!$A:$N, MATCH($P268, Chemical_analyses!$A:$A), 14)/$V$2)*100</f>
        <v>0.84374128731385489</v>
      </c>
      <c r="AG268" s="16" t="s">
        <v>69</v>
      </c>
      <c r="AH268" s="16" t="str">
        <f>_xlfn.CONCAT("CaO: ", INDEX(Chemical_analyses!$A:$N, MATCH($P268, Chemical_analyses!$A:$A), 12), ", Na2O: ", INDEX(Chemical_analyses!$A:$N, MATCH($P268, Chemical_analyses!$A:$A), 13), ", K2O: ", INDEX(Chemical_analyses!$A:$N, MATCH($P268, Chemical_analyses!$A:$A), 14), ", MnO: ", INDEX(Chemical_analyses!$A:$M, MATCH($P268, Chemical_analyses!$A:$A), 10), ", Al2O3: ", INDEX(Chemical_analyses!$A:$M, MATCH($P268, Chemical_analyses!$A:$A), 6))</f>
        <v>CaO: 13.4, Na2O: 3.42, K2O: 0.14, MnO: 0.02, Al2O3: 29.8</v>
      </c>
      <c r="AI268" s="85"/>
      <c r="AJ268" s="85"/>
      <c r="AN268" s="30"/>
      <c r="AO268" s="30"/>
      <c r="AP268" s="30"/>
      <c r="AQ268" s="30"/>
      <c r="AW268" s="30"/>
      <c r="AX268" s="30"/>
      <c r="AY268" s="30"/>
      <c r="AZ268" s="30"/>
    </row>
    <row r="269" spans="1:52" s="16" customFormat="1">
      <c r="A269" s="16" t="s">
        <v>952</v>
      </c>
      <c r="B269" s="16" t="s">
        <v>953</v>
      </c>
      <c r="C269" s="82" t="s">
        <v>93</v>
      </c>
      <c r="D269" s="82" t="s">
        <v>642</v>
      </c>
      <c r="E269" s="16" t="s">
        <v>643</v>
      </c>
      <c r="G269" s="16" t="s">
        <v>821</v>
      </c>
      <c r="H269" s="16" t="s">
        <v>845</v>
      </c>
      <c r="J269" s="16">
        <v>125</v>
      </c>
      <c r="K269" s="16">
        <v>250</v>
      </c>
      <c r="L269" s="16" t="s">
        <v>64</v>
      </c>
      <c r="M269" s="16" t="s">
        <v>942</v>
      </c>
      <c r="N269" s="16" t="s">
        <v>943</v>
      </c>
      <c r="O269" s="16" t="s">
        <v>944</v>
      </c>
      <c r="P269" s="16">
        <v>694</v>
      </c>
      <c r="Q269" s="16" t="s">
        <v>945</v>
      </c>
      <c r="R269" s="129">
        <v>0</v>
      </c>
      <c r="S269" s="83">
        <f t="shared" si="115"/>
        <v>0</v>
      </c>
      <c r="T269" s="83">
        <v>0</v>
      </c>
      <c r="U269" s="83">
        <v>100</v>
      </c>
      <c r="V269" s="129">
        <v>0</v>
      </c>
      <c r="W269" s="153">
        <f t="shared" si="116"/>
        <v>0</v>
      </c>
      <c r="X269" s="84">
        <v>0</v>
      </c>
      <c r="Y269" s="83">
        <f t="shared" si="117"/>
        <v>0</v>
      </c>
      <c r="Z269" s="84">
        <v>0</v>
      </c>
      <c r="AA269" s="163">
        <v>0</v>
      </c>
      <c r="AB269" s="83">
        <f t="shared" si="118"/>
        <v>0</v>
      </c>
      <c r="AC269" s="130">
        <v>0</v>
      </c>
      <c r="AD269" s="84">
        <f>INDEX(Chemical_analyses!$A:$N, MATCH($P269, Chemical_analyses!$A:$A), 12)/$T$2/(INDEX(Chemical_analyses!$A:$N, MATCH($P269, Chemical_analyses!$A:$A), 12)/$T$2+INDEX(Chemical_analyses!$A:$N, MATCH($P269, Chemical_analyses!$A:$A), 13)/$U$2+INDEX(Chemical_analyses!$A:$N, MATCH($P269, Chemical_analyses!$A:$A), 14)/$V$2)*100</f>
        <v>67.829575866221944</v>
      </c>
      <c r="AE269" s="84">
        <f t="shared" si="119"/>
        <v>31.326682846464202</v>
      </c>
      <c r="AF269" s="130">
        <f>INDEX(Chemical_analyses!$A:$N, MATCH($P269, Chemical_analyses!$A:$A), 14)/$V$2/(INDEX(Chemical_analyses!$A:$N, MATCH($P269, Chemical_analyses!$A:$A), 12)/$T$2+INDEX(Chemical_analyses!$A:$N, MATCH($P269, Chemical_analyses!$A:$A), 13)/$U$2+INDEX(Chemical_analyses!$A:$N, MATCH($P269, Chemical_analyses!$A:$A), 14)/$V$2)*100</f>
        <v>0.84374128731385489</v>
      </c>
      <c r="AG269" s="16" t="s">
        <v>69</v>
      </c>
      <c r="AH269" s="16" t="str">
        <f>_xlfn.CONCAT("CaO: ", INDEX(Chemical_analyses!$A:$N, MATCH($P269, Chemical_analyses!$A:$A), 12), ", Na2O: ", INDEX(Chemical_analyses!$A:$N, MATCH($P269, Chemical_analyses!$A:$A), 13), ", K2O: ", INDEX(Chemical_analyses!$A:$N, MATCH($P269, Chemical_analyses!$A:$A), 14), ", MnO: ", INDEX(Chemical_analyses!$A:$M, MATCH($P269, Chemical_analyses!$A:$A), 10), ", Al2O3: ", INDEX(Chemical_analyses!$A:$M, MATCH($P269, Chemical_analyses!$A:$A), 6))</f>
        <v>CaO: 13.4, Na2O: 3.42, K2O: 0.14, MnO: 0.02, Al2O3: 29.8</v>
      </c>
      <c r="AI269" s="85"/>
      <c r="AJ269" s="85"/>
      <c r="AN269" s="30"/>
      <c r="AO269" s="30"/>
      <c r="AP269" s="30"/>
      <c r="AQ269" s="30"/>
      <c r="AW269" s="30"/>
      <c r="AX269" s="30"/>
      <c r="AY269" s="30"/>
      <c r="AZ269" s="30"/>
    </row>
    <row r="270" spans="1:52" s="16" customFormat="1">
      <c r="A270" s="16" t="s">
        <v>954</v>
      </c>
      <c r="B270" s="81" t="s">
        <v>900</v>
      </c>
      <c r="C270" s="82" t="s">
        <v>890</v>
      </c>
      <c r="D270" s="82" t="s">
        <v>642</v>
      </c>
      <c r="E270" s="16" t="s">
        <v>643</v>
      </c>
      <c r="G270" s="16" t="s">
        <v>821</v>
      </c>
      <c r="H270" s="16" t="s">
        <v>955</v>
      </c>
      <c r="J270" s="16">
        <v>45</v>
      </c>
      <c r="K270" s="16">
        <v>90</v>
      </c>
      <c r="L270" s="16" t="s">
        <v>64</v>
      </c>
      <c r="M270" s="16" t="s">
        <v>26</v>
      </c>
      <c r="N270" s="16" t="s">
        <v>956</v>
      </c>
      <c r="O270" s="16" t="s">
        <v>957</v>
      </c>
      <c r="P270" s="16">
        <v>32</v>
      </c>
      <c r="Q270" s="16" t="s">
        <v>958</v>
      </c>
      <c r="R270" s="129">
        <v>0</v>
      </c>
      <c r="S270" s="83">
        <f t="shared" si="115"/>
        <v>0</v>
      </c>
      <c r="T270" s="83">
        <v>0</v>
      </c>
      <c r="U270" s="83">
        <v>100</v>
      </c>
      <c r="V270" s="129">
        <v>0</v>
      </c>
      <c r="W270" s="153">
        <f t="shared" si="116"/>
        <v>0</v>
      </c>
      <c r="X270" s="84">
        <v>0</v>
      </c>
      <c r="Y270" s="83">
        <f t="shared" si="117"/>
        <v>0</v>
      </c>
      <c r="Z270" s="84">
        <v>0</v>
      </c>
      <c r="AA270" s="163">
        <v>0</v>
      </c>
      <c r="AB270" s="83">
        <f t="shared" si="118"/>
        <v>0</v>
      </c>
      <c r="AC270" s="130">
        <v>0</v>
      </c>
      <c r="AD270" s="84">
        <f>INDEX(Chemical_analyses!$A:$N, MATCH($P270, Chemical_analyses!$A:$A), 12)/$T$2/(INDEX(Chemical_analyses!$A:$N, MATCH($P270, Chemical_analyses!$A:$A), 12)/$T$2+INDEX(Chemical_analyses!$A:$N, MATCH($P270, Chemical_analyses!$A:$A), 13)/$U$2+INDEX(Chemical_analyses!$A:$N, MATCH($P270, Chemical_analyses!$A:$A), 14)/$V$2)*100</f>
        <v>84.713494607066892</v>
      </c>
      <c r="AE270" s="84">
        <f t="shared" si="119"/>
        <v>15.16976912154249</v>
      </c>
      <c r="AF270" s="130">
        <f>INDEX(Chemical_analyses!$A:$N, MATCH($P270, Chemical_analyses!$A:$A), 14)/$V$2/(INDEX(Chemical_analyses!$A:$N, MATCH($P270, Chemical_analyses!$A:$A), 12)/$T$2+INDEX(Chemical_analyses!$A:$N, MATCH($P270, Chemical_analyses!$A:$A), 13)/$U$2+INDEX(Chemical_analyses!$A:$N, MATCH($P270, Chemical_analyses!$A:$A), 14)/$V$2)*100</f>
        <v>0.11673627139061719</v>
      </c>
      <c r="AG270" s="16" t="s">
        <v>69</v>
      </c>
      <c r="AH270" s="16" t="str">
        <f>_xlfn.CONCAT("CaO: ", INDEX(Chemical_analyses!$A:$N, MATCH($P270, Chemical_analyses!$A:$A), 12), ", Na2O: ", INDEX(Chemical_analyses!$A:$N, MATCH($P270, Chemical_analyses!$A:$A), 13), ", K2O: ", INDEX(Chemical_analyses!$A:$N, MATCH($P270, Chemical_analyses!$A:$A), 14), ", MnO: ", INDEX(Chemical_analyses!$A:$M, MATCH($P270, Chemical_analyses!$A:$A), 10), ", Al2O3: ", INDEX(Chemical_analyses!$A:$M, MATCH($P270, Chemical_analyses!$A:$A), 6))</f>
        <v>CaO: 17.28, Na2O: 1.71, K2O: 0.02, MnO: 0.01, Al2O3: 32.7</v>
      </c>
      <c r="AI270" s="85"/>
      <c r="AJ270" s="85"/>
      <c r="AN270" s="30"/>
      <c r="AO270" s="30"/>
      <c r="AP270" s="30"/>
      <c r="AQ270" s="30"/>
      <c r="AW270" s="30"/>
      <c r="AX270" s="30"/>
      <c r="AY270" s="30"/>
      <c r="AZ270" s="30"/>
    </row>
    <row r="271" spans="1:52" s="16" customFormat="1">
      <c r="A271" s="16" t="s">
        <v>959</v>
      </c>
      <c r="B271" s="81" t="s">
        <v>960</v>
      </c>
      <c r="C271" s="82" t="s">
        <v>961</v>
      </c>
      <c r="D271" s="82" t="s">
        <v>642</v>
      </c>
      <c r="E271" s="16" t="s">
        <v>643</v>
      </c>
      <c r="G271" s="16" t="s">
        <v>821</v>
      </c>
      <c r="H271" s="16" t="s">
        <v>962</v>
      </c>
      <c r="J271" s="16">
        <v>45</v>
      </c>
      <c r="K271" s="16">
        <v>150</v>
      </c>
      <c r="L271" s="16" t="s">
        <v>64</v>
      </c>
      <c r="M271" s="16" t="s">
        <v>65</v>
      </c>
      <c r="O271" s="16" t="s">
        <v>963</v>
      </c>
      <c r="P271" s="16">
        <v>607</v>
      </c>
      <c r="Q271" s="16" t="s">
        <v>964</v>
      </c>
      <c r="R271" s="129">
        <v>0</v>
      </c>
      <c r="S271" s="83">
        <f t="shared" si="115"/>
        <v>0</v>
      </c>
      <c r="T271" s="83">
        <v>0</v>
      </c>
      <c r="U271" s="83">
        <v>100</v>
      </c>
      <c r="V271" s="129">
        <v>0</v>
      </c>
      <c r="W271" s="153">
        <f t="shared" si="116"/>
        <v>0</v>
      </c>
      <c r="X271" s="84">
        <v>0</v>
      </c>
      <c r="Y271" s="83">
        <f t="shared" si="117"/>
        <v>0</v>
      </c>
      <c r="Z271" s="84">
        <v>0</v>
      </c>
      <c r="AA271" s="163">
        <v>0</v>
      </c>
      <c r="AB271" s="83">
        <f t="shared" si="118"/>
        <v>0</v>
      </c>
      <c r="AC271" s="130">
        <v>0</v>
      </c>
      <c r="AD271" s="84">
        <f>INDEX(Chemical_analyses!$A:$N, MATCH($P271, Chemical_analyses!$A:$A), 12)/$T$2/(INDEX(Chemical_analyses!$A:$N, MATCH($P271, Chemical_analyses!$A:$A), 12)/$T$2+INDEX(Chemical_analyses!$A:$N, MATCH($P271, Chemical_analyses!$A:$A), 13)/$U$2+INDEX(Chemical_analyses!$A:$N, MATCH($P271, Chemical_analyses!$A:$A), 14)/$V$2)*100</f>
        <v>9.475098077653564E-2</v>
      </c>
      <c r="AE271" s="84">
        <f t="shared" si="119"/>
        <v>26.747445640568117</v>
      </c>
      <c r="AF271" s="130">
        <f>INDEX(Chemical_analyses!$A:$N, MATCH($P271, Chemical_analyses!$A:$A), 14)/$V$2/(INDEX(Chemical_analyses!$A:$N, MATCH($P271, Chemical_analyses!$A:$A), 12)/$T$2+INDEX(Chemical_analyses!$A:$N, MATCH($P271, Chemical_analyses!$A:$A), 13)/$U$2+INDEX(Chemical_analyses!$A:$N, MATCH($P271, Chemical_analyses!$A:$A), 14)/$V$2)*100</f>
        <v>73.157803378655345</v>
      </c>
      <c r="AG271" s="16" t="s">
        <v>69</v>
      </c>
      <c r="AH271" s="16" t="str">
        <f>_xlfn.CONCAT("CaO: ", INDEX(Chemical_analyses!$A:$N, MATCH($P271, Chemical_analyses!$A:$A), 12), ", Na2O: ", INDEX(Chemical_analyses!$A:$N, MATCH($P271, Chemical_analyses!$A:$A), 13), ", K2O: ", INDEX(Chemical_analyses!$A:$N, MATCH($P271, Chemical_analyses!$A:$A), 14), ", MnO: ", INDEX(Chemical_analyses!$A:$M, MATCH($P271, Chemical_analyses!$A:$A), 10), ", Al2O3: ", INDEX(Chemical_analyses!$A:$M, MATCH($P271, Chemical_analyses!$A:$A), 6))</f>
        <v>CaO: 0.02, Na2O: 3.12, K2O: 12.97, MnO: 0.01, Al2O3: 19.05</v>
      </c>
      <c r="AI271" s="85"/>
      <c r="AJ271" s="85"/>
      <c r="AN271" s="30"/>
      <c r="AO271" s="30"/>
      <c r="AP271" s="30"/>
      <c r="AQ271" s="30"/>
      <c r="AW271" s="30"/>
      <c r="AX271" s="30"/>
      <c r="AY271" s="30"/>
      <c r="AZ271" s="30"/>
    </row>
    <row r="272" spans="1:52" s="16" customFormat="1">
      <c r="A272" s="16" t="s">
        <v>965</v>
      </c>
      <c r="B272" s="81" t="s">
        <v>966</v>
      </c>
      <c r="C272" s="82" t="s">
        <v>961</v>
      </c>
      <c r="D272" s="82" t="s">
        <v>642</v>
      </c>
      <c r="E272" s="16" t="s">
        <v>643</v>
      </c>
      <c r="G272" s="16" t="s">
        <v>821</v>
      </c>
      <c r="H272" s="16" t="s">
        <v>967</v>
      </c>
      <c r="J272" s="16">
        <v>45</v>
      </c>
      <c r="K272" s="16">
        <v>150</v>
      </c>
      <c r="L272" s="16" t="s">
        <v>64</v>
      </c>
      <c r="M272" s="16" t="s">
        <v>65</v>
      </c>
      <c r="O272" s="16" t="s">
        <v>963</v>
      </c>
      <c r="P272" s="16">
        <v>620</v>
      </c>
      <c r="Q272" s="16" t="s">
        <v>964</v>
      </c>
      <c r="R272" s="129">
        <v>0</v>
      </c>
      <c r="S272" s="83">
        <f t="shared" si="115"/>
        <v>0</v>
      </c>
      <c r="T272" s="83">
        <v>0</v>
      </c>
      <c r="U272" s="83">
        <v>100</v>
      </c>
      <c r="V272" s="129">
        <v>0</v>
      </c>
      <c r="W272" s="153">
        <f t="shared" si="116"/>
        <v>0</v>
      </c>
      <c r="X272" s="84">
        <v>0</v>
      </c>
      <c r="Y272" s="83">
        <f t="shared" si="117"/>
        <v>0</v>
      </c>
      <c r="Z272" s="84">
        <v>0</v>
      </c>
      <c r="AA272" s="163">
        <v>0</v>
      </c>
      <c r="AB272" s="83">
        <f t="shared" si="118"/>
        <v>0</v>
      </c>
      <c r="AC272" s="130">
        <v>0</v>
      </c>
      <c r="AD272" s="84">
        <f>INDEX(Chemical_analyses!$A:$N, MATCH($P272, Chemical_analyses!$A:$A), 12)/$T$2/(INDEX(Chemical_analyses!$A:$N, MATCH($P272, Chemical_analyses!$A:$A), 12)/$T$2+INDEX(Chemical_analyses!$A:$N, MATCH($P272, Chemical_analyses!$A:$A), 13)/$U$2+INDEX(Chemical_analyses!$A:$N, MATCH($P272, Chemical_analyses!$A:$A), 14)/$V$2)*100</f>
        <v>15.403598909233684</v>
      </c>
      <c r="AE272" s="84">
        <f t="shared" si="119"/>
        <v>54.586194577529689</v>
      </c>
      <c r="AF272" s="130">
        <f>INDEX(Chemical_analyses!$A:$N, MATCH($P272, Chemical_analyses!$A:$A), 14)/$V$2/(INDEX(Chemical_analyses!$A:$N, MATCH($P272, Chemical_analyses!$A:$A), 12)/$T$2+INDEX(Chemical_analyses!$A:$N, MATCH($P272, Chemical_analyses!$A:$A), 13)/$U$2+INDEX(Chemical_analyses!$A:$N, MATCH($P272, Chemical_analyses!$A:$A), 14)/$V$2)*100</f>
        <v>30.010206513236632</v>
      </c>
      <c r="AG272" s="16" t="s">
        <v>69</v>
      </c>
      <c r="AH272" s="16" t="str">
        <f>_xlfn.CONCAT("CaO: ", INDEX(Chemical_analyses!$A:$N, MATCH($P272, Chemical_analyses!$A:$A), 12), ", Na2O: ", INDEX(Chemical_analyses!$A:$N, MATCH($P272, Chemical_analyses!$A:$A), 13), ", K2O: ", INDEX(Chemical_analyses!$A:$N, MATCH($P272, Chemical_analyses!$A:$A), 14), ", MnO: ", INDEX(Chemical_analyses!$A:$M, MATCH($P272, Chemical_analyses!$A:$A), 10), ", Al2O3: ", INDEX(Chemical_analyses!$A:$M, MATCH($P272, Chemical_analyses!$A:$A), 6))</f>
        <v>CaO: 2.64, Na2O: 5.17, K2O: 4.32, MnO: 0.04, Al2O3: 19.9</v>
      </c>
      <c r="AI272" s="85"/>
      <c r="AJ272" s="85"/>
      <c r="AN272" s="30"/>
      <c r="AO272" s="30"/>
      <c r="AP272" s="30"/>
      <c r="AQ272" s="30"/>
      <c r="AW272" s="30"/>
      <c r="AX272" s="30"/>
      <c r="AY272" s="30"/>
      <c r="AZ272" s="30"/>
    </row>
    <row r="273" spans="1:52" s="7" customFormat="1">
      <c r="A273" s="7" t="s">
        <v>968</v>
      </c>
      <c r="B273" s="91" t="s">
        <v>969</v>
      </c>
      <c r="C273" s="92" t="s">
        <v>106</v>
      </c>
      <c r="D273" s="92" t="s">
        <v>642</v>
      </c>
      <c r="E273" s="7" t="s">
        <v>643</v>
      </c>
      <c r="G273" s="7" t="s">
        <v>755</v>
      </c>
      <c r="H273" s="7" t="s">
        <v>970</v>
      </c>
      <c r="J273" s="7">
        <v>0</v>
      </c>
      <c r="K273" s="7">
        <v>45</v>
      </c>
      <c r="L273" s="7" t="s">
        <v>64</v>
      </c>
      <c r="M273" s="7" t="s">
        <v>65</v>
      </c>
      <c r="N273" s="7" t="s">
        <v>971</v>
      </c>
      <c r="O273" s="7" t="s">
        <v>646</v>
      </c>
      <c r="P273" s="7">
        <v>636</v>
      </c>
      <c r="Q273" s="7" t="s">
        <v>647</v>
      </c>
      <c r="R273" s="131">
        <v>0</v>
      </c>
      <c r="S273" s="93">
        <f t="shared" si="115"/>
        <v>0</v>
      </c>
      <c r="T273" s="93">
        <v>100</v>
      </c>
      <c r="U273" s="93">
        <v>0</v>
      </c>
      <c r="V273" s="131">
        <v>0</v>
      </c>
      <c r="W273" s="154">
        <f t="shared" si="116"/>
        <v>0</v>
      </c>
      <c r="X273" s="94">
        <v>0</v>
      </c>
      <c r="Y273" s="94">
        <f t="shared" si="117"/>
        <v>0</v>
      </c>
      <c r="Z273" s="94">
        <v>0</v>
      </c>
      <c r="AA273" s="155">
        <f>INDEX(Chemical_analyses!$A:$L, MATCH($P273, Chemical_analyses!$A:$A), 9)/$R$2/(INDEX(Chemical_analyses!$A:$L, MATCH($P273, Chemical_analyses!$A:$A), 9)/$R$2+INDEX(Chemical_analyses!$A:$L, MATCH($P273, Chemical_analyses!$A:$A), 11)/$S$2+INDEX(Chemical_analyses!$A:$L, MATCH($P273, Chemical_analyses!$A:$A), 12)/$T$2)*100</f>
        <v>9.7076115070896218</v>
      </c>
      <c r="AB273" s="94">
        <f t="shared" si="118"/>
        <v>53.653084438022049</v>
      </c>
      <c r="AC273" s="132">
        <f>INDEX(Chemical_analyses!$A:$L, MATCH($P273, Chemical_analyses!$A:$A), 12)/$T$2/(INDEX(Chemical_analyses!$A:$L, MATCH($P273, Chemical_analyses!$A:$A), 9)/$R$2+INDEX(Chemical_analyses!$A:$L, MATCH($P273, Chemical_analyses!$A:$A), 11)/$S$2+INDEX(Chemical_analyses!$A:$L, MATCH($P273, Chemical_analyses!$A:$A), 12)/$T$2)*100</f>
        <v>36.639304054888328</v>
      </c>
      <c r="AD273" s="94">
        <v>0</v>
      </c>
      <c r="AE273" s="94">
        <f t="shared" si="119"/>
        <v>0</v>
      </c>
      <c r="AF273" s="132">
        <v>0</v>
      </c>
      <c r="AG273" s="7" t="s">
        <v>69</v>
      </c>
      <c r="AH273" s="95" t="str">
        <f>_xlfn.CONCAT("FeO: ", INDEX(Chemical_analyses!$A:$M, MATCH($P273, Chemical_analyses!$A:$A), 9), ", MgO: ", INDEX(Chemical_analyses!$A:$M, MATCH($P273, Chemical_analyses!$A:$A), 11), ", CaO: ", INDEX(Chemical_analyses!$A:$M, MATCH($P273, Chemical_analyses!$A:$A), 12), ", MnO: ", INDEX(Chemical_analyses!$A:$M, MATCH($P273, Chemical_analyses!$A:$A), 10), ", NaO2: ", INDEX(Chemical_analyses!$A:$M, MATCH($P273, Chemical_analyses!$A:$A), 13), ", Fe2O3: ", INDEX(Chemical_analyses!$A:$M, MATCH($P273, Chemical_analyses!$A:$A), 8), ", Al2O3: ", INDEX(Chemical_analyses!$A:$M, MATCH($P273, Chemical_analyses!$A:$A), 6))</f>
        <v>FeO: 5.37, MgO: 16.65, CaO: 15.82, MnO: 0.13, NaO2: 1.27, Fe2O3: 1.08, Al2O3: 8.73</v>
      </c>
      <c r="AI273" s="95"/>
      <c r="AJ273" s="95"/>
      <c r="AN273" s="37"/>
      <c r="AO273" s="37"/>
      <c r="AP273" s="37"/>
      <c r="AQ273" s="37"/>
      <c r="AW273" s="37"/>
      <c r="AX273" s="37"/>
      <c r="AY273" s="37"/>
      <c r="AZ273" s="37"/>
    </row>
    <row r="274" spans="1:52" s="7" customFormat="1">
      <c r="A274" s="7" t="s">
        <v>972</v>
      </c>
      <c r="B274" s="91" t="s">
        <v>973</v>
      </c>
      <c r="C274" s="92" t="s">
        <v>974</v>
      </c>
      <c r="D274" s="92" t="s">
        <v>642</v>
      </c>
      <c r="E274" s="7" t="s">
        <v>643</v>
      </c>
      <c r="G274" s="7" t="s">
        <v>755</v>
      </c>
      <c r="H274" s="7" t="s">
        <v>970</v>
      </c>
      <c r="J274" s="7">
        <v>0</v>
      </c>
      <c r="K274" s="7">
        <v>25</v>
      </c>
      <c r="L274" s="7" t="s">
        <v>64</v>
      </c>
      <c r="M274" s="7" t="s">
        <v>65</v>
      </c>
      <c r="N274" s="7" t="s">
        <v>975</v>
      </c>
      <c r="O274" s="7" t="s">
        <v>976</v>
      </c>
      <c r="P274" s="7">
        <v>814</v>
      </c>
      <c r="R274" s="131">
        <v>0</v>
      </c>
      <c r="S274" s="93">
        <f t="shared" si="115"/>
        <v>0</v>
      </c>
      <c r="T274" s="93">
        <v>100</v>
      </c>
      <c r="U274" s="93">
        <v>0</v>
      </c>
      <c r="V274" s="131">
        <v>0</v>
      </c>
      <c r="W274" s="154">
        <f t="shared" si="116"/>
        <v>0</v>
      </c>
      <c r="X274" s="94">
        <v>0</v>
      </c>
      <c r="Y274" s="94">
        <f t="shared" si="117"/>
        <v>0</v>
      </c>
      <c r="Z274" s="94">
        <v>0</v>
      </c>
      <c r="AA274" s="155">
        <f>INDEX(Chemical_analyses!$A:$L, MATCH($P274, Chemical_analyses!$A:$A), 9)/$R$2/(INDEX(Chemical_analyses!$A:$L, MATCH($P274, Chemical_analyses!$A:$A), 9)/$R$2+INDEX(Chemical_analyses!$A:$L, MATCH($P274, Chemical_analyses!$A:$A), 11)/$S$2+INDEX(Chemical_analyses!$A:$L, MATCH($P274, Chemical_analyses!$A:$A), 12)/$T$2)*100</f>
        <v>7.051768860678866</v>
      </c>
      <c r="AB274" s="94">
        <f t="shared" si="118"/>
        <v>45.965037636556289</v>
      </c>
      <c r="AC274" s="132">
        <f>INDEX(Chemical_analyses!$A:$L, MATCH($P274, Chemical_analyses!$A:$A), 12)/$T$2/(INDEX(Chemical_analyses!$A:$L, MATCH($P274, Chemical_analyses!$A:$A), 9)/$R$2+INDEX(Chemical_analyses!$A:$L, MATCH($P274, Chemical_analyses!$A:$A), 11)/$S$2+INDEX(Chemical_analyses!$A:$L, MATCH($P274, Chemical_analyses!$A:$A), 12)/$T$2)*100</f>
        <v>46.983193502764848</v>
      </c>
      <c r="AD274" s="94">
        <v>0</v>
      </c>
      <c r="AE274" s="94">
        <f t="shared" si="119"/>
        <v>0</v>
      </c>
      <c r="AF274" s="132">
        <v>0</v>
      </c>
      <c r="AG274" s="7" t="s">
        <v>69</v>
      </c>
      <c r="AH274" s="95" t="str">
        <f>_xlfn.CONCAT("FeO: ", INDEX(Chemical_analyses!$A:$M, MATCH($P274, Chemical_analyses!$A:$A), 9), ", MgO: ", INDEX(Chemical_analyses!$A:$M, MATCH($P274, Chemical_analyses!$A:$A), 11), ", CaO: ", INDEX(Chemical_analyses!$A:$M, MATCH($P274, Chemical_analyses!$A:$A), 12), ", MnO: ", INDEX(Chemical_analyses!$A:$M, MATCH($P274, Chemical_analyses!$A:$A), 10), ", NaO2: ", INDEX(Chemical_analyses!$A:$M, MATCH($P274, Chemical_analyses!$A:$A), 13), ", Fe2O3: ", INDEX(Chemical_analyses!$A:$M, MATCH($P274, Chemical_analyses!$A:$A), 8), ", Al2O3: ", INDEX(Chemical_analyses!$A:$M, MATCH($P274, Chemical_analyses!$A:$A), 6))</f>
        <v>FeO: 4.34, MgO: 15.87, CaO: 22.57, MnO: 0.08, NaO2: 0.45, Fe2O3: 0, Al2O3: 4.78</v>
      </c>
      <c r="AI274" s="95"/>
      <c r="AJ274" s="95"/>
      <c r="AN274" s="37"/>
      <c r="AO274" s="37"/>
      <c r="AP274" s="37"/>
      <c r="AQ274" s="37"/>
      <c r="AW274" s="37"/>
      <c r="AX274" s="37"/>
      <c r="AY274" s="37"/>
      <c r="AZ274" s="37"/>
    </row>
    <row r="275" spans="1:52" s="7" customFormat="1">
      <c r="A275" s="7" t="s">
        <v>977</v>
      </c>
      <c r="B275" s="91" t="s">
        <v>978</v>
      </c>
      <c r="C275" s="92" t="s">
        <v>974</v>
      </c>
      <c r="D275" s="92" t="s">
        <v>642</v>
      </c>
      <c r="E275" s="7" t="s">
        <v>643</v>
      </c>
      <c r="G275" s="7" t="s">
        <v>755</v>
      </c>
      <c r="H275" s="7" t="s">
        <v>970</v>
      </c>
      <c r="J275" s="7">
        <v>25</v>
      </c>
      <c r="K275" s="7">
        <v>45</v>
      </c>
      <c r="L275" s="7" t="s">
        <v>64</v>
      </c>
      <c r="M275" s="7" t="s">
        <v>65</v>
      </c>
      <c r="N275" s="7" t="s">
        <v>975</v>
      </c>
      <c r="O275" s="7" t="s">
        <v>976</v>
      </c>
      <c r="P275" s="7">
        <v>814</v>
      </c>
      <c r="R275" s="131">
        <v>0</v>
      </c>
      <c r="S275" s="93">
        <f t="shared" si="115"/>
        <v>0</v>
      </c>
      <c r="T275" s="93">
        <v>100</v>
      </c>
      <c r="U275" s="93">
        <v>0</v>
      </c>
      <c r="V275" s="131">
        <v>0</v>
      </c>
      <c r="W275" s="154">
        <f t="shared" si="116"/>
        <v>0</v>
      </c>
      <c r="X275" s="94">
        <v>0</v>
      </c>
      <c r="Y275" s="94">
        <f t="shared" si="117"/>
        <v>0</v>
      </c>
      <c r="Z275" s="94">
        <v>0</v>
      </c>
      <c r="AA275" s="155">
        <f>INDEX(Chemical_analyses!$A:$L, MATCH($P275, Chemical_analyses!$A:$A), 9)/$R$2/(INDEX(Chemical_analyses!$A:$L, MATCH($P275, Chemical_analyses!$A:$A), 9)/$R$2+INDEX(Chemical_analyses!$A:$L, MATCH($P275, Chemical_analyses!$A:$A), 11)/$S$2+INDEX(Chemical_analyses!$A:$L, MATCH($P275, Chemical_analyses!$A:$A), 12)/$T$2)*100</f>
        <v>7.051768860678866</v>
      </c>
      <c r="AB275" s="94">
        <f t="shared" si="118"/>
        <v>45.965037636556289</v>
      </c>
      <c r="AC275" s="132">
        <f>INDEX(Chemical_analyses!$A:$L, MATCH($P275, Chemical_analyses!$A:$A), 12)/$T$2/(INDEX(Chemical_analyses!$A:$L, MATCH($P275, Chemical_analyses!$A:$A), 9)/$R$2+INDEX(Chemical_analyses!$A:$L, MATCH($P275, Chemical_analyses!$A:$A), 11)/$S$2+INDEX(Chemical_analyses!$A:$L, MATCH($P275, Chemical_analyses!$A:$A), 12)/$T$2)*100</f>
        <v>46.983193502764848</v>
      </c>
      <c r="AD275" s="94">
        <v>0</v>
      </c>
      <c r="AE275" s="94">
        <f t="shared" si="119"/>
        <v>0</v>
      </c>
      <c r="AF275" s="132">
        <v>0</v>
      </c>
      <c r="AG275" s="7" t="s">
        <v>69</v>
      </c>
      <c r="AH275" s="95" t="str">
        <f>_xlfn.CONCAT("FeO: ", INDEX(Chemical_analyses!$A:$M, MATCH($P275, Chemical_analyses!$A:$A), 9), ", MgO: ", INDEX(Chemical_analyses!$A:$M, MATCH($P275, Chemical_analyses!$A:$A), 11), ", CaO: ", INDEX(Chemical_analyses!$A:$M, MATCH($P275, Chemical_analyses!$A:$A), 12), ", MnO: ", INDEX(Chemical_analyses!$A:$M, MATCH($P275, Chemical_analyses!$A:$A), 10), ", NaO2: ", INDEX(Chemical_analyses!$A:$M, MATCH($P275, Chemical_analyses!$A:$A), 13), ", Fe2O3: ", INDEX(Chemical_analyses!$A:$M, MATCH($P275, Chemical_analyses!$A:$A), 8), ", Al2O3: ", INDEX(Chemical_analyses!$A:$M, MATCH($P275, Chemical_analyses!$A:$A), 6))</f>
        <v>FeO: 4.34, MgO: 15.87, CaO: 22.57, MnO: 0.08, NaO2: 0.45, Fe2O3: 0, Al2O3: 4.78</v>
      </c>
      <c r="AI275" s="95"/>
      <c r="AJ275" s="95"/>
      <c r="AN275" s="37"/>
      <c r="AO275" s="37"/>
      <c r="AP275" s="37"/>
      <c r="AQ275" s="37"/>
      <c r="AW275" s="37"/>
      <c r="AX275" s="37"/>
      <c r="AY275" s="37"/>
      <c r="AZ275" s="37"/>
    </row>
    <row r="276" spans="1:52" s="7" customFormat="1">
      <c r="A276" s="7" t="s">
        <v>979</v>
      </c>
      <c r="B276" s="91" t="s">
        <v>980</v>
      </c>
      <c r="C276" s="92" t="s">
        <v>974</v>
      </c>
      <c r="D276" s="92" t="s">
        <v>642</v>
      </c>
      <c r="E276" s="7" t="s">
        <v>643</v>
      </c>
      <c r="G276" s="7" t="s">
        <v>755</v>
      </c>
      <c r="H276" s="7" t="s">
        <v>970</v>
      </c>
      <c r="J276" s="7">
        <v>45</v>
      </c>
      <c r="K276" s="7">
        <v>53</v>
      </c>
      <c r="L276" s="7" t="s">
        <v>64</v>
      </c>
      <c r="M276" s="7" t="s">
        <v>65</v>
      </c>
      <c r="N276" s="7" t="s">
        <v>975</v>
      </c>
      <c r="O276" s="7" t="s">
        <v>976</v>
      </c>
      <c r="P276" s="7">
        <v>814</v>
      </c>
      <c r="R276" s="131">
        <v>0</v>
      </c>
      <c r="S276" s="93">
        <f t="shared" si="115"/>
        <v>0</v>
      </c>
      <c r="T276" s="93">
        <v>100</v>
      </c>
      <c r="U276" s="93">
        <v>0</v>
      </c>
      <c r="V276" s="131">
        <v>0</v>
      </c>
      <c r="W276" s="154">
        <f t="shared" si="116"/>
        <v>0</v>
      </c>
      <c r="X276" s="94">
        <v>0</v>
      </c>
      <c r="Y276" s="94">
        <f t="shared" si="117"/>
        <v>0</v>
      </c>
      <c r="Z276" s="94">
        <v>0</v>
      </c>
      <c r="AA276" s="155">
        <f>INDEX(Chemical_analyses!$A:$L, MATCH($P276, Chemical_analyses!$A:$A), 9)/$R$2/(INDEX(Chemical_analyses!$A:$L, MATCH($P276, Chemical_analyses!$A:$A), 9)/$R$2+INDEX(Chemical_analyses!$A:$L, MATCH($P276, Chemical_analyses!$A:$A), 11)/$S$2+INDEX(Chemical_analyses!$A:$L, MATCH($P276, Chemical_analyses!$A:$A), 12)/$T$2)*100</f>
        <v>7.051768860678866</v>
      </c>
      <c r="AB276" s="94">
        <f t="shared" si="118"/>
        <v>45.965037636556289</v>
      </c>
      <c r="AC276" s="132">
        <f>INDEX(Chemical_analyses!$A:$L, MATCH($P276, Chemical_analyses!$A:$A), 12)/$T$2/(INDEX(Chemical_analyses!$A:$L, MATCH($P276, Chemical_analyses!$A:$A), 9)/$R$2+INDEX(Chemical_analyses!$A:$L, MATCH($P276, Chemical_analyses!$A:$A), 11)/$S$2+INDEX(Chemical_analyses!$A:$L, MATCH($P276, Chemical_analyses!$A:$A), 12)/$T$2)*100</f>
        <v>46.983193502764848</v>
      </c>
      <c r="AD276" s="94">
        <v>0</v>
      </c>
      <c r="AE276" s="94">
        <f t="shared" si="119"/>
        <v>0</v>
      </c>
      <c r="AF276" s="132">
        <v>0</v>
      </c>
      <c r="AG276" s="7" t="s">
        <v>69</v>
      </c>
      <c r="AH276" s="95" t="str">
        <f>_xlfn.CONCAT("FeO: ", INDEX(Chemical_analyses!$A:$M, MATCH($P276, Chemical_analyses!$A:$A), 9), ", MgO: ", INDEX(Chemical_analyses!$A:$M, MATCH($P276, Chemical_analyses!$A:$A), 11), ", CaO: ", INDEX(Chemical_analyses!$A:$M, MATCH($P276, Chemical_analyses!$A:$A), 12), ", MnO: ", INDEX(Chemical_analyses!$A:$M, MATCH($P276, Chemical_analyses!$A:$A), 10), ", NaO2: ", INDEX(Chemical_analyses!$A:$M, MATCH($P276, Chemical_analyses!$A:$A), 13), ", Fe2O3: ", INDEX(Chemical_analyses!$A:$M, MATCH($P276, Chemical_analyses!$A:$A), 8), ", Al2O3: ", INDEX(Chemical_analyses!$A:$M, MATCH($P276, Chemical_analyses!$A:$A), 6))</f>
        <v>FeO: 4.34, MgO: 15.87, CaO: 22.57, MnO: 0.08, NaO2: 0.45, Fe2O3: 0, Al2O3: 4.78</v>
      </c>
      <c r="AI276" s="95"/>
      <c r="AJ276" s="95"/>
      <c r="AN276" s="37"/>
      <c r="AO276" s="37"/>
      <c r="AP276" s="37"/>
      <c r="AQ276" s="37"/>
      <c r="AW276" s="37"/>
      <c r="AX276" s="37"/>
      <c r="AY276" s="37"/>
      <c r="AZ276" s="37"/>
    </row>
    <row r="277" spans="1:52" s="7" customFormat="1">
      <c r="A277" s="7" t="s">
        <v>981</v>
      </c>
      <c r="B277" s="91" t="s">
        <v>982</v>
      </c>
      <c r="C277" s="92" t="s">
        <v>974</v>
      </c>
      <c r="D277" s="92" t="s">
        <v>642</v>
      </c>
      <c r="E277" s="7" t="s">
        <v>643</v>
      </c>
      <c r="G277" s="7" t="s">
        <v>755</v>
      </c>
      <c r="H277" s="7" t="s">
        <v>970</v>
      </c>
      <c r="J277" s="7">
        <v>53</v>
      </c>
      <c r="K277" s="7">
        <v>63</v>
      </c>
      <c r="L277" s="7" t="s">
        <v>64</v>
      </c>
      <c r="M277" s="7" t="s">
        <v>65</v>
      </c>
      <c r="N277" s="7" t="s">
        <v>975</v>
      </c>
      <c r="O277" s="7" t="s">
        <v>976</v>
      </c>
      <c r="P277" s="7">
        <v>814</v>
      </c>
      <c r="R277" s="131">
        <v>0</v>
      </c>
      <c r="S277" s="93">
        <f t="shared" si="115"/>
        <v>0</v>
      </c>
      <c r="T277" s="93">
        <v>100</v>
      </c>
      <c r="U277" s="93">
        <v>0</v>
      </c>
      <c r="V277" s="131">
        <v>0</v>
      </c>
      <c r="W277" s="154">
        <f t="shared" si="116"/>
        <v>0</v>
      </c>
      <c r="X277" s="94">
        <v>0</v>
      </c>
      <c r="Y277" s="94">
        <f t="shared" si="117"/>
        <v>0</v>
      </c>
      <c r="Z277" s="94">
        <v>0</v>
      </c>
      <c r="AA277" s="155">
        <f>INDEX(Chemical_analyses!$A:$L, MATCH($P277, Chemical_analyses!$A:$A), 9)/$R$2/(INDEX(Chemical_analyses!$A:$L, MATCH($P277, Chemical_analyses!$A:$A), 9)/$R$2+INDEX(Chemical_analyses!$A:$L, MATCH($P277, Chemical_analyses!$A:$A), 11)/$S$2+INDEX(Chemical_analyses!$A:$L, MATCH($P277, Chemical_analyses!$A:$A), 12)/$T$2)*100</f>
        <v>7.051768860678866</v>
      </c>
      <c r="AB277" s="94">
        <f t="shared" si="118"/>
        <v>45.965037636556289</v>
      </c>
      <c r="AC277" s="132">
        <f>INDEX(Chemical_analyses!$A:$L, MATCH($P277, Chemical_analyses!$A:$A), 12)/$T$2/(INDEX(Chemical_analyses!$A:$L, MATCH($P277, Chemical_analyses!$A:$A), 9)/$R$2+INDEX(Chemical_analyses!$A:$L, MATCH($P277, Chemical_analyses!$A:$A), 11)/$S$2+INDEX(Chemical_analyses!$A:$L, MATCH($P277, Chemical_analyses!$A:$A), 12)/$T$2)*100</f>
        <v>46.983193502764848</v>
      </c>
      <c r="AD277" s="94">
        <v>0</v>
      </c>
      <c r="AE277" s="94">
        <f t="shared" si="119"/>
        <v>0</v>
      </c>
      <c r="AF277" s="132">
        <v>0</v>
      </c>
      <c r="AG277" s="7" t="s">
        <v>69</v>
      </c>
      <c r="AH277" s="95" t="str">
        <f>_xlfn.CONCAT("FeO: ", INDEX(Chemical_analyses!$A:$M, MATCH($P277, Chemical_analyses!$A:$A), 9), ", MgO: ", INDEX(Chemical_analyses!$A:$M, MATCH($P277, Chemical_analyses!$A:$A), 11), ", CaO: ", INDEX(Chemical_analyses!$A:$M, MATCH($P277, Chemical_analyses!$A:$A), 12), ", MnO: ", INDEX(Chemical_analyses!$A:$M, MATCH($P277, Chemical_analyses!$A:$A), 10), ", NaO2: ", INDEX(Chemical_analyses!$A:$M, MATCH($P277, Chemical_analyses!$A:$A), 13), ", Fe2O3: ", INDEX(Chemical_analyses!$A:$M, MATCH($P277, Chemical_analyses!$A:$A), 8), ", Al2O3: ", INDEX(Chemical_analyses!$A:$M, MATCH($P277, Chemical_analyses!$A:$A), 6))</f>
        <v>FeO: 4.34, MgO: 15.87, CaO: 22.57, MnO: 0.08, NaO2: 0.45, Fe2O3: 0, Al2O3: 4.78</v>
      </c>
      <c r="AI277" s="95"/>
      <c r="AJ277" s="95"/>
      <c r="AN277" s="37"/>
      <c r="AO277" s="37"/>
      <c r="AP277" s="37"/>
      <c r="AQ277" s="37"/>
      <c r="AW277" s="37"/>
      <c r="AX277" s="37"/>
      <c r="AY277" s="37"/>
      <c r="AZ277" s="37"/>
    </row>
    <row r="278" spans="1:52" s="7" customFormat="1">
      <c r="A278" s="7" t="s">
        <v>983</v>
      </c>
      <c r="B278" s="91" t="s">
        <v>984</v>
      </c>
      <c r="C278" s="92" t="s">
        <v>974</v>
      </c>
      <c r="D278" s="92" t="s">
        <v>642</v>
      </c>
      <c r="E278" s="7" t="s">
        <v>643</v>
      </c>
      <c r="G278" s="7" t="s">
        <v>755</v>
      </c>
      <c r="H278" s="7" t="s">
        <v>970</v>
      </c>
      <c r="J278" s="7">
        <v>63</v>
      </c>
      <c r="K278" s="7">
        <v>75</v>
      </c>
      <c r="L278" s="7" t="s">
        <v>64</v>
      </c>
      <c r="M278" s="7" t="s">
        <v>65</v>
      </c>
      <c r="N278" s="7" t="s">
        <v>975</v>
      </c>
      <c r="O278" s="7" t="s">
        <v>976</v>
      </c>
      <c r="P278" s="7">
        <v>814</v>
      </c>
      <c r="R278" s="131">
        <v>0</v>
      </c>
      <c r="S278" s="93">
        <f t="shared" si="115"/>
        <v>0</v>
      </c>
      <c r="T278" s="93">
        <v>100</v>
      </c>
      <c r="U278" s="93">
        <v>0</v>
      </c>
      <c r="V278" s="131">
        <v>0</v>
      </c>
      <c r="W278" s="154">
        <f t="shared" si="116"/>
        <v>0</v>
      </c>
      <c r="X278" s="94">
        <v>0</v>
      </c>
      <c r="Y278" s="94">
        <f t="shared" si="117"/>
        <v>0</v>
      </c>
      <c r="Z278" s="94">
        <v>0</v>
      </c>
      <c r="AA278" s="155">
        <f>INDEX(Chemical_analyses!$A:$L, MATCH($P278, Chemical_analyses!$A:$A), 9)/$R$2/(INDEX(Chemical_analyses!$A:$L, MATCH($P278, Chemical_analyses!$A:$A), 9)/$R$2+INDEX(Chemical_analyses!$A:$L, MATCH($P278, Chemical_analyses!$A:$A), 11)/$S$2+INDEX(Chemical_analyses!$A:$L, MATCH($P278, Chemical_analyses!$A:$A), 12)/$T$2)*100</f>
        <v>7.051768860678866</v>
      </c>
      <c r="AB278" s="94">
        <f t="shared" si="118"/>
        <v>45.965037636556289</v>
      </c>
      <c r="AC278" s="132">
        <f>INDEX(Chemical_analyses!$A:$L, MATCH($P278, Chemical_analyses!$A:$A), 12)/$T$2/(INDEX(Chemical_analyses!$A:$L, MATCH($P278, Chemical_analyses!$A:$A), 9)/$R$2+INDEX(Chemical_analyses!$A:$L, MATCH($P278, Chemical_analyses!$A:$A), 11)/$S$2+INDEX(Chemical_analyses!$A:$L, MATCH($P278, Chemical_analyses!$A:$A), 12)/$T$2)*100</f>
        <v>46.983193502764848</v>
      </c>
      <c r="AD278" s="94">
        <v>0</v>
      </c>
      <c r="AE278" s="94">
        <f t="shared" si="119"/>
        <v>0</v>
      </c>
      <c r="AF278" s="132">
        <v>0</v>
      </c>
      <c r="AG278" s="7" t="s">
        <v>69</v>
      </c>
      <c r="AH278" s="95" t="str">
        <f>_xlfn.CONCAT("FeO: ", INDEX(Chemical_analyses!$A:$M, MATCH($P278, Chemical_analyses!$A:$A), 9), ", MgO: ", INDEX(Chemical_analyses!$A:$M, MATCH($P278, Chemical_analyses!$A:$A), 11), ", CaO: ", INDEX(Chemical_analyses!$A:$M, MATCH($P278, Chemical_analyses!$A:$A), 12), ", MnO: ", INDEX(Chemical_analyses!$A:$M, MATCH($P278, Chemical_analyses!$A:$A), 10), ", NaO2: ", INDEX(Chemical_analyses!$A:$M, MATCH($P278, Chemical_analyses!$A:$A), 13), ", Fe2O3: ", INDEX(Chemical_analyses!$A:$M, MATCH($P278, Chemical_analyses!$A:$A), 8), ", Al2O3: ", INDEX(Chemical_analyses!$A:$M, MATCH($P278, Chemical_analyses!$A:$A), 6))</f>
        <v>FeO: 4.34, MgO: 15.87, CaO: 22.57, MnO: 0.08, NaO2: 0.45, Fe2O3: 0, Al2O3: 4.78</v>
      </c>
      <c r="AI278" s="95"/>
      <c r="AJ278" s="95"/>
      <c r="AN278" s="37"/>
      <c r="AO278" s="37"/>
      <c r="AP278" s="37"/>
      <c r="AQ278" s="37"/>
      <c r="AW278" s="37"/>
      <c r="AX278" s="37"/>
      <c r="AY278" s="37"/>
      <c r="AZ278" s="37"/>
    </row>
    <row r="279" spans="1:52" s="7" customFormat="1">
      <c r="A279" s="7" t="s">
        <v>985</v>
      </c>
      <c r="B279" s="91" t="s">
        <v>986</v>
      </c>
      <c r="C279" s="92" t="s">
        <v>974</v>
      </c>
      <c r="D279" s="92" t="s">
        <v>642</v>
      </c>
      <c r="E279" s="7" t="s">
        <v>643</v>
      </c>
      <c r="G279" s="7" t="s">
        <v>755</v>
      </c>
      <c r="H279" s="7" t="s">
        <v>970</v>
      </c>
      <c r="J279" s="7">
        <v>75</v>
      </c>
      <c r="K279" s="7">
        <v>150</v>
      </c>
      <c r="L279" s="7" t="s">
        <v>64</v>
      </c>
      <c r="M279" s="7" t="s">
        <v>65</v>
      </c>
      <c r="N279" s="7" t="s">
        <v>975</v>
      </c>
      <c r="O279" s="7" t="s">
        <v>976</v>
      </c>
      <c r="P279" s="7">
        <v>814</v>
      </c>
      <c r="R279" s="131">
        <v>0</v>
      </c>
      <c r="S279" s="93">
        <f t="shared" si="115"/>
        <v>0</v>
      </c>
      <c r="T279" s="93">
        <v>100</v>
      </c>
      <c r="U279" s="93">
        <v>0</v>
      </c>
      <c r="V279" s="131">
        <v>0</v>
      </c>
      <c r="W279" s="154">
        <f t="shared" si="116"/>
        <v>0</v>
      </c>
      <c r="X279" s="94">
        <v>0</v>
      </c>
      <c r="Y279" s="94">
        <f t="shared" si="117"/>
        <v>0</v>
      </c>
      <c r="Z279" s="94">
        <v>0</v>
      </c>
      <c r="AA279" s="155">
        <f>INDEX(Chemical_analyses!$A:$L, MATCH($P279, Chemical_analyses!$A:$A), 9)/$R$2/(INDEX(Chemical_analyses!$A:$L, MATCH($P279, Chemical_analyses!$A:$A), 9)/$R$2+INDEX(Chemical_analyses!$A:$L, MATCH($P279, Chemical_analyses!$A:$A), 11)/$S$2+INDEX(Chemical_analyses!$A:$L, MATCH($P279, Chemical_analyses!$A:$A), 12)/$T$2)*100</f>
        <v>7.051768860678866</v>
      </c>
      <c r="AB279" s="94">
        <f t="shared" si="118"/>
        <v>45.965037636556289</v>
      </c>
      <c r="AC279" s="132">
        <f>INDEX(Chemical_analyses!$A:$L, MATCH($P279, Chemical_analyses!$A:$A), 12)/$T$2/(INDEX(Chemical_analyses!$A:$L, MATCH($P279, Chemical_analyses!$A:$A), 9)/$R$2+INDEX(Chemical_analyses!$A:$L, MATCH($P279, Chemical_analyses!$A:$A), 11)/$S$2+INDEX(Chemical_analyses!$A:$L, MATCH($P279, Chemical_analyses!$A:$A), 12)/$T$2)*100</f>
        <v>46.983193502764848</v>
      </c>
      <c r="AD279" s="94">
        <v>0</v>
      </c>
      <c r="AE279" s="94">
        <f t="shared" si="119"/>
        <v>0</v>
      </c>
      <c r="AF279" s="132">
        <v>0</v>
      </c>
      <c r="AG279" s="7" t="s">
        <v>69</v>
      </c>
      <c r="AH279" s="95" t="str">
        <f>_xlfn.CONCAT("FeO: ", INDEX(Chemical_analyses!$A:$M, MATCH($P279, Chemical_analyses!$A:$A), 9), ", MgO: ", INDEX(Chemical_analyses!$A:$M, MATCH($P279, Chemical_analyses!$A:$A), 11), ", CaO: ", INDEX(Chemical_analyses!$A:$M, MATCH($P279, Chemical_analyses!$A:$A), 12), ", MnO: ", INDEX(Chemical_analyses!$A:$M, MATCH($P279, Chemical_analyses!$A:$A), 10), ", NaO2: ", INDEX(Chemical_analyses!$A:$M, MATCH($P279, Chemical_analyses!$A:$A), 13), ", Fe2O3: ", INDEX(Chemical_analyses!$A:$M, MATCH($P279, Chemical_analyses!$A:$A), 8), ", Al2O3: ", INDEX(Chemical_analyses!$A:$M, MATCH($P279, Chemical_analyses!$A:$A), 6))</f>
        <v>FeO: 4.34, MgO: 15.87, CaO: 22.57, MnO: 0.08, NaO2: 0.45, Fe2O3: 0, Al2O3: 4.78</v>
      </c>
      <c r="AI279" s="95"/>
      <c r="AJ279" s="95"/>
      <c r="AN279" s="37"/>
      <c r="AO279" s="37"/>
      <c r="AP279" s="37"/>
      <c r="AQ279" s="37"/>
      <c r="AW279" s="37"/>
      <c r="AX279" s="37"/>
      <c r="AY279" s="37"/>
      <c r="AZ279" s="37"/>
    </row>
    <row r="280" spans="1:52" s="7" customFormat="1">
      <c r="A280" s="7" t="s">
        <v>987</v>
      </c>
      <c r="B280" s="91" t="s">
        <v>988</v>
      </c>
      <c r="C280" s="92" t="s">
        <v>989</v>
      </c>
      <c r="D280" s="92" t="s">
        <v>255</v>
      </c>
      <c r="E280" s="7" t="s">
        <v>643</v>
      </c>
      <c r="G280" s="7" t="s">
        <v>755</v>
      </c>
      <c r="H280" s="7" t="s">
        <v>970</v>
      </c>
      <c r="J280" s="7">
        <v>0</v>
      </c>
      <c r="K280" s="7">
        <v>50</v>
      </c>
      <c r="L280" s="7" t="s">
        <v>64</v>
      </c>
      <c r="M280" s="7" t="s">
        <v>387</v>
      </c>
      <c r="N280" s="7" t="s">
        <v>990</v>
      </c>
      <c r="O280" s="7" t="s">
        <v>991</v>
      </c>
      <c r="P280" s="7">
        <v>0</v>
      </c>
      <c r="Q280" s="7" t="s">
        <v>992</v>
      </c>
      <c r="R280" s="131">
        <v>0</v>
      </c>
      <c r="S280" s="93">
        <f t="shared" si="115"/>
        <v>0</v>
      </c>
      <c r="T280" s="93">
        <v>100</v>
      </c>
      <c r="U280" s="93">
        <v>0</v>
      </c>
      <c r="V280" s="131">
        <v>0</v>
      </c>
      <c r="W280" s="154">
        <f t="shared" si="116"/>
        <v>0</v>
      </c>
      <c r="X280" s="94">
        <v>0</v>
      </c>
      <c r="Y280" s="94">
        <f t="shared" si="117"/>
        <v>0</v>
      </c>
      <c r="Z280" s="94">
        <v>0</v>
      </c>
      <c r="AA280" s="155">
        <v>23</v>
      </c>
      <c r="AB280" s="94">
        <f t="shared" si="118"/>
        <v>38</v>
      </c>
      <c r="AC280" s="132">
        <v>39</v>
      </c>
      <c r="AD280" s="94">
        <v>0</v>
      </c>
      <c r="AE280" s="94">
        <f t="shared" si="119"/>
        <v>0</v>
      </c>
      <c r="AF280" s="132">
        <v>0</v>
      </c>
      <c r="AG280" s="7" t="s">
        <v>69</v>
      </c>
      <c r="AH280" s="28" t="s">
        <v>993</v>
      </c>
      <c r="AI280" s="95" t="s">
        <v>994</v>
      </c>
      <c r="AJ280" s="95"/>
      <c r="AN280" s="37"/>
      <c r="AO280" s="37"/>
      <c r="AP280" s="37"/>
      <c r="AQ280" s="37"/>
      <c r="AW280" s="37"/>
      <c r="AX280" s="37"/>
      <c r="AY280" s="37"/>
      <c r="AZ280" s="37"/>
    </row>
    <row r="281" spans="1:52" s="7" customFormat="1">
      <c r="A281" s="7" t="s">
        <v>995</v>
      </c>
      <c r="B281" s="91" t="s">
        <v>996</v>
      </c>
      <c r="C281" s="92" t="s">
        <v>989</v>
      </c>
      <c r="D281" s="92" t="s">
        <v>255</v>
      </c>
      <c r="E281" s="7" t="s">
        <v>643</v>
      </c>
      <c r="G281" s="7" t="s">
        <v>755</v>
      </c>
      <c r="H281" s="7" t="s">
        <v>997</v>
      </c>
      <c r="J281" s="7">
        <v>0</v>
      </c>
      <c r="K281" s="7">
        <v>50</v>
      </c>
      <c r="L281" s="7" t="s">
        <v>64</v>
      </c>
      <c r="M281" s="7" t="s">
        <v>387</v>
      </c>
      <c r="N281" s="7" t="s">
        <v>998</v>
      </c>
      <c r="O281" s="7" t="s">
        <v>991</v>
      </c>
      <c r="P281" s="7">
        <v>563</v>
      </c>
      <c r="Q281" s="7" t="s">
        <v>992</v>
      </c>
      <c r="R281" s="131">
        <v>0</v>
      </c>
      <c r="S281" s="93">
        <f t="shared" si="115"/>
        <v>0</v>
      </c>
      <c r="T281" s="93">
        <v>100</v>
      </c>
      <c r="U281" s="93">
        <v>0</v>
      </c>
      <c r="V281" s="131">
        <v>0</v>
      </c>
      <c r="W281" s="154">
        <f t="shared" si="116"/>
        <v>0</v>
      </c>
      <c r="X281" s="94">
        <v>0</v>
      </c>
      <c r="Y281" s="94">
        <f t="shared" si="117"/>
        <v>0</v>
      </c>
      <c r="Z281" s="94">
        <v>0</v>
      </c>
      <c r="AA281" s="155">
        <f>INDEX(Chemical_analyses!$A:$L, MATCH($P281, Chemical_analyses!$A:$A), 9)/$R$2/(INDEX(Chemical_analyses!$A:$L, MATCH($P281, Chemical_analyses!$A:$A), 9)/$R$2+INDEX(Chemical_analyses!$A:$L, MATCH($P281, Chemical_analyses!$A:$A), 11)/$S$2+INDEX(Chemical_analyses!$A:$L, MATCH($P281, Chemical_analyses!$A:$A), 12)/$T$2)*100</f>
        <v>48.723863369030333</v>
      </c>
      <c r="AB281" s="94">
        <f t="shared" si="118"/>
        <v>24.235969712322966</v>
      </c>
      <c r="AC281" s="132">
        <f>INDEX(Chemical_analyses!$A:$L, MATCH($P281, Chemical_analyses!$A:$A), 12)/$T$2/(INDEX(Chemical_analyses!$A:$L, MATCH($P281, Chemical_analyses!$A:$A), 9)/$R$2+INDEX(Chemical_analyses!$A:$L, MATCH($P281, Chemical_analyses!$A:$A), 11)/$S$2+INDEX(Chemical_analyses!$A:$L, MATCH($P281, Chemical_analyses!$A:$A), 12)/$T$2)*100</f>
        <v>27.040166918646701</v>
      </c>
      <c r="AD281" s="94">
        <v>0</v>
      </c>
      <c r="AE281" s="94">
        <f t="shared" si="119"/>
        <v>0</v>
      </c>
      <c r="AF281" s="132">
        <v>0</v>
      </c>
      <c r="AG281" s="7" t="s">
        <v>69</v>
      </c>
      <c r="AH281" s="95" t="str">
        <f>_xlfn.CONCAT("FeO: ", INDEX(Chemical_analyses!$A:$M, MATCH($P281, Chemical_analyses!$A:$A), 9), ", MgO: ", INDEX(Chemical_analyses!$A:$M, MATCH($P281, Chemical_analyses!$A:$A), 11), ", CaO: ", INDEX(Chemical_analyses!$A:$M, MATCH($P281, Chemical_analyses!$A:$A), 12), ", MnO: ", INDEX(Chemical_analyses!$A:$M, MATCH($P281, Chemical_analyses!$A:$A), 10), ", NaO2: ", INDEX(Chemical_analyses!$A:$M, MATCH($P281, Chemical_analyses!$A:$A), 13), ", Fe2O3: ", INDEX(Chemical_analyses!$A:$M, MATCH($P281, Chemical_analyses!$A:$A), 8), ", Al2O3: ", INDEX(Chemical_analyses!$A:$M, MATCH($P281, Chemical_analyses!$A:$A), 6))</f>
        <v>FeO: 29.78, MgO: 8.31, CaO: 12.9, MnO: 0.81, NaO2: 0.11, Fe2O3: 0, Al2O3: 0.89</v>
      </c>
      <c r="AN281" s="37"/>
      <c r="AO281" s="37"/>
      <c r="AP281" s="37"/>
      <c r="AQ281" s="37"/>
      <c r="AW281" s="37"/>
      <c r="AX281" s="37"/>
      <c r="AY281" s="37"/>
      <c r="AZ281" s="37"/>
    </row>
    <row r="282" spans="1:52" s="7" customFormat="1">
      <c r="A282" s="7" t="s">
        <v>999</v>
      </c>
      <c r="B282" s="91" t="s">
        <v>1000</v>
      </c>
      <c r="C282" s="92" t="s">
        <v>989</v>
      </c>
      <c r="D282" s="92" t="s">
        <v>255</v>
      </c>
      <c r="E282" s="7" t="s">
        <v>643</v>
      </c>
      <c r="G282" s="7" t="s">
        <v>755</v>
      </c>
      <c r="H282" s="7" t="s">
        <v>997</v>
      </c>
      <c r="J282" s="7">
        <v>0</v>
      </c>
      <c r="K282" s="7">
        <v>50</v>
      </c>
      <c r="L282" s="7" t="s">
        <v>64</v>
      </c>
      <c r="M282" s="7" t="s">
        <v>387</v>
      </c>
      <c r="N282" s="7" t="s">
        <v>1001</v>
      </c>
      <c r="O282" s="7" t="s">
        <v>991</v>
      </c>
      <c r="P282" s="7">
        <v>564</v>
      </c>
      <c r="Q282" s="7" t="s">
        <v>992</v>
      </c>
      <c r="R282" s="131">
        <v>0</v>
      </c>
      <c r="S282" s="93">
        <f t="shared" si="115"/>
        <v>0</v>
      </c>
      <c r="T282" s="93">
        <v>100</v>
      </c>
      <c r="U282" s="93">
        <v>0</v>
      </c>
      <c r="V282" s="131">
        <v>0</v>
      </c>
      <c r="W282" s="154">
        <f t="shared" si="116"/>
        <v>0</v>
      </c>
      <c r="X282" s="94">
        <v>0</v>
      </c>
      <c r="Y282" s="94">
        <f t="shared" si="117"/>
        <v>0</v>
      </c>
      <c r="Z282" s="94">
        <v>0</v>
      </c>
      <c r="AA282" s="155">
        <f>INDEX(Chemical_analyses!$A:$L, MATCH($P282, Chemical_analyses!$A:$A), 9)/$R$2/(INDEX(Chemical_analyses!$A:$L, MATCH($P282, Chemical_analyses!$A:$A), 9)/$R$2+INDEX(Chemical_analyses!$A:$L, MATCH($P282, Chemical_analyses!$A:$A), 11)/$S$2+INDEX(Chemical_analyses!$A:$L, MATCH($P282, Chemical_analyses!$A:$A), 12)/$T$2)*100</f>
        <v>41.985523613795593</v>
      </c>
      <c r="AB282" s="94">
        <f t="shared" si="118"/>
        <v>4.0568237839511383</v>
      </c>
      <c r="AC282" s="132">
        <f>INDEX(Chemical_analyses!$A:$L, MATCH($P282, Chemical_analyses!$A:$A), 12)/$T$2/(INDEX(Chemical_analyses!$A:$L, MATCH($P282, Chemical_analyses!$A:$A), 9)/$R$2+INDEX(Chemical_analyses!$A:$L, MATCH($P282, Chemical_analyses!$A:$A), 11)/$S$2+INDEX(Chemical_analyses!$A:$L, MATCH($P282, Chemical_analyses!$A:$A), 12)/$T$2)*100</f>
        <v>53.957652602253269</v>
      </c>
      <c r="AD282" s="94">
        <v>0</v>
      </c>
      <c r="AE282" s="94">
        <f t="shared" si="119"/>
        <v>0</v>
      </c>
      <c r="AF282" s="132">
        <v>0</v>
      </c>
      <c r="AG282" s="7" t="s">
        <v>69</v>
      </c>
      <c r="AH282" s="95" t="str">
        <f>_xlfn.CONCAT("FeO: ", INDEX(Chemical_analyses!$A:$M, MATCH($P282, Chemical_analyses!$A:$A), 9), ", MgO: ", INDEX(Chemical_analyses!$A:$M, MATCH($P282, Chemical_analyses!$A:$A), 11), ", CaO: ", INDEX(Chemical_analyses!$A:$M, MATCH($P282, Chemical_analyses!$A:$A), 12), ", MnO: ", INDEX(Chemical_analyses!$A:$M, MATCH($P282, Chemical_analyses!$A:$A), 10), ", NaO2: ", INDEX(Chemical_analyses!$A:$M, MATCH($P282, Chemical_analyses!$A:$A), 13), ", Fe2O3: ", INDEX(Chemical_analyses!$A:$M, MATCH($P282, Chemical_analyses!$A:$A), 8), ", Al2O3: ", INDEX(Chemical_analyses!$A:$M, MATCH($P282, Chemical_analyses!$A:$A), 6))</f>
        <v>FeO: 16.05, MgO: 0.87, CaO: 16.1, MnO: 0.58, NaO2: 14.35, Fe2O3: 0, Al2O3: 0</v>
      </c>
      <c r="AN282" s="37"/>
      <c r="AO282" s="37"/>
      <c r="AP282" s="37"/>
      <c r="AQ282" s="37"/>
      <c r="AW282" s="37"/>
      <c r="AX282" s="37"/>
      <c r="AY282" s="37"/>
      <c r="AZ282" s="37"/>
    </row>
    <row r="283" spans="1:52" s="7" customFormat="1">
      <c r="A283" s="7" t="s">
        <v>1002</v>
      </c>
      <c r="B283" s="91" t="s">
        <v>1003</v>
      </c>
      <c r="C283" s="92" t="s">
        <v>989</v>
      </c>
      <c r="D283" s="92" t="s">
        <v>255</v>
      </c>
      <c r="E283" s="7" t="s">
        <v>643</v>
      </c>
      <c r="G283" s="7" t="s">
        <v>755</v>
      </c>
      <c r="H283" s="7" t="s">
        <v>997</v>
      </c>
      <c r="J283" s="7">
        <v>0</v>
      </c>
      <c r="K283" s="7">
        <v>45</v>
      </c>
      <c r="L283" s="7" t="s">
        <v>64</v>
      </c>
      <c r="M283" s="7" t="s">
        <v>65</v>
      </c>
      <c r="N283" s="7" t="s">
        <v>409</v>
      </c>
      <c r="O283" s="7" t="s">
        <v>1004</v>
      </c>
      <c r="P283" s="7">
        <v>0</v>
      </c>
      <c r="R283" s="131">
        <v>0</v>
      </c>
      <c r="S283" s="93">
        <f t="shared" si="115"/>
        <v>0</v>
      </c>
      <c r="T283" s="93">
        <v>100</v>
      </c>
      <c r="U283" s="93">
        <v>0</v>
      </c>
      <c r="V283" s="131">
        <v>0</v>
      </c>
      <c r="W283" s="154">
        <f t="shared" si="116"/>
        <v>0</v>
      </c>
      <c r="X283" s="94">
        <v>0</v>
      </c>
      <c r="Y283" s="94">
        <f t="shared" si="117"/>
        <v>0</v>
      </c>
      <c r="Z283" s="94">
        <v>0</v>
      </c>
      <c r="AA283" s="131">
        <v>26</v>
      </c>
      <c r="AB283" s="94">
        <f t="shared" si="118"/>
        <v>65</v>
      </c>
      <c r="AC283" s="154">
        <v>9</v>
      </c>
      <c r="AD283" s="94">
        <v>0</v>
      </c>
      <c r="AE283" s="94">
        <f t="shared" si="119"/>
        <v>0</v>
      </c>
      <c r="AF283" s="132">
        <v>0</v>
      </c>
      <c r="AG283" s="7" t="s">
        <v>69</v>
      </c>
      <c r="AH283" s="28" t="s">
        <v>1005</v>
      </c>
      <c r="AI283" s="7" t="s">
        <v>1006</v>
      </c>
      <c r="AJ283" s="95"/>
      <c r="AN283" s="37"/>
      <c r="AO283" s="37"/>
      <c r="AP283" s="37"/>
      <c r="AQ283" s="37"/>
      <c r="AW283" s="37"/>
      <c r="AX283" s="37"/>
      <c r="AY283" s="37"/>
      <c r="AZ283" s="37"/>
    </row>
    <row r="284" spans="1:52" s="7" customFormat="1">
      <c r="A284" s="7" t="s">
        <v>1007</v>
      </c>
      <c r="B284" s="91" t="s">
        <v>1008</v>
      </c>
      <c r="C284" s="92" t="s">
        <v>989</v>
      </c>
      <c r="D284" s="92" t="s">
        <v>255</v>
      </c>
      <c r="E284" s="7" t="s">
        <v>643</v>
      </c>
      <c r="G284" s="7" t="s">
        <v>755</v>
      </c>
      <c r="H284" s="7" t="s">
        <v>997</v>
      </c>
      <c r="J284" s="7">
        <v>0</v>
      </c>
      <c r="K284" s="7">
        <v>45</v>
      </c>
      <c r="L284" s="7" t="s">
        <v>64</v>
      </c>
      <c r="M284" s="7" t="s">
        <v>65</v>
      </c>
      <c r="N284" s="7" t="s">
        <v>409</v>
      </c>
      <c r="O284" s="7" t="s">
        <v>1004</v>
      </c>
      <c r="P284" s="7">
        <v>0</v>
      </c>
      <c r="R284" s="131">
        <v>0</v>
      </c>
      <c r="S284" s="93">
        <f t="shared" si="115"/>
        <v>0</v>
      </c>
      <c r="T284" s="93">
        <v>100</v>
      </c>
      <c r="U284" s="93">
        <v>0</v>
      </c>
      <c r="V284" s="131">
        <v>0</v>
      </c>
      <c r="W284" s="154">
        <f t="shared" si="116"/>
        <v>0</v>
      </c>
      <c r="X284" s="94">
        <v>0</v>
      </c>
      <c r="Y284" s="94">
        <f t="shared" si="117"/>
        <v>0</v>
      </c>
      <c r="Z284" s="94">
        <v>0</v>
      </c>
      <c r="AA284" s="131">
        <v>27</v>
      </c>
      <c r="AB284" s="94">
        <f t="shared" si="118"/>
        <v>64</v>
      </c>
      <c r="AC284" s="154">
        <v>9</v>
      </c>
      <c r="AD284" s="94">
        <v>0</v>
      </c>
      <c r="AE284" s="94">
        <f t="shared" si="119"/>
        <v>0</v>
      </c>
      <c r="AF284" s="132">
        <v>0</v>
      </c>
      <c r="AG284" s="7" t="s">
        <v>69</v>
      </c>
      <c r="AH284" s="28" t="s">
        <v>1005</v>
      </c>
      <c r="AI284" s="7" t="s">
        <v>1006</v>
      </c>
      <c r="AJ284" s="95"/>
      <c r="AN284" s="37"/>
      <c r="AO284" s="37"/>
      <c r="AP284" s="37"/>
      <c r="AQ284" s="37"/>
      <c r="AW284" s="37"/>
      <c r="AX284" s="37"/>
      <c r="AY284" s="37"/>
      <c r="AZ284" s="37"/>
    </row>
    <row r="285" spans="1:52" s="7" customFormat="1">
      <c r="A285" s="7" t="s">
        <v>1009</v>
      </c>
      <c r="B285" s="91" t="s">
        <v>1010</v>
      </c>
      <c r="C285" s="92" t="s">
        <v>162</v>
      </c>
      <c r="D285" s="92" t="s">
        <v>754</v>
      </c>
      <c r="E285" s="7" t="s">
        <v>643</v>
      </c>
      <c r="G285" s="7" t="s">
        <v>755</v>
      </c>
      <c r="H285" s="7" t="s">
        <v>1011</v>
      </c>
      <c r="J285" s="7">
        <v>0</v>
      </c>
      <c r="K285" s="7">
        <v>100</v>
      </c>
      <c r="L285" s="7" t="s">
        <v>64</v>
      </c>
      <c r="M285" s="7" t="s">
        <v>387</v>
      </c>
      <c r="N285" s="7" t="s">
        <v>1012</v>
      </c>
      <c r="P285" s="7">
        <v>0</v>
      </c>
      <c r="Q285" s="7" t="s">
        <v>1013</v>
      </c>
      <c r="R285" s="131">
        <v>0</v>
      </c>
      <c r="S285" s="93">
        <f t="shared" si="115"/>
        <v>0</v>
      </c>
      <c r="T285" s="93">
        <v>100</v>
      </c>
      <c r="U285" s="93">
        <v>0</v>
      </c>
      <c r="V285" s="131">
        <v>0</v>
      </c>
      <c r="W285" s="154">
        <f t="shared" si="116"/>
        <v>0</v>
      </c>
      <c r="X285" s="94">
        <v>0</v>
      </c>
      <c r="Y285" s="94">
        <f t="shared" si="117"/>
        <v>0</v>
      </c>
      <c r="Z285" s="94">
        <v>0</v>
      </c>
      <c r="AA285" s="155">
        <v>45</v>
      </c>
      <c r="AB285" s="94">
        <f t="shared" si="118"/>
        <v>45</v>
      </c>
      <c r="AC285" s="132">
        <v>10</v>
      </c>
      <c r="AD285" s="94">
        <v>0</v>
      </c>
      <c r="AE285" s="94">
        <f t="shared" si="119"/>
        <v>0</v>
      </c>
      <c r="AF285" s="132">
        <v>0</v>
      </c>
      <c r="AG285" s="7" t="s">
        <v>69</v>
      </c>
      <c r="AH285" s="7" t="s">
        <v>1014</v>
      </c>
      <c r="AI285" s="95"/>
      <c r="AJ285" s="95"/>
      <c r="AN285" s="37"/>
      <c r="AO285" s="37"/>
      <c r="AP285" s="37"/>
      <c r="AQ285" s="37"/>
      <c r="AW285" s="37"/>
      <c r="AX285" s="37"/>
      <c r="AY285" s="37"/>
      <c r="AZ285" s="37"/>
    </row>
    <row r="286" spans="1:52" s="7" customFormat="1">
      <c r="A286" s="7" t="s">
        <v>1015</v>
      </c>
      <c r="B286" s="91" t="s">
        <v>1016</v>
      </c>
      <c r="C286" s="92" t="s">
        <v>162</v>
      </c>
      <c r="D286" s="92" t="s">
        <v>754</v>
      </c>
      <c r="E286" s="7" t="s">
        <v>643</v>
      </c>
      <c r="G286" s="7" t="s">
        <v>755</v>
      </c>
      <c r="H286" s="7" t="s">
        <v>1011</v>
      </c>
      <c r="J286" s="7">
        <v>0</v>
      </c>
      <c r="K286" s="7">
        <v>45</v>
      </c>
      <c r="L286" s="7" t="s">
        <v>64</v>
      </c>
      <c r="M286" s="7" t="s">
        <v>387</v>
      </c>
      <c r="N286" s="7" t="s">
        <v>1012</v>
      </c>
      <c r="P286" s="7">
        <v>0</v>
      </c>
      <c r="Q286" s="7" t="s">
        <v>1017</v>
      </c>
      <c r="R286" s="131">
        <v>0</v>
      </c>
      <c r="S286" s="93">
        <f t="shared" si="115"/>
        <v>0</v>
      </c>
      <c r="T286" s="93">
        <v>100</v>
      </c>
      <c r="U286" s="93">
        <v>0</v>
      </c>
      <c r="V286" s="131">
        <v>0</v>
      </c>
      <c r="W286" s="154">
        <f t="shared" si="116"/>
        <v>0</v>
      </c>
      <c r="X286" s="94">
        <v>0</v>
      </c>
      <c r="Y286" s="94">
        <f t="shared" si="117"/>
        <v>0</v>
      </c>
      <c r="Z286" s="94">
        <v>0</v>
      </c>
      <c r="AA286" s="155">
        <v>45</v>
      </c>
      <c r="AB286" s="94">
        <f t="shared" si="118"/>
        <v>45</v>
      </c>
      <c r="AC286" s="132">
        <v>10</v>
      </c>
      <c r="AD286" s="94">
        <v>0</v>
      </c>
      <c r="AE286" s="94">
        <f t="shared" si="119"/>
        <v>0</v>
      </c>
      <c r="AF286" s="132">
        <v>0</v>
      </c>
      <c r="AG286" s="7" t="s">
        <v>69</v>
      </c>
      <c r="AH286" s="7" t="s">
        <v>1014</v>
      </c>
      <c r="AI286" s="95"/>
      <c r="AJ286" s="95"/>
      <c r="AN286" s="37"/>
      <c r="AO286" s="37"/>
      <c r="AP286" s="37"/>
      <c r="AQ286" s="37"/>
      <c r="AW286" s="37"/>
      <c r="AX286" s="37"/>
      <c r="AY286" s="37"/>
      <c r="AZ286" s="37"/>
    </row>
    <row r="287" spans="1:52" s="7" customFormat="1">
      <c r="A287" s="7" t="s">
        <v>1018</v>
      </c>
      <c r="B287" s="91" t="s">
        <v>1019</v>
      </c>
      <c r="C287" s="92" t="s">
        <v>162</v>
      </c>
      <c r="D287" s="92" t="s">
        <v>754</v>
      </c>
      <c r="E287" s="7" t="s">
        <v>643</v>
      </c>
      <c r="G287" s="7" t="s">
        <v>755</v>
      </c>
      <c r="H287" s="7" t="s">
        <v>1011</v>
      </c>
      <c r="J287" s="7">
        <v>0</v>
      </c>
      <c r="K287" s="7">
        <v>100</v>
      </c>
      <c r="L287" s="7" t="s">
        <v>64</v>
      </c>
      <c r="M287" s="7" t="s">
        <v>387</v>
      </c>
      <c r="N287" s="7" t="s">
        <v>1012</v>
      </c>
      <c r="P287" s="7">
        <v>0</v>
      </c>
      <c r="Q287" s="7" t="s">
        <v>1013</v>
      </c>
      <c r="R287" s="131">
        <v>0</v>
      </c>
      <c r="S287" s="93">
        <f t="shared" si="115"/>
        <v>0</v>
      </c>
      <c r="T287" s="93">
        <v>100</v>
      </c>
      <c r="U287" s="93">
        <v>0</v>
      </c>
      <c r="V287" s="131">
        <v>0</v>
      </c>
      <c r="W287" s="154">
        <f t="shared" si="116"/>
        <v>0</v>
      </c>
      <c r="X287" s="94">
        <v>0</v>
      </c>
      <c r="Y287" s="94">
        <f t="shared" si="117"/>
        <v>0</v>
      </c>
      <c r="Z287" s="94">
        <v>0</v>
      </c>
      <c r="AA287" s="155">
        <v>27</v>
      </c>
      <c r="AB287" s="94">
        <f t="shared" si="118"/>
        <v>63</v>
      </c>
      <c r="AC287" s="132">
        <v>10</v>
      </c>
      <c r="AD287" s="94">
        <v>0</v>
      </c>
      <c r="AE287" s="94">
        <f t="shared" si="119"/>
        <v>0</v>
      </c>
      <c r="AF287" s="132">
        <v>0</v>
      </c>
      <c r="AG287" s="7" t="s">
        <v>69</v>
      </c>
      <c r="AH287" s="7" t="s">
        <v>1014</v>
      </c>
      <c r="AI287" s="95"/>
      <c r="AJ287" s="95"/>
      <c r="AN287" s="37"/>
      <c r="AO287" s="37"/>
      <c r="AP287" s="37"/>
      <c r="AQ287" s="37"/>
      <c r="AW287" s="37"/>
      <c r="AX287" s="37"/>
      <c r="AY287" s="37"/>
      <c r="AZ287" s="37"/>
    </row>
    <row r="288" spans="1:52" s="7" customFormat="1">
      <c r="A288" s="7" t="s">
        <v>1020</v>
      </c>
      <c r="B288" s="91" t="s">
        <v>1021</v>
      </c>
      <c r="C288" s="92" t="s">
        <v>162</v>
      </c>
      <c r="D288" s="92" t="s">
        <v>754</v>
      </c>
      <c r="E288" s="7" t="s">
        <v>643</v>
      </c>
      <c r="G288" s="7" t="s">
        <v>755</v>
      </c>
      <c r="H288" s="7" t="s">
        <v>1011</v>
      </c>
      <c r="J288" s="7">
        <v>0</v>
      </c>
      <c r="K288" s="7">
        <v>45</v>
      </c>
      <c r="L288" s="7" t="s">
        <v>64</v>
      </c>
      <c r="M288" s="7" t="s">
        <v>387</v>
      </c>
      <c r="N288" s="7" t="s">
        <v>1012</v>
      </c>
      <c r="P288" s="7">
        <v>0</v>
      </c>
      <c r="Q288" s="7" t="s">
        <v>1017</v>
      </c>
      <c r="R288" s="131">
        <v>0</v>
      </c>
      <c r="S288" s="93">
        <f t="shared" si="115"/>
        <v>0</v>
      </c>
      <c r="T288" s="93">
        <v>100</v>
      </c>
      <c r="U288" s="93">
        <v>0</v>
      </c>
      <c r="V288" s="131">
        <v>0</v>
      </c>
      <c r="W288" s="154">
        <f t="shared" si="116"/>
        <v>0</v>
      </c>
      <c r="X288" s="94">
        <v>0</v>
      </c>
      <c r="Y288" s="94">
        <f t="shared" si="117"/>
        <v>0</v>
      </c>
      <c r="Z288" s="94">
        <v>0</v>
      </c>
      <c r="AA288" s="155">
        <v>27</v>
      </c>
      <c r="AB288" s="94">
        <f t="shared" si="118"/>
        <v>63</v>
      </c>
      <c r="AC288" s="132">
        <v>10</v>
      </c>
      <c r="AD288" s="94">
        <v>0</v>
      </c>
      <c r="AE288" s="94">
        <f t="shared" si="119"/>
        <v>0</v>
      </c>
      <c r="AF288" s="132">
        <v>0</v>
      </c>
      <c r="AG288" s="7" t="s">
        <v>69</v>
      </c>
      <c r="AH288" s="7" t="s">
        <v>1014</v>
      </c>
      <c r="AI288" s="95"/>
      <c r="AJ288" s="95"/>
      <c r="AN288" s="37"/>
      <c r="AO288" s="37"/>
      <c r="AP288" s="37"/>
      <c r="AQ288" s="37"/>
      <c r="AW288" s="37"/>
      <c r="AX288" s="37"/>
      <c r="AY288" s="37"/>
      <c r="AZ288" s="37"/>
    </row>
    <row r="289" spans="1:52" s="7" customFormat="1">
      <c r="A289" s="7" t="s">
        <v>1022</v>
      </c>
      <c r="B289" s="91" t="s">
        <v>1023</v>
      </c>
      <c r="C289" s="92" t="s">
        <v>162</v>
      </c>
      <c r="D289" s="92" t="s">
        <v>754</v>
      </c>
      <c r="E289" s="7" t="s">
        <v>643</v>
      </c>
      <c r="G289" s="7" t="s">
        <v>755</v>
      </c>
      <c r="H289" s="7" t="s">
        <v>1011</v>
      </c>
      <c r="J289" s="7">
        <v>0</v>
      </c>
      <c r="K289" s="7">
        <v>100</v>
      </c>
      <c r="L289" s="7" t="s">
        <v>64</v>
      </c>
      <c r="M289" s="7" t="s">
        <v>387</v>
      </c>
      <c r="N289" s="7" t="s">
        <v>1012</v>
      </c>
      <c r="P289" s="7">
        <v>0</v>
      </c>
      <c r="Q289" s="7" t="s">
        <v>1013</v>
      </c>
      <c r="R289" s="131">
        <v>0</v>
      </c>
      <c r="S289" s="93">
        <f t="shared" si="115"/>
        <v>0</v>
      </c>
      <c r="T289" s="93">
        <v>100</v>
      </c>
      <c r="U289" s="93">
        <v>0</v>
      </c>
      <c r="V289" s="131">
        <v>0</v>
      </c>
      <c r="W289" s="154">
        <f t="shared" si="116"/>
        <v>0</v>
      </c>
      <c r="X289" s="94">
        <v>0</v>
      </c>
      <c r="Y289" s="94">
        <f t="shared" si="117"/>
        <v>0</v>
      </c>
      <c r="Z289" s="94">
        <v>0</v>
      </c>
      <c r="AA289" s="155">
        <v>54</v>
      </c>
      <c r="AB289" s="94">
        <f t="shared" si="118"/>
        <v>36</v>
      </c>
      <c r="AC289" s="132">
        <v>10</v>
      </c>
      <c r="AD289" s="94">
        <v>0</v>
      </c>
      <c r="AE289" s="94">
        <f t="shared" si="119"/>
        <v>0</v>
      </c>
      <c r="AF289" s="132">
        <v>0</v>
      </c>
      <c r="AG289" s="7" t="s">
        <v>69</v>
      </c>
      <c r="AH289" s="7" t="s">
        <v>1014</v>
      </c>
      <c r="AI289" s="95"/>
      <c r="AJ289" s="95"/>
      <c r="AN289" s="37"/>
      <c r="AO289" s="37"/>
      <c r="AP289" s="37"/>
      <c r="AQ289" s="37"/>
      <c r="AW289" s="37"/>
      <c r="AX289" s="37"/>
      <c r="AY289" s="37"/>
      <c r="AZ289" s="37"/>
    </row>
    <row r="290" spans="1:52" s="7" customFormat="1">
      <c r="A290" s="7" t="s">
        <v>1024</v>
      </c>
      <c r="B290" s="91" t="s">
        <v>1025</v>
      </c>
      <c r="C290" s="92" t="s">
        <v>162</v>
      </c>
      <c r="D290" s="92" t="s">
        <v>754</v>
      </c>
      <c r="E290" s="7" t="s">
        <v>643</v>
      </c>
      <c r="G290" s="7" t="s">
        <v>755</v>
      </c>
      <c r="H290" s="7" t="s">
        <v>1011</v>
      </c>
      <c r="J290" s="7">
        <v>0</v>
      </c>
      <c r="K290" s="7">
        <v>45</v>
      </c>
      <c r="L290" s="7" t="s">
        <v>64</v>
      </c>
      <c r="M290" s="7" t="s">
        <v>387</v>
      </c>
      <c r="N290" s="7" t="s">
        <v>1012</v>
      </c>
      <c r="P290" s="7">
        <v>0</v>
      </c>
      <c r="Q290" s="7" t="s">
        <v>1017</v>
      </c>
      <c r="R290" s="131">
        <v>0</v>
      </c>
      <c r="S290" s="93">
        <f t="shared" si="115"/>
        <v>0</v>
      </c>
      <c r="T290" s="93">
        <v>100</v>
      </c>
      <c r="U290" s="93">
        <v>0</v>
      </c>
      <c r="V290" s="131">
        <v>0</v>
      </c>
      <c r="W290" s="154">
        <f t="shared" si="116"/>
        <v>0</v>
      </c>
      <c r="X290" s="94">
        <v>0</v>
      </c>
      <c r="Y290" s="94">
        <f t="shared" si="117"/>
        <v>0</v>
      </c>
      <c r="Z290" s="94">
        <v>0</v>
      </c>
      <c r="AA290" s="155">
        <v>54</v>
      </c>
      <c r="AB290" s="94">
        <f t="shared" si="118"/>
        <v>36</v>
      </c>
      <c r="AC290" s="132">
        <v>10</v>
      </c>
      <c r="AD290" s="94">
        <v>0</v>
      </c>
      <c r="AE290" s="94">
        <f t="shared" si="119"/>
        <v>0</v>
      </c>
      <c r="AF290" s="132">
        <v>0</v>
      </c>
      <c r="AG290" s="7" t="s">
        <v>69</v>
      </c>
      <c r="AH290" s="7" t="s">
        <v>1014</v>
      </c>
      <c r="AI290" s="95"/>
      <c r="AJ290" s="95"/>
      <c r="AN290" s="37"/>
      <c r="AO290" s="37"/>
      <c r="AP290" s="37"/>
      <c r="AQ290" s="37"/>
      <c r="AW290" s="37"/>
      <c r="AX290" s="37"/>
      <c r="AY290" s="37"/>
      <c r="AZ290" s="37"/>
    </row>
    <row r="291" spans="1:52" s="7" customFormat="1">
      <c r="A291" s="7" t="s">
        <v>1026</v>
      </c>
      <c r="B291" s="91" t="s">
        <v>1027</v>
      </c>
      <c r="C291" s="92" t="s">
        <v>162</v>
      </c>
      <c r="D291" s="92" t="s">
        <v>754</v>
      </c>
      <c r="E291" s="7" t="s">
        <v>643</v>
      </c>
      <c r="G291" s="7" t="s">
        <v>755</v>
      </c>
      <c r="H291" s="7" t="s">
        <v>1011</v>
      </c>
      <c r="J291" s="7">
        <v>0</v>
      </c>
      <c r="K291" s="7">
        <v>100</v>
      </c>
      <c r="L291" s="7" t="s">
        <v>64</v>
      </c>
      <c r="M291" s="7" t="s">
        <v>387</v>
      </c>
      <c r="N291" s="7" t="s">
        <v>1012</v>
      </c>
      <c r="P291" s="7">
        <v>0</v>
      </c>
      <c r="Q291" s="7" t="s">
        <v>1013</v>
      </c>
      <c r="R291" s="131">
        <v>0</v>
      </c>
      <c r="S291" s="93">
        <f t="shared" si="115"/>
        <v>0</v>
      </c>
      <c r="T291" s="93">
        <v>100</v>
      </c>
      <c r="U291" s="93">
        <v>0</v>
      </c>
      <c r="V291" s="131">
        <v>0</v>
      </c>
      <c r="W291" s="154">
        <f t="shared" si="116"/>
        <v>0</v>
      </c>
      <c r="X291" s="94">
        <v>0</v>
      </c>
      <c r="Y291" s="94">
        <f t="shared" si="117"/>
        <v>0</v>
      </c>
      <c r="Z291" s="94">
        <v>0</v>
      </c>
      <c r="AA291" s="155">
        <v>46</v>
      </c>
      <c r="AB291" s="94">
        <f t="shared" si="118"/>
        <v>46</v>
      </c>
      <c r="AC291" s="132">
        <v>8</v>
      </c>
      <c r="AD291" s="94">
        <v>0</v>
      </c>
      <c r="AE291" s="94">
        <f t="shared" si="119"/>
        <v>0</v>
      </c>
      <c r="AF291" s="132">
        <v>0</v>
      </c>
      <c r="AG291" s="7" t="s">
        <v>69</v>
      </c>
      <c r="AH291" s="7" t="s">
        <v>1014</v>
      </c>
      <c r="AI291" s="95"/>
      <c r="AJ291" s="95"/>
      <c r="AN291" s="37"/>
      <c r="AO291" s="37"/>
      <c r="AP291" s="37"/>
      <c r="AQ291" s="37"/>
      <c r="AW291" s="37"/>
      <c r="AX291" s="37"/>
      <c r="AY291" s="37"/>
      <c r="AZ291" s="37"/>
    </row>
    <row r="292" spans="1:52" s="7" customFormat="1">
      <c r="A292" s="7" t="s">
        <v>1028</v>
      </c>
      <c r="B292" s="91" t="s">
        <v>1029</v>
      </c>
      <c r="C292" s="92" t="s">
        <v>162</v>
      </c>
      <c r="D292" s="92" t="s">
        <v>754</v>
      </c>
      <c r="E292" s="7" t="s">
        <v>643</v>
      </c>
      <c r="G292" s="7" t="s">
        <v>755</v>
      </c>
      <c r="H292" s="7" t="s">
        <v>1011</v>
      </c>
      <c r="J292" s="7">
        <v>0</v>
      </c>
      <c r="K292" s="7">
        <v>45</v>
      </c>
      <c r="L292" s="7" t="s">
        <v>64</v>
      </c>
      <c r="M292" s="7" t="s">
        <v>65</v>
      </c>
      <c r="N292" s="7" t="s">
        <v>1012</v>
      </c>
      <c r="P292" s="7">
        <v>0</v>
      </c>
      <c r="Q292" s="7" t="s">
        <v>1030</v>
      </c>
      <c r="R292" s="131">
        <v>0</v>
      </c>
      <c r="S292" s="93">
        <f t="shared" si="115"/>
        <v>0</v>
      </c>
      <c r="T292" s="93">
        <v>100</v>
      </c>
      <c r="U292" s="93">
        <v>0</v>
      </c>
      <c r="V292" s="131">
        <v>0</v>
      </c>
      <c r="W292" s="154">
        <f t="shared" si="116"/>
        <v>0</v>
      </c>
      <c r="X292" s="94">
        <v>0</v>
      </c>
      <c r="Y292" s="94">
        <f t="shared" si="117"/>
        <v>0</v>
      </c>
      <c r="Z292" s="94">
        <v>0</v>
      </c>
      <c r="AA292" s="155">
        <v>46</v>
      </c>
      <c r="AB292" s="94">
        <f t="shared" si="118"/>
        <v>46</v>
      </c>
      <c r="AC292" s="132">
        <v>8</v>
      </c>
      <c r="AD292" s="94">
        <v>0</v>
      </c>
      <c r="AE292" s="94">
        <f t="shared" si="119"/>
        <v>0</v>
      </c>
      <c r="AF292" s="132">
        <v>0</v>
      </c>
      <c r="AG292" s="7" t="s">
        <v>69</v>
      </c>
      <c r="AH292" s="7" t="s">
        <v>1014</v>
      </c>
      <c r="AI292" s="95"/>
      <c r="AJ292" s="95"/>
      <c r="AN292" s="37"/>
      <c r="AO292" s="37"/>
      <c r="AP292" s="37"/>
      <c r="AQ292" s="37"/>
      <c r="AW292" s="37"/>
      <c r="AX292" s="37"/>
      <c r="AY292" s="37"/>
      <c r="AZ292" s="37"/>
    </row>
    <row r="293" spans="1:52" s="7" customFormat="1">
      <c r="A293" s="7" t="s">
        <v>1031</v>
      </c>
      <c r="B293" s="91" t="s">
        <v>1032</v>
      </c>
      <c r="C293" s="92" t="s">
        <v>162</v>
      </c>
      <c r="D293" s="92" t="s">
        <v>754</v>
      </c>
      <c r="E293" s="7" t="s">
        <v>643</v>
      </c>
      <c r="G293" s="7" t="s">
        <v>755</v>
      </c>
      <c r="H293" s="7" t="s">
        <v>1011</v>
      </c>
      <c r="J293" s="7">
        <v>0</v>
      </c>
      <c r="K293" s="7">
        <v>45</v>
      </c>
      <c r="L293" s="7" t="s">
        <v>64</v>
      </c>
      <c r="M293" s="7" t="s">
        <v>65</v>
      </c>
      <c r="N293" s="7" t="s">
        <v>1012</v>
      </c>
      <c r="P293" s="7">
        <v>0</v>
      </c>
      <c r="Q293" s="7" t="s">
        <v>1030</v>
      </c>
      <c r="R293" s="131">
        <v>0</v>
      </c>
      <c r="S293" s="93">
        <f t="shared" ref="S293:S356" si="120">100 - R293 - U293 - T293</f>
        <v>0</v>
      </c>
      <c r="T293" s="93">
        <v>100</v>
      </c>
      <c r="U293" s="93">
        <v>0</v>
      </c>
      <c r="V293" s="131">
        <v>0</v>
      </c>
      <c r="W293" s="154">
        <f t="shared" ref="W293:W356" si="121">IF($R293 &gt; 0, 100 - $V293, 0)</f>
        <v>0</v>
      </c>
      <c r="X293" s="94">
        <v>0</v>
      </c>
      <c r="Y293" s="94">
        <f t="shared" ref="Y293:Y356" si="122">IF($S293 &gt; 0, 100 - $X293 - $Z293, 0)</f>
        <v>0</v>
      </c>
      <c r="Z293" s="94">
        <v>0</v>
      </c>
      <c r="AA293" s="155">
        <v>16</v>
      </c>
      <c r="AB293" s="94">
        <f t="shared" ref="AB293:AB356" si="123">IF($T293 &gt; 0, 100 - $AA293 - $AC293, 0)</f>
        <v>64</v>
      </c>
      <c r="AC293" s="132">
        <v>20</v>
      </c>
      <c r="AD293" s="94">
        <v>0</v>
      </c>
      <c r="AE293" s="94">
        <f t="shared" ref="AE293:AE356" si="124">IF($U293 &gt; 0, 100 - $AD293 - $AF293, 0)</f>
        <v>0</v>
      </c>
      <c r="AF293" s="132">
        <v>0</v>
      </c>
      <c r="AG293" s="7" t="s">
        <v>69</v>
      </c>
      <c r="AH293" s="7" t="s">
        <v>1014</v>
      </c>
      <c r="AI293" s="95"/>
      <c r="AJ293" s="95"/>
      <c r="AN293" s="37"/>
      <c r="AO293" s="37"/>
      <c r="AP293" s="37"/>
      <c r="AQ293" s="37"/>
      <c r="AW293" s="37"/>
      <c r="AX293" s="37"/>
      <c r="AY293" s="37"/>
      <c r="AZ293" s="37"/>
    </row>
    <row r="294" spans="1:52" s="7" customFormat="1">
      <c r="A294" s="7" t="s">
        <v>1033</v>
      </c>
      <c r="B294" s="91" t="s">
        <v>1034</v>
      </c>
      <c r="C294" s="92" t="s">
        <v>162</v>
      </c>
      <c r="D294" s="92" t="s">
        <v>754</v>
      </c>
      <c r="E294" s="7" t="s">
        <v>643</v>
      </c>
      <c r="G294" s="7" t="s">
        <v>755</v>
      </c>
      <c r="H294" s="7" t="s">
        <v>1011</v>
      </c>
      <c r="J294" s="7">
        <v>0</v>
      </c>
      <c r="K294" s="7">
        <v>45</v>
      </c>
      <c r="L294" s="7" t="s">
        <v>64</v>
      </c>
      <c r="M294" s="7" t="s">
        <v>65</v>
      </c>
      <c r="N294" s="7" t="s">
        <v>1012</v>
      </c>
      <c r="P294" s="7">
        <v>0</v>
      </c>
      <c r="Q294" s="7" t="s">
        <v>1030</v>
      </c>
      <c r="R294" s="131">
        <v>0</v>
      </c>
      <c r="S294" s="93">
        <f t="shared" si="120"/>
        <v>0</v>
      </c>
      <c r="T294" s="93">
        <v>100</v>
      </c>
      <c r="U294" s="93">
        <v>0</v>
      </c>
      <c r="V294" s="131">
        <v>0</v>
      </c>
      <c r="W294" s="154">
        <f t="shared" si="121"/>
        <v>0</v>
      </c>
      <c r="X294" s="94">
        <v>0</v>
      </c>
      <c r="Y294" s="94">
        <f t="shared" si="122"/>
        <v>0</v>
      </c>
      <c r="Z294" s="94">
        <v>0</v>
      </c>
      <c r="AA294" s="155">
        <v>18</v>
      </c>
      <c r="AB294" s="94">
        <f t="shared" si="123"/>
        <v>72</v>
      </c>
      <c r="AC294" s="132">
        <v>10</v>
      </c>
      <c r="AD294" s="94">
        <v>0</v>
      </c>
      <c r="AE294" s="94">
        <f t="shared" si="124"/>
        <v>0</v>
      </c>
      <c r="AF294" s="132">
        <v>0</v>
      </c>
      <c r="AG294" s="7" t="s">
        <v>69</v>
      </c>
      <c r="AH294" s="7" t="s">
        <v>1014</v>
      </c>
      <c r="AI294" s="95"/>
      <c r="AJ294" s="95"/>
      <c r="AN294" s="37"/>
      <c r="AO294" s="37"/>
      <c r="AP294" s="37"/>
      <c r="AQ294" s="37"/>
      <c r="AW294" s="37"/>
      <c r="AX294" s="37"/>
      <c r="AY294" s="37"/>
      <c r="AZ294" s="37"/>
    </row>
    <row r="295" spans="1:52" s="7" customFormat="1">
      <c r="A295" s="7" t="s">
        <v>1035</v>
      </c>
      <c r="B295" s="91" t="s">
        <v>1036</v>
      </c>
      <c r="C295" s="92" t="s">
        <v>162</v>
      </c>
      <c r="D295" s="92" t="s">
        <v>754</v>
      </c>
      <c r="E295" s="7" t="s">
        <v>643</v>
      </c>
      <c r="G295" s="7" t="s">
        <v>755</v>
      </c>
      <c r="H295" s="7" t="s">
        <v>1011</v>
      </c>
      <c r="J295" s="7">
        <v>0</v>
      </c>
      <c r="K295" s="7">
        <v>45</v>
      </c>
      <c r="L295" s="7" t="s">
        <v>64</v>
      </c>
      <c r="M295" s="7" t="s">
        <v>65</v>
      </c>
      <c r="N295" s="7" t="s">
        <v>1012</v>
      </c>
      <c r="P295" s="7">
        <v>0</v>
      </c>
      <c r="Q295" s="7" t="s">
        <v>1030</v>
      </c>
      <c r="R295" s="131">
        <v>0</v>
      </c>
      <c r="S295" s="93">
        <f t="shared" si="120"/>
        <v>0</v>
      </c>
      <c r="T295" s="93">
        <v>100</v>
      </c>
      <c r="U295" s="93">
        <v>0</v>
      </c>
      <c r="V295" s="131">
        <v>0</v>
      </c>
      <c r="W295" s="154">
        <f t="shared" si="121"/>
        <v>0</v>
      </c>
      <c r="X295" s="94">
        <v>0</v>
      </c>
      <c r="Y295" s="94">
        <f t="shared" si="122"/>
        <v>0</v>
      </c>
      <c r="Z295" s="94">
        <v>0</v>
      </c>
      <c r="AA295" s="155">
        <v>24</v>
      </c>
      <c r="AB295" s="94">
        <f t="shared" si="123"/>
        <v>56</v>
      </c>
      <c r="AC295" s="132">
        <v>20</v>
      </c>
      <c r="AD295" s="94">
        <v>0</v>
      </c>
      <c r="AE295" s="94">
        <f t="shared" si="124"/>
        <v>0</v>
      </c>
      <c r="AF295" s="132">
        <v>0</v>
      </c>
      <c r="AG295" s="7" t="s">
        <v>69</v>
      </c>
      <c r="AH295" s="7" t="s">
        <v>1014</v>
      </c>
      <c r="AI295" s="95"/>
      <c r="AJ295" s="95"/>
      <c r="AN295" s="37"/>
      <c r="AO295" s="37"/>
      <c r="AP295" s="37"/>
      <c r="AQ295" s="37"/>
      <c r="AW295" s="37"/>
      <c r="AX295" s="37"/>
      <c r="AY295" s="37"/>
      <c r="AZ295" s="37"/>
    </row>
    <row r="296" spans="1:52" s="7" customFormat="1">
      <c r="A296" s="7" t="s">
        <v>1037</v>
      </c>
      <c r="B296" s="91" t="s">
        <v>1038</v>
      </c>
      <c r="C296" s="92" t="s">
        <v>162</v>
      </c>
      <c r="D296" s="92" t="s">
        <v>754</v>
      </c>
      <c r="E296" s="7" t="s">
        <v>643</v>
      </c>
      <c r="G296" s="7" t="s">
        <v>755</v>
      </c>
      <c r="H296" s="7" t="s">
        <v>1011</v>
      </c>
      <c r="J296" s="7">
        <v>0</v>
      </c>
      <c r="K296" s="7">
        <v>45</v>
      </c>
      <c r="L296" s="7" t="s">
        <v>64</v>
      </c>
      <c r="M296" s="7" t="s">
        <v>108</v>
      </c>
      <c r="N296" s="7" t="s">
        <v>1012</v>
      </c>
      <c r="P296" s="7">
        <v>0</v>
      </c>
      <c r="Q296" s="7" t="s">
        <v>1039</v>
      </c>
      <c r="R296" s="131">
        <v>0</v>
      </c>
      <c r="S296" s="93">
        <f t="shared" si="120"/>
        <v>0</v>
      </c>
      <c r="T296" s="93">
        <v>100</v>
      </c>
      <c r="U296" s="93">
        <v>0</v>
      </c>
      <c r="V296" s="131">
        <v>0</v>
      </c>
      <c r="W296" s="154">
        <f t="shared" si="121"/>
        <v>0</v>
      </c>
      <c r="X296" s="94">
        <v>0</v>
      </c>
      <c r="Y296" s="94">
        <f t="shared" si="122"/>
        <v>0</v>
      </c>
      <c r="Z296" s="94">
        <v>0</v>
      </c>
      <c r="AA296" s="155">
        <v>0</v>
      </c>
      <c r="AB296" s="94">
        <f t="shared" si="123"/>
        <v>53.8</v>
      </c>
      <c r="AC296" s="132">
        <v>46.2</v>
      </c>
      <c r="AD296" s="94">
        <v>0</v>
      </c>
      <c r="AE296" s="94">
        <f t="shared" si="124"/>
        <v>0</v>
      </c>
      <c r="AF296" s="132">
        <v>0</v>
      </c>
      <c r="AG296" s="7" t="s">
        <v>69</v>
      </c>
      <c r="AH296" s="7" t="s">
        <v>1014</v>
      </c>
      <c r="AI296" s="95"/>
      <c r="AJ296" s="95"/>
      <c r="AN296" s="37"/>
      <c r="AO296" s="37"/>
      <c r="AP296" s="37"/>
      <c r="AQ296" s="37"/>
      <c r="AW296" s="37"/>
      <c r="AX296" s="37"/>
      <c r="AY296" s="37"/>
      <c r="AZ296" s="37"/>
    </row>
    <row r="297" spans="1:52" s="7" customFormat="1">
      <c r="A297" s="7" t="s">
        <v>1040</v>
      </c>
      <c r="B297" s="91" t="s">
        <v>1041</v>
      </c>
      <c r="C297" s="92" t="s">
        <v>162</v>
      </c>
      <c r="D297" s="92" t="s">
        <v>754</v>
      </c>
      <c r="E297" s="7" t="s">
        <v>643</v>
      </c>
      <c r="G297" s="7" t="s">
        <v>755</v>
      </c>
      <c r="H297" s="7" t="s">
        <v>1011</v>
      </c>
      <c r="J297" s="7">
        <v>0</v>
      </c>
      <c r="K297" s="7">
        <v>45</v>
      </c>
      <c r="L297" s="7" t="s">
        <v>64</v>
      </c>
      <c r="M297" s="7" t="s">
        <v>65</v>
      </c>
      <c r="N297" s="7" t="s">
        <v>1012</v>
      </c>
      <c r="P297" s="7">
        <v>0</v>
      </c>
      <c r="Q297" s="7" t="s">
        <v>1030</v>
      </c>
      <c r="R297" s="131">
        <v>0</v>
      </c>
      <c r="S297" s="93">
        <f t="shared" si="120"/>
        <v>0</v>
      </c>
      <c r="T297" s="93">
        <v>100</v>
      </c>
      <c r="U297" s="93">
        <v>0</v>
      </c>
      <c r="V297" s="131">
        <v>0</v>
      </c>
      <c r="W297" s="154">
        <f t="shared" si="121"/>
        <v>0</v>
      </c>
      <c r="X297" s="94">
        <v>0</v>
      </c>
      <c r="Y297" s="94">
        <f t="shared" si="122"/>
        <v>0</v>
      </c>
      <c r="Z297" s="94">
        <v>0</v>
      </c>
      <c r="AA297" s="155">
        <v>25</v>
      </c>
      <c r="AB297" s="94">
        <f t="shared" si="123"/>
        <v>25</v>
      </c>
      <c r="AC297" s="132">
        <v>50</v>
      </c>
      <c r="AD297" s="94">
        <v>0</v>
      </c>
      <c r="AE297" s="94">
        <f t="shared" si="124"/>
        <v>0</v>
      </c>
      <c r="AF297" s="132">
        <v>0</v>
      </c>
      <c r="AG297" s="7" t="s">
        <v>69</v>
      </c>
      <c r="AH297" s="7" t="s">
        <v>1014</v>
      </c>
      <c r="AI297" s="95"/>
      <c r="AJ297" s="95"/>
      <c r="AN297" s="37"/>
      <c r="AO297" s="37"/>
      <c r="AP297" s="37"/>
      <c r="AQ297" s="37"/>
      <c r="AW297" s="37"/>
      <c r="AX297" s="37"/>
      <c r="AY297" s="37"/>
      <c r="AZ297" s="37"/>
    </row>
    <row r="298" spans="1:52" s="7" customFormat="1">
      <c r="A298" s="7" t="s">
        <v>1042</v>
      </c>
      <c r="B298" s="91" t="s">
        <v>1043</v>
      </c>
      <c r="C298" s="92" t="s">
        <v>162</v>
      </c>
      <c r="D298" s="92" t="s">
        <v>754</v>
      </c>
      <c r="E298" s="7" t="s">
        <v>643</v>
      </c>
      <c r="G298" s="7" t="s">
        <v>755</v>
      </c>
      <c r="H298" s="7" t="s">
        <v>1044</v>
      </c>
      <c r="J298" s="7">
        <v>0</v>
      </c>
      <c r="K298" s="7">
        <v>45</v>
      </c>
      <c r="L298" s="7" t="s">
        <v>64</v>
      </c>
      <c r="M298" s="7" t="s">
        <v>65</v>
      </c>
      <c r="N298" s="7" t="s">
        <v>1012</v>
      </c>
      <c r="P298" s="7">
        <v>0</v>
      </c>
      <c r="Q298" s="7" t="s">
        <v>1030</v>
      </c>
      <c r="R298" s="131">
        <v>0</v>
      </c>
      <c r="S298" s="93">
        <f t="shared" si="120"/>
        <v>0</v>
      </c>
      <c r="T298" s="93">
        <v>100</v>
      </c>
      <c r="U298" s="93">
        <v>0</v>
      </c>
      <c r="V298" s="131">
        <v>0</v>
      </c>
      <c r="W298" s="154">
        <f t="shared" si="121"/>
        <v>0</v>
      </c>
      <c r="X298" s="94">
        <v>0</v>
      </c>
      <c r="Y298" s="94">
        <f t="shared" si="122"/>
        <v>0</v>
      </c>
      <c r="Z298" s="94">
        <v>0</v>
      </c>
      <c r="AA298" s="131">
        <v>51</v>
      </c>
      <c r="AB298" s="94">
        <f t="shared" si="123"/>
        <v>34</v>
      </c>
      <c r="AC298" s="154">
        <v>15</v>
      </c>
      <c r="AD298" s="94">
        <v>0</v>
      </c>
      <c r="AE298" s="94">
        <f t="shared" si="124"/>
        <v>0</v>
      </c>
      <c r="AF298" s="132">
        <v>0</v>
      </c>
      <c r="AG298" s="7" t="s">
        <v>69</v>
      </c>
      <c r="AH298" s="7" t="s">
        <v>1014</v>
      </c>
      <c r="AN298" s="37"/>
      <c r="AO298" s="37"/>
      <c r="AP298" s="37"/>
      <c r="AQ298" s="37"/>
      <c r="AW298" s="37"/>
      <c r="AX298" s="37"/>
      <c r="AY298" s="37"/>
      <c r="AZ298" s="37"/>
    </row>
    <row r="299" spans="1:52" s="7" customFormat="1">
      <c r="A299" s="7" t="s">
        <v>1045</v>
      </c>
      <c r="B299" s="91" t="s">
        <v>1046</v>
      </c>
      <c r="C299" s="92" t="s">
        <v>162</v>
      </c>
      <c r="D299" s="92" t="s">
        <v>754</v>
      </c>
      <c r="E299" s="7" t="s">
        <v>643</v>
      </c>
      <c r="G299" s="7" t="s">
        <v>755</v>
      </c>
      <c r="H299" s="7" t="s">
        <v>1011</v>
      </c>
      <c r="J299" s="7">
        <v>0</v>
      </c>
      <c r="K299" s="7">
        <v>45</v>
      </c>
      <c r="L299" s="7" t="s">
        <v>64</v>
      </c>
      <c r="M299" s="7" t="s">
        <v>65</v>
      </c>
      <c r="N299" s="7" t="s">
        <v>1012</v>
      </c>
      <c r="P299" s="7">
        <v>0</v>
      </c>
      <c r="Q299" s="7" t="s">
        <v>1030</v>
      </c>
      <c r="R299" s="131">
        <v>0</v>
      </c>
      <c r="S299" s="93">
        <f t="shared" si="120"/>
        <v>0</v>
      </c>
      <c r="T299" s="93">
        <v>100</v>
      </c>
      <c r="U299" s="93">
        <v>0</v>
      </c>
      <c r="V299" s="131">
        <v>0</v>
      </c>
      <c r="W299" s="154">
        <f t="shared" si="121"/>
        <v>0</v>
      </c>
      <c r="X299" s="94">
        <v>0</v>
      </c>
      <c r="Y299" s="94">
        <f t="shared" si="122"/>
        <v>0</v>
      </c>
      <c r="Z299" s="94">
        <v>0</v>
      </c>
      <c r="AA299" s="155">
        <v>45</v>
      </c>
      <c r="AB299" s="94">
        <f t="shared" si="123"/>
        <v>30</v>
      </c>
      <c r="AC299" s="132">
        <v>25</v>
      </c>
      <c r="AD299" s="94">
        <v>0</v>
      </c>
      <c r="AE299" s="94">
        <f t="shared" si="124"/>
        <v>0</v>
      </c>
      <c r="AF299" s="132">
        <v>0</v>
      </c>
      <c r="AG299" s="7" t="s">
        <v>69</v>
      </c>
      <c r="AH299" s="7" t="s">
        <v>1014</v>
      </c>
      <c r="AI299" s="95"/>
      <c r="AJ299" s="95"/>
      <c r="AN299" s="37"/>
      <c r="AO299" s="37"/>
      <c r="AP299" s="37"/>
      <c r="AQ299" s="37"/>
      <c r="AW299" s="37"/>
      <c r="AX299" s="37"/>
      <c r="AY299" s="37"/>
      <c r="AZ299" s="37"/>
    </row>
    <row r="300" spans="1:52" s="7" customFormat="1">
      <c r="A300" s="7" t="s">
        <v>1047</v>
      </c>
      <c r="B300" s="91" t="s">
        <v>1048</v>
      </c>
      <c r="C300" s="92" t="s">
        <v>162</v>
      </c>
      <c r="D300" s="92" t="s">
        <v>754</v>
      </c>
      <c r="E300" s="7" t="s">
        <v>643</v>
      </c>
      <c r="G300" s="7" t="s">
        <v>755</v>
      </c>
      <c r="H300" s="7" t="s">
        <v>1049</v>
      </c>
      <c r="J300" s="7">
        <v>0</v>
      </c>
      <c r="K300" s="7">
        <v>45</v>
      </c>
      <c r="L300" s="7" t="s">
        <v>64</v>
      </c>
      <c r="M300" s="7" t="s">
        <v>65</v>
      </c>
      <c r="N300" s="7" t="s">
        <v>1012</v>
      </c>
      <c r="P300" s="7">
        <v>0</v>
      </c>
      <c r="Q300" s="7" t="s">
        <v>1039</v>
      </c>
      <c r="R300" s="131">
        <v>0</v>
      </c>
      <c r="S300" s="93">
        <f t="shared" si="120"/>
        <v>0</v>
      </c>
      <c r="T300" s="93">
        <v>100</v>
      </c>
      <c r="U300" s="93">
        <v>0</v>
      </c>
      <c r="V300" s="131">
        <v>0</v>
      </c>
      <c r="W300" s="154">
        <f t="shared" si="121"/>
        <v>0</v>
      </c>
      <c r="X300" s="94">
        <v>0</v>
      </c>
      <c r="Y300" s="94">
        <f t="shared" si="122"/>
        <v>0</v>
      </c>
      <c r="Z300" s="94">
        <v>0</v>
      </c>
      <c r="AA300" s="155">
        <v>76.5</v>
      </c>
      <c r="AB300" s="94">
        <f t="shared" si="123"/>
        <v>13.5</v>
      </c>
      <c r="AC300" s="132">
        <v>10</v>
      </c>
      <c r="AD300" s="94">
        <v>0</v>
      </c>
      <c r="AE300" s="94">
        <f t="shared" si="124"/>
        <v>0</v>
      </c>
      <c r="AF300" s="132">
        <v>0</v>
      </c>
      <c r="AG300" s="7" t="s">
        <v>69</v>
      </c>
      <c r="AH300" s="7" t="s">
        <v>1014</v>
      </c>
      <c r="AI300" s="95"/>
      <c r="AJ300" s="95"/>
      <c r="AN300" s="37"/>
      <c r="AO300" s="37"/>
      <c r="AP300" s="37"/>
      <c r="AQ300" s="37"/>
      <c r="AW300" s="37"/>
      <c r="AX300" s="37"/>
      <c r="AY300" s="37"/>
      <c r="AZ300" s="37"/>
    </row>
    <row r="301" spans="1:52" s="7" customFormat="1">
      <c r="A301" s="7" t="s">
        <v>1050</v>
      </c>
      <c r="B301" s="91" t="s">
        <v>1051</v>
      </c>
      <c r="C301" s="92" t="s">
        <v>162</v>
      </c>
      <c r="D301" s="92" t="s">
        <v>754</v>
      </c>
      <c r="E301" s="7" t="s">
        <v>643</v>
      </c>
      <c r="G301" s="7" t="s">
        <v>755</v>
      </c>
      <c r="H301" s="7" t="s">
        <v>1049</v>
      </c>
      <c r="J301" s="7">
        <v>0</v>
      </c>
      <c r="K301" s="7">
        <v>45</v>
      </c>
      <c r="L301" s="7" t="s">
        <v>64</v>
      </c>
      <c r="M301" s="7" t="s">
        <v>65</v>
      </c>
      <c r="N301" s="7" t="s">
        <v>1012</v>
      </c>
      <c r="P301" s="7">
        <v>0</v>
      </c>
      <c r="Q301" s="7" t="s">
        <v>1039</v>
      </c>
      <c r="R301" s="131">
        <v>0</v>
      </c>
      <c r="S301" s="93">
        <f t="shared" si="120"/>
        <v>0</v>
      </c>
      <c r="T301" s="93">
        <v>100</v>
      </c>
      <c r="U301" s="93">
        <v>0</v>
      </c>
      <c r="V301" s="131">
        <v>0</v>
      </c>
      <c r="W301" s="154">
        <f t="shared" si="121"/>
        <v>0</v>
      </c>
      <c r="X301" s="94">
        <v>0</v>
      </c>
      <c r="Y301" s="94">
        <f t="shared" si="122"/>
        <v>0</v>
      </c>
      <c r="Z301" s="94">
        <v>0</v>
      </c>
      <c r="AA301" s="155">
        <v>76.5</v>
      </c>
      <c r="AB301" s="94">
        <f t="shared" si="123"/>
        <v>13.5</v>
      </c>
      <c r="AC301" s="132">
        <v>10</v>
      </c>
      <c r="AD301" s="94">
        <v>0</v>
      </c>
      <c r="AE301" s="94">
        <f t="shared" si="124"/>
        <v>0</v>
      </c>
      <c r="AF301" s="132">
        <v>0</v>
      </c>
      <c r="AG301" s="7" t="s">
        <v>69</v>
      </c>
      <c r="AH301" s="7" t="s">
        <v>1014</v>
      </c>
      <c r="AI301" s="95"/>
      <c r="AJ301" s="95"/>
      <c r="AN301" s="37"/>
      <c r="AO301" s="37"/>
      <c r="AP301" s="37"/>
      <c r="AQ301" s="37"/>
      <c r="AW301" s="37"/>
      <c r="AX301" s="37"/>
      <c r="AY301" s="37"/>
      <c r="AZ301" s="37"/>
    </row>
    <row r="302" spans="1:52" s="7" customFormat="1">
      <c r="A302" s="7" t="s">
        <v>1052</v>
      </c>
      <c r="B302" s="91" t="s">
        <v>1053</v>
      </c>
      <c r="C302" s="92" t="s">
        <v>162</v>
      </c>
      <c r="D302" s="92" t="s">
        <v>754</v>
      </c>
      <c r="E302" s="7" t="s">
        <v>643</v>
      </c>
      <c r="G302" s="7" t="s">
        <v>755</v>
      </c>
      <c r="H302" s="7" t="s">
        <v>1011</v>
      </c>
      <c r="J302" s="7">
        <v>0</v>
      </c>
      <c r="K302" s="7">
        <v>45</v>
      </c>
      <c r="L302" s="7" t="s">
        <v>64</v>
      </c>
      <c r="M302" s="7" t="s">
        <v>65</v>
      </c>
      <c r="N302" s="7" t="s">
        <v>1012</v>
      </c>
      <c r="P302" s="7">
        <v>0</v>
      </c>
      <c r="Q302" s="7" t="s">
        <v>1039</v>
      </c>
      <c r="R302" s="131">
        <v>0</v>
      </c>
      <c r="S302" s="93">
        <f t="shared" si="120"/>
        <v>0</v>
      </c>
      <c r="T302" s="93">
        <v>100</v>
      </c>
      <c r="U302" s="93">
        <v>0</v>
      </c>
      <c r="V302" s="131">
        <v>0</v>
      </c>
      <c r="W302" s="154">
        <f t="shared" si="121"/>
        <v>0</v>
      </c>
      <c r="X302" s="94">
        <v>0</v>
      </c>
      <c r="Y302" s="94">
        <f t="shared" si="122"/>
        <v>0</v>
      </c>
      <c r="Z302" s="94">
        <v>0</v>
      </c>
      <c r="AA302" s="155">
        <v>64</v>
      </c>
      <c r="AB302" s="94">
        <f t="shared" si="123"/>
        <v>21</v>
      </c>
      <c r="AC302" s="132">
        <v>15</v>
      </c>
      <c r="AD302" s="94">
        <v>0</v>
      </c>
      <c r="AE302" s="94">
        <f t="shared" si="124"/>
        <v>0</v>
      </c>
      <c r="AF302" s="132">
        <v>0</v>
      </c>
      <c r="AG302" s="7" t="s">
        <v>69</v>
      </c>
      <c r="AH302" s="7" t="s">
        <v>1014</v>
      </c>
      <c r="AI302" s="95"/>
      <c r="AJ302" s="95"/>
      <c r="AN302" s="37"/>
      <c r="AO302" s="37"/>
      <c r="AP302" s="37"/>
      <c r="AQ302" s="37"/>
      <c r="AW302" s="37"/>
      <c r="AX302" s="37"/>
      <c r="AY302" s="37"/>
      <c r="AZ302" s="37"/>
    </row>
    <row r="303" spans="1:52" s="7" customFormat="1">
      <c r="A303" s="7" t="s">
        <v>1054</v>
      </c>
      <c r="B303" s="91" t="s">
        <v>1055</v>
      </c>
      <c r="C303" s="92" t="s">
        <v>162</v>
      </c>
      <c r="D303" s="92" t="s">
        <v>754</v>
      </c>
      <c r="E303" s="7" t="s">
        <v>643</v>
      </c>
      <c r="G303" s="7" t="s">
        <v>755</v>
      </c>
      <c r="H303" s="7" t="s">
        <v>1011</v>
      </c>
      <c r="J303" s="7">
        <v>0</v>
      </c>
      <c r="K303" s="7">
        <v>45</v>
      </c>
      <c r="L303" s="7" t="s">
        <v>64</v>
      </c>
      <c r="M303" s="7" t="s">
        <v>65</v>
      </c>
      <c r="N303" s="7" t="s">
        <v>1012</v>
      </c>
      <c r="P303" s="7">
        <v>0</v>
      </c>
      <c r="Q303" s="7" t="s">
        <v>1030</v>
      </c>
      <c r="R303" s="131">
        <v>0</v>
      </c>
      <c r="S303" s="93">
        <f t="shared" si="120"/>
        <v>0</v>
      </c>
      <c r="T303" s="93">
        <v>100</v>
      </c>
      <c r="U303" s="93">
        <v>0</v>
      </c>
      <c r="V303" s="131">
        <v>0</v>
      </c>
      <c r="W303" s="154">
        <f t="shared" si="121"/>
        <v>0</v>
      </c>
      <c r="X303" s="94">
        <v>0</v>
      </c>
      <c r="Y303" s="94">
        <f t="shared" si="122"/>
        <v>0</v>
      </c>
      <c r="Z303" s="94">
        <v>0</v>
      </c>
      <c r="AA303" s="155">
        <v>40</v>
      </c>
      <c r="AB303" s="94">
        <f t="shared" si="123"/>
        <v>40</v>
      </c>
      <c r="AC303" s="132">
        <v>20</v>
      </c>
      <c r="AD303" s="94">
        <v>0</v>
      </c>
      <c r="AE303" s="94">
        <f t="shared" si="124"/>
        <v>0</v>
      </c>
      <c r="AF303" s="132">
        <v>0</v>
      </c>
      <c r="AG303" s="7" t="s">
        <v>69</v>
      </c>
      <c r="AH303" s="7" t="s">
        <v>1014</v>
      </c>
      <c r="AI303" s="95"/>
      <c r="AJ303" s="95"/>
      <c r="AN303" s="37"/>
      <c r="AO303" s="37"/>
      <c r="AP303" s="37"/>
      <c r="AQ303" s="37"/>
      <c r="AW303" s="37"/>
      <c r="AX303" s="37"/>
      <c r="AY303" s="37"/>
      <c r="AZ303" s="37"/>
    </row>
    <row r="304" spans="1:52" s="7" customFormat="1">
      <c r="A304" s="7" t="s">
        <v>1056</v>
      </c>
      <c r="B304" s="91" t="s">
        <v>1057</v>
      </c>
      <c r="C304" s="92" t="s">
        <v>162</v>
      </c>
      <c r="D304" s="92" t="s">
        <v>754</v>
      </c>
      <c r="E304" s="7" t="s">
        <v>643</v>
      </c>
      <c r="G304" s="7" t="s">
        <v>755</v>
      </c>
      <c r="H304" s="7" t="s">
        <v>1011</v>
      </c>
      <c r="J304" s="7">
        <v>0</v>
      </c>
      <c r="K304" s="7">
        <v>45</v>
      </c>
      <c r="L304" s="7" t="s">
        <v>64</v>
      </c>
      <c r="M304" s="7" t="s">
        <v>65</v>
      </c>
      <c r="N304" s="7" t="s">
        <v>1012</v>
      </c>
      <c r="P304" s="7">
        <v>0</v>
      </c>
      <c r="Q304" s="7" t="s">
        <v>1039</v>
      </c>
      <c r="R304" s="131">
        <v>0</v>
      </c>
      <c r="S304" s="93">
        <f t="shared" si="120"/>
        <v>0</v>
      </c>
      <c r="T304" s="93">
        <v>100</v>
      </c>
      <c r="U304" s="93">
        <v>0</v>
      </c>
      <c r="V304" s="131">
        <v>0</v>
      </c>
      <c r="W304" s="154">
        <f t="shared" si="121"/>
        <v>0</v>
      </c>
      <c r="X304" s="94">
        <v>0</v>
      </c>
      <c r="Y304" s="94">
        <f t="shared" si="122"/>
        <v>0</v>
      </c>
      <c r="Z304" s="94">
        <v>0</v>
      </c>
      <c r="AA304" s="155">
        <v>0</v>
      </c>
      <c r="AB304" s="94">
        <f t="shared" si="123"/>
        <v>90</v>
      </c>
      <c r="AC304" s="132">
        <v>10</v>
      </c>
      <c r="AD304" s="94">
        <v>0</v>
      </c>
      <c r="AE304" s="94">
        <f t="shared" si="124"/>
        <v>0</v>
      </c>
      <c r="AF304" s="132">
        <v>0</v>
      </c>
      <c r="AG304" s="7" t="s">
        <v>69</v>
      </c>
      <c r="AH304" s="7" t="s">
        <v>1014</v>
      </c>
      <c r="AI304" s="95"/>
      <c r="AJ304" s="95"/>
      <c r="AN304" s="37"/>
      <c r="AO304" s="37"/>
      <c r="AP304" s="37"/>
      <c r="AQ304" s="37"/>
      <c r="AW304" s="37"/>
      <c r="AX304" s="37"/>
      <c r="AY304" s="37"/>
      <c r="AZ304" s="37"/>
    </row>
    <row r="305" spans="1:52" s="7" customFormat="1">
      <c r="A305" s="7" t="s">
        <v>1058</v>
      </c>
      <c r="B305" s="91" t="s">
        <v>1059</v>
      </c>
      <c r="C305" s="92" t="s">
        <v>162</v>
      </c>
      <c r="D305" s="92" t="s">
        <v>754</v>
      </c>
      <c r="E305" s="7" t="s">
        <v>643</v>
      </c>
      <c r="G305" s="7" t="s">
        <v>755</v>
      </c>
      <c r="H305" s="7" t="s">
        <v>1011</v>
      </c>
      <c r="J305" s="7">
        <v>0</v>
      </c>
      <c r="K305" s="7">
        <v>45</v>
      </c>
      <c r="L305" s="7" t="s">
        <v>64</v>
      </c>
      <c r="M305" s="7" t="s">
        <v>65</v>
      </c>
      <c r="N305" s="7" t="s">
        <v>1012</v>
      </c>
      <c r="P305" s="7">
        <v>0</v>
      </c>
      <c r="Q305" s="7" t="s">
        <v>1039</v>
      </c>
      <c r="R305" s="131">
        <v>0</v>
      </c>
      <c r="S305" s="93">
        <f t="shared" si="120"/>
        <v>0</v>
      </c>
      <c r="T305" s="93">
        <v>100</v>
      </c>
      <c r="U305" s="93">
        <v>0</v>
      </c>
      <c r="V305" s="131">
        <v>0</v>
      </c>
      <c r="W305" s="154">
        <f t="shared" si="121"/>
        <v>0</v>
      </c>
      <c r="X305" s="94">
        <v>0</v>
      </c>
      <c r="Y305" s="94">
        <f t="shared" si="122"/>
        <v>0</v>
      </c>
      <c r="Z305" s="94">
        <v>0</v>
      </c>
      <c r="AA305" s="155">
        <v>67.5</v>
      </c>
      <c r="AB305" s="94">
        <f t="shared" si="123"/>
        <v>22.5</v>
      </c>
      <c r="AC305" s="132">
        <v>10</v>
      </c>
      <c r="AD305" s="94">
        <v>0</v>
      </c>
      <c r="AE305" s="94">
        <f t="shared" si="124"/>
        <v>0</v>
      </c>
      <c r="AF305" s="132">
        <v>0</v>
      </c>
      <c r="AG305" s="7" t="s">
        <v>69</v>
      </c>
      <c r="AH305" s="7" t="s">
        <v>1014</v>
      </c>
      <c r="AI305" s="95"/>
      <c r="AJ305" s="95"/>
      <c r="AN305" s="37"/>
      <c r="AO305" s="37"/>
      <c r="AP305" s="37"/>
      <c r="AQ305" s="37"/>
      <c r="AW305" s="37"/>
      <c r="AX305" s="37"/>
      <c r="AY305" s="37"/>
      <c r="AZ305" s="37"/>
    </row>
    <row r="306" spans="1:52" s="7" customFormat="1">
      <c r="A306" s="7" t="s">
        <v>1060</v>
      </c>
      <c r="B306" s="91" t="s">
        <v>1061</v>
      </c>
      <c r="C306" s="92" t="s">
        <v>162</v>
      </c>
      <c r="D306" s="92" t="s">
        <v>754</v>
      </c>
      <c r="E306" s="7" t="s">
        <v>643</v>
      </c>
      <c r="G306" s="7" t="s">
        <v>755</v>
      </c>
      <c r="H306" s="7" t="s">
        <v>1011</v>
      </c>
      <c r="J306" s="7">
        <v>0</v>
      </c>
      <c r="K306" s="7">
        <v>45</v>
      </c>
      <c r="L306" s="7" t="s">
        <v>64</v>
      </c>
      <c r="M306" s="7" t="s">
        <v>65</v>
      </c>
      <c r="N306" s="7" t="s">
        <v>1012</v>
      </c>
      <c r="P306" s="7">
        <v>0</v>
      </c>
      <c r="Q306" s="7" t="s">
        <v>1039</v>
      </c>
      <c r="R306" s="131">
        <v>0</v>
      </c>
      <c r="S306" s="93">
        <f t="shared" si="120"/>
        <v>0</v>
      </c>
      <c r="T306" s="93">
        <v>100</v>
      </c>
      <c r="U306" s="93">
        <v>0</v>
      </c>
      <c r="V306" s="131">
        <v>0</v>
      </c>
      <c r="W306" s="154">
        <f t="shared" si="121"/>
        <v>0</v>
      </c>
      <c r="X306" s="94">
        <v>0</v>
      </c>
      <c r="Y306" s="94">
        <f t="shared" si="122"/>
        <v>0</v>
      </c>
      <c r="Z306" s="94">
        <v>0</v>
      </c>
      <c r="AA306" s="155">
        <v>78</v>
      </c>
      <c r="AB306" s="94">
        <f t="shared" si="123"/>
        <v>7</v>
      </c>
      <c r="AC306" s="132">
        <v>15</v>
      </c>
      <c r="AD306" s="94">
        <v>0</v>
      </c>
      <c r="AE306" s="94">
        <f t="shared" si="124"/>
        <v>0</v>
      </c>
      <c r="AF306" s="132">
        <v>0</v>
      </c>
      <c r="AG306" s="7" t="s">
        <v>69</v>
      </c>
      <c r="AH306" s="7" t="s">
        <v>1014</v>
      </c>
      <c r="AI306" s="95"/>
      <c r="AJ306" s="95"/>
      <c r="AN306" s="37"/>
      <c r="AO306" s="37"/>
      <c r="AP306" s="37"/>
      <c r="AQ306" s="37"/>
      <c r="AW306" s="37"/>
      <c r="AX306" s="37"/>
      <c r="AY306" s="37"/>
      <c r="AZ306" s="37"/>
    </row>
    <row r="307" spans="1:52" s="7" customFormat="1">
      <c r="A307" s="7" t="s">
        <v>1062</v>
      </c>
      <c r="B307" s="91" t="s">
        <v>1063</v>
      </c>
      <c r="C307" s="92" t="s">
        <v>162</v>
      </c>
      <c r="D307" s="92" t="s">
        <v>754</v>
      </c>
      <c r="E307" s="7" t="s">
        <v>643</v>
      </c>
      <c r="G307" s="7" t="s">
        <v>755</v>
      </c>
      <c r="H307" s="7" t="s">
        <v>1011</v>
      </c>
      <c r="J307" s="7">
        <v>0</v>
      </c>
      <c r="K307" s="7">
        <v>45</v>
      </c>
      <c r="L307" s="7" t="s">
        <v>64</v>
      </c>
      <c r="M307" s="7" t="s">
        <v>65</v>
      </c>
      <c r="N307" s="7" t="s">
        <v>1012</v>
      </c>
      <c r="P307" s="7">
        <v>0</v>
      </c>
      <c r="Q307" s="7" t="s">
        <v>1039</v>
      </c>
      <c r="R307" s="131">
        <v>0</v>
      </c>
      <c r="S307" s="93">
        <f t="shared" si="120"/>
        <v>0</v>
      </c>
      <c r="T307" s="93">
        <v>100</v>
      </c>
      <c r="U307" s="93">
        <v>0</v>
      </c>
      <c r="V307" s="131">
        <v>0</v>
      </c>
      <c r="W307" s="154">
        <f t="shared" si="121"/>
        <v>0</v>
      </c>
      <c r="X307" s="94">
        <v>0</v>
      </c>
      <c r="Y307" s="94">
        <f t="shared" si="122"/>
        <v>0</v>
      </c>
      <c r="Z307" s="94">
        <v>0</v>
      </c>
      <c r="AA307" s="155">
        <v>60</v>
      </c>
      <c r="AB307" s="94">
        <f t="shared" si="123"/>
        <v>20</v>
      </c>
      <c r="AC307" s="132">
        <v>20</v>
      </c>
      <c r="AD307" s="94">
        <v>0</v>
      </c>
      <c r="AE307" s="94">
        <f t="shared" si="124"/>
        <v>0</v>
      </c>
      <c r="AF307" s="132">
        <v>0</v>
      </c>
      <c r="AG307" s="7" t="s">
        <v>69</v>
      </c>
      <c r="AH307" s="7" t="s">
        <v>1014</v>
      </c>
      <c r="AI307" s="95"/>
      <c r="AJ307" s="95"/>
      <c r="AN307" s="37"/>
      <c r="AO307" s="37"/>
      <c r="AP307" s="37"/>
      <c r="AQ307" s="37"/>
      <c r="AW307" s="37"/>
      <c r="AX307" s="37"/>
      <c r="AY307" s="37"/>
      <c r="AZ307" s="37"/>
    </row>
    <row r="308" spans="1:52" s="7" customFormat="1">
      <c r="A308" s="7" t="s">
        <v>1064</v>
      </c>
      <c r="B308" s="91" t="s">
        <v>1065</v>
      </c>
      <c r="C308" s="92" t="s">
        <v>162</v>
      </c>
      <c r="D308" s="92" t="s">
        <v>754</v>
      </c>
      <c r="E308" s="7" t="s">
        <v>643</v>
      </c>
      <c r="G308" s="7" t="s">
        <v>755</v>
      </c>
      <c r="H308" s="7" t="s">
        <v>1011</v>
      </c>
      <c r="J308" s="7">
        <v>0</v>
      </c>
      <c r="K308" s="7">
        <v>45</v>
      </c>
      <c r="L308" s="7" t="s">
        <v>64</v>
      </c>
      <c r="M308" s="7" t="s">
        <v>65</v>
      </c>
      <c r="N308" s="7" t="s">
        <v>1012</v>
      </c>
      <c r="P308" s="7">
        <v>0</v>
      </c>
      <c r="Q308" s="7" t="s">
        <v>1039</v>
      </c>
      <c r="R308" s="131">
        <v>0</v>
      </c>
      <c r="S308" s="93">
        <f t="shared" si="120"/>
        <v>0</v>
      </c>
      <c r="T308" s="93">
        <v>100</v>
      </c>
      <c r="U308" s="93">
        <v>0</v>
      </c>
      <c r="V308" s="131">
        <v>0</v>
      </c>
      <c r="W308" s="154">
        <f t="shared" si="121"/>
        <v>0</v>
      </c>
      <c r="X308" s="94">
        <v>0</v>
      </c>
      <c r="Y308" s="94">
        <f t="shared" si="122"/>
        <v>0</v>
      </c>
      <c r="Z308" s="94">
        <v>0</v>
      </c>
      <c r="AA308" s="155">
        <v>60</v>
      </c>
      <c r="AB308" s="94">
        <f t="shared" si="123"/>
        <v>20</v>
      </c>
      <c r="AC308" s="132">
        <v>20</v>
      </c>
      <c r="AD308" s="94">
        <v>0</v>
      </c>
      <c r="AE308" s="94">
        <f t="shared" si="124"/>
        <v>0</v>
      </c>
      <c r="AF308" s="132">
        <v>0</v>
      </c>
      <c r="AG308" s="7" t="s">
        <v>69</v>
      </c>
      <c r="AH308" s="7" t="s">
        <v>1014</v>
      </c>
      <c r="AI308" s="95"/>
      <c r="AJ308" s="95"/>
      <c r="AN308" s="37"/>
      <c r="AO308" s="37"/>
      <c r="AP308" s="37"/>
      <c r="AQ308" s="37"/>
      <c r="AW308" s="37"/>
      <c r="AX308" s="37"/>
      <c r="AY308" s="37"/>
      <c r="AZ308" s="37"/>
    </row>
    <row r="309" spans="1:52" s="7" customFormat="1">
      <c r="A309" s="7" t="s">
        <v>1066</v>
      </c>
      <c r="B309" s="91" t="s">
        <v>1067</v>
      </c>
      <c r="C309" s="92" t="s">
        <v>162</v>
      </c>
      <c r="D309" s="92" t="s">
        <v>754</v>
      </c>
      <c r="E309" s="7" t="s">
        <v>643</v>
      </c>
      <c r="G309" s="7" t="s">
        <v>755</v>
      </c>
      <c r="H309" s="7" t="s">
        <v>1011</v>
      </c>
      <c r="J309" s="7">
        <v>0</v>
      </c>
      <c r="K309" s="7">
        <v>45</v>
      </c>
      <c r="L309" s="7" t="s">
        <v>64</v>
      </c>
      <c r="M309" s="7" t="s">
        <v>65</v>
      </c>
      <c r="N309" s="7" t="s">
        <v>1012</v>
      </c>
      <c r="P309" s="7">
        <v>0</v>
      </c>
      <c r="Q309" s="7" t="s">
        <v>1030</v>
      </c>
      <c r="R309" s="131">
        <v>0</v>
      </c>
      <c r="S309" s="93">
        <f t="shared" si="120"/>
        <v>0</v>
      </c>
      <c r="T309" s="93">
        <v>100</v>
      </c>
      <c r="U309" s="93">
        <v>0</v>
      </c>
      <c r="V309" s="131">
        <v>0</v>
      </c>
      <c r="W309" s="154">
        <f t="shared" si="121"/>
        <v>0</v>
      </c>
      <c r="X309" s="94">
        <v>0</v>
      </c>
      <c r="Y309" s="94">
        <f t="shared" si="122"/>
        <v>0</v>
      </c>
      <c r="Z309" s="94">
        <v>0</v>
      </c>
      <c r="AA309" s="155">
        <v>48</v>
      </c>
      <c r="AB309" s="94">
        <f t="shared" si="123"/>
        <v>32</v>
      </c>
      <c r="AC309" s="132">
        <v>20</v>
      </c>
      <c r="AD309" s="94">
        <v>0</v>
      </c>
      <c r="AE309" s="94">
        <f t="shared" si="124"/>
        <v>0</v>
      </c>
      <c r="AF309" s="132">
        <v>0</v>
      </c>
      <c r="AG309" s="7" t="s">
        <v>69</v>
      </c>
      <c r="AH309" s="7" t="s">
        <v>1014</v>
      </c>
      <c r="AI309" s="95"/>
      <c r="AJ309" s="95"/>
      <c r="AN309" s="37"/>
      <c r="AO309" s="37"/>
      <c r="AP309" s="37"/>
      <c r="AQ309" s="37"/>
      <c r="AW309" s="37"/>
      <c r="AX309" s="37"/>
      <c r="AY309" s="37"/>
      <c r="AZ309" s="37"/>
    </row>
    <row r="310" spans="1:52" s="7" customFormat="1">
      <c r="A310" s="7" t="s">
        <v>1068</v>
      </c>
      <c r="B310" s="91" t="s">
        <v>1069</v>
      </c>
      <c r="C310" s="92" t="s">
        <v>162</v>
      </c>
      <c r="D310" s="92" t="s">
        <v>754</v>
      </c>
      <c r="E310" s="7" t="s">
        <v>643</v>
      </c>
      <c r="G310" s="7" t="s">
        <v>755</v>
      </c>
      <c r="H310" s="7" t="s">
        <v>1011</v>
      </c>
      <c r="J310" s="7">
        <v>0</v>
      </c>
      <c r="K310" s="7">
        <v>45</v>
      </c>
      <c r="L310" s="7" t="s">
        <v>64</v>
      </c>
      <c r="M310" s="7" t="s">
        <v>65</v>
      </c>
      <c r="N310" s="7" t="s">
        <v>1012</v>
      </c>
      <c r="P310" s="7">
        <v>0</v>
      </c>
      <c r="Q310" s="7" t="s">
        <v>1039</v>
      </c>
      <c r="R310" s="131">
        <v>0</v>
      </c>
      <c r="S310" s="93">
        <f t="shared" si="120"/>
        <v>0</v>
      </c>
      <c r="T310" s="93">
        <v>100</v>
      </c>
      <c r="U310" s="93">
        <v>0</v>
      </c>
      <c r="V310" s="131">
        <v>0</v>
      </c>
      <c r="W310" s="154">
        <f t="shared" si="121"/>
        <v>0</v>
      </c>
      <c r="X310" s="94">
        <v>0</v>
      </c>
      <c r="Y310" s="94">
        <f t="shared" si="122"/>
        <v>0</v>
      </c>
      <c r="Z310" s="94">
        <v>0</v>
      </c>
      <c r="AA310" s="155">
        <v>45</v>
      </c>
      <c r="AB310" s="94">
        <f t="shared" si="123"/>
        <v>30</v>
      </c>
      <c r="AC310" s="132">
        <v>25</v>
      </c>
      <c r="AD310" s="94">
        <v>0</v>
      </c>
      <c r="AE310" s="94">
        <f t="shared" si="124"/>
        <v>0</v>
      </c>
      <c r="AF310" s="132">
        <v>0</v>
      </c>
      <c r="AG310" s="7" t="s">
        <v>69</v>
      </c>
      <c r="AH310" s="7" t="s">
        <v>1014</v>
      </c>
      <c r="AI310" s="95"/>
      <c r="AJ310" s="95"/>
      <c r="AN310" s="37"/>
      <c r="AO310" s="37"/>
      <c r="AP310" s="37"/>
      <c r="AQ310" s="37"/>
      <c r="AW310" s="37"/>
      <c r="AX310" s="37"/>
      <c r="AY310" s="37"/>
      <c r="AZ310" s="37"/>
    </row>
    <row r="311" spans="1:52" s="7" customFormat="1">
      <c r="A311" s="7" t="s">
        <v>1070</v>
      </c>
      <c r="B311" s="91" t="s">
        <v>1071</v>
      </c>
      <c r="C311" s="92" t="s">
        <v>162</v>
      </c>
      <c r="D311" s="92" t="s">
        <v>754</v>
      </c>
      <c r="E311" s="7" t="s">
        <v>643</v>
      </c>
      <c r="G311" s="7" t="s">
        <v>755</v>
      </c>
      <c r="H311" s="7" t="s">
        <v>1011</v>
      </c>
      <c r="J311" s="7">
        <v>0</v>
      </c>
      <c r="K311" s="7">
        <v>45</v>
      </c>
      <c r="L311" s="7" t="s">
        <v>64</v>
      </c>
      <c r="M311" s="7" t="s">
        <v>65</v>
      </c>
      <c r="N311" s="7" t="s">
        <v>1012</v>
      </c>
      <c r="P311" s="7">
        <v>0</v>
      </c>
      <c r="Q311" s="7" t="s">
        <v>1039</v>
      </c>
      <c r="R311" s="131">
        <v>0</v>
      </c>
      <c r="S311" s="93">
        <f t="shared" si="120"/>
        <v>0</v>
      </c>
      <c r="T311" s="93">
        <v>100</v>
      </c>
      <c r="U311" s="93">
        <v>0</v>
      </c>
      <c r="V311" s="131">
        <v>0</v>
      </c>
      <c r="W311" s="154">
        <f t="shared" si="121"/>
        <v>0</v>
      </c>
      <c r="X311" s="94">
        <v>0</v>
      </c>
      <c r="Y311" s="94">
        <f t="shared" si="122"/>
        <v>0</v>
      </c>
      <c r="Z311" s="94">
        <v>0</v>
      </c>
      <c r="AA311" s="155">
        <v>0</v>
      </c>
      <c r="AB311" s="94">
        <f t="shared" si="123"/>
        <v>70</v>
      </c>
      <c r="AC311" s="132">
        <v>30</v>
      </c>
      <c r="AD311" s="94">
        <v>0</v>
      </c>
      <c r="AE311" s="94">
        <f t="shared" si="124"/>
        <v>0</v>
      </c>
      <c r="AF311" s="132">
        <v>0</v>
      </c>
      <c r="AG311" s="7" t="s">
        <v>69</v>
      </c>
      <c r="AH311" s="7" t="s">
        <v>1014</v>
      </c>
      <c r="AI311" s="95"/>
      <c r="AJ311" s="95"/>
      <c r="AN311" s="37"/>
      <c r="AO311" s="37"/>
      <c r="AP311" s="37"/>
      <c r="AQ311" s="37"/>
      <c r="AW311" s="37"/>
      <c r="AX311" s="37"/>
      <c r="AY311" s="37"/>
      <c r="AZ311" s="37"/>
    </row>
    <row r="312" spans="1:52" s="7" customFormat="1">
      <c r="A312" s="7" t="s">
        <v>1072</v>
      </c>
      <c r="B312" s="91" t="s">
        <v>1073</v>
      </c>
      <c r="C312" s="92" t="s">
        <v>162</v>
      </c>
      <c r="D312" s="92" t="s">
        <v>754</v>
      </c>
      <c r="E312" s="7" t="s">
        <v>643</v>
      </c>
      <c r="G312" s="7" t="s">
        <v>755</v>
      </c>
      <c r="H312" s="7" t="s">
        <v>1011</v>
      </c>
      <c r="J312" s="7">
        <v>0</v>
      </c>
      <c r="K312" s="7">
        <v>45</v>
      </c>
      <c r="L312" s="7" t="s">
        <v>64</v>
      </c>
      <c r="M312" s="7" t="s">
        <v>65</v>
      </c>
      <c r="N312" s="7" t="s">
        <v>1012</v>
      </c>
      <c r="P312" s="7">
        <v>0</v>
      </c>
      <c r="Q312" s="7" t="s">
        <v>1039</v>
      </c>
      <c r="R312" s="131">
        <v>0</v>
      </c>
      <c r="S312" s="93">
        <f t="shared" si="120"/>
        <v>0</v>
      </c>
      <c r="T312" s="93">
        <v>100</v>
      </c>
      <c r="U312" s="93">
        <v>0</v>
      </c>
      <c r="V312" s="131">
        <v>0</v>
      </c>
      <c r="W312" s="154">
        <f t="shared" si="121"/>
        <v>0</v>
      </c>
      <c r="X312" s="94">
        <v>0</v>
      </c>
      <c r="Y312" s="94">
        <f t="shared" si="122"/>
        <v>0</v>
      </c>
      <c r="Z312" s="94">
        <v>0</v>
      </c>
      <c r="AA312" s="155">
        <v>52.5</v>
      </c>
      <c r="AB312" s="94">
        <f t="shared" si="123"/>
        <v>17.5</v>
      </c>
      <c r="AC312" s="132">
        <v>30</v>
      </c>
      <c r="AD312" s="94">
        <v>0</v>
      </c>
      <c r="AE312" s="94">
        <f t="shared" si="124"/>
        <v>0</v>
      </c>
      <c r="AF312" s="132">
        <v>0</v>
      </c>
      <c r="AG312" s="7" t="s">
        <v>69</v>
      </c>
      <c r="AH312" s="7" t="s">
        <v>1014</v>
      </c>
      <c r="AI312" s="95"/>
      <c r="AJ312" s="95"/>
      <c r="AN312" s="37"/>
      <c r="AO312" s="37"/>
      <c r="AP312" s="37"/>
      <c r="AQ312" s="37"/>
      <c r="AW312" s="37"/>
      <c r="AX312" s="37"/>
      <c r="AY312" s="37"/>
      <c r="AZ312" s="37"/>
    </row>
    <row r="313" spans="1:52" s="7" customFormat="1">
      <c r="A313" s="7" t="s">
        <v>1074</v>
      </c>
      <c r="B313" s="91" t="s">
        <v>1075</v>
      </c>
      <c r="C313" s="92" t="s">
        <v>162</v>
      </c>
      <c r="D313" s="92" t="s">
        <v>754</v>
      </c>
      <c r="E313" s="7" t="s">
        <v>643</v>
      </c>
      <c r="G313" s="7" t="s">
        <v>755</v>
      </c>
      <c r="H313" s="7" t="s">
        <v>1011</v>
      </c>
      <c r="J313" s="7">
        <v>0</v>
      </c>
      <c r="K313" s="7">
        <v>45</v>
      </c>
      <c r="L313" s="7" t="s">
        <v>64</v>
      </c>
      <c r="M313" s="7" t="s">
        <v>65</v>
      </c>
      <c r="N313" s="7" t="s">
        <v>1012</v>
      </c>
      <c r="P313" s="7">
        <v>0</v>
      </c>
      <c r="Q313" s="7" t="s">
        <v>1030</v>
      </c>
      <c r="R313" s="131">
        <v>0</v>
      </c>
      <c r="S313" s="93">
        <f t="shared" si="120"/>
        <v>0</v>
      </c>
      <c r="T313" s="93">
        <v>100</v>
      </c>
      <c r="U313" s="93">
        <v>0</v>
      </c>
      <c r="V313" s="131">
        <v>0</v>
      </c>
      <c r="W313" s="154">
        <f t="shared" si="121"/>
        <v>0</v>
      </c>
      <c r="X313" s="94">
        <v>0</v>
      </c>
      <c r="Y313" s="94">
        <f t="shared" si="122"/>
        <v>0</v>
      </c>
      <c r="Z313" s="94">
        <v>0</v>
      </c>
      <c r="AA313" s="155">
        <v>21</v>
      </c>
      <c r="AB313" s="94">
        <f t="shared" si="123"/>
        <v>49</v>
      </c>
      <c r="AC313" s="132">
        <v>30</v>
      </c>
      <c r="AD313" s="94">
        <v>0</v>
      </c>
      <c r="AE313" s="94">
        <f t="shared" si="124"/>
        <v>0</v>
      </c>
      <c r="AF313" s="132">
        <v>0</v>
      </c>
      <c r="AG313" s="7" t="s">
        <v>69</v>
      </c>
      <c r="AH313" s="7" t="s">
        <v>1014</v>
      </c>
      <c r="AI313" s="95"/>
      <c r="AJ313" s="95"/>
      <c r="AN313" s="37"/>
      <c r="AO313" s="37"/>
      <c r="AP313" s="37"/>
      <c r="AQ313" s="37"/>
      <c r="AW313" s="37"/>
      <c r="AX313" s="37"/>
      <c r="AY313" s="37"/>
      <c r="AZ313" s="37"/>
    </row>
    <row r="314" spans="1:52" s="7" customFormat="1">
      <c r="A314" s="7" t="s">
        <v>1076</v>
      </c>
      <c r="B314" s="91" t="s">
        <v>1077</v>
      </c>
      <c r="C314" s="92" t="s">
        <v>162</v>
      </c>
      <c r="D314" s="92" t="s">
        <v>754</v>
      </c>
      <c r="E314" s="7" t="s">
        <v>643</v>
      </c>
      <c r="G314" s="7" t="s">
        <v>755</v>
      </c>
      <c r="H314" s="7" t="s">
        <v>1011</v>
      </c>
      <c r="J314" s="7">
        <v>0</v>
      </c>
      <c r="K314" s="7">
        <v>45</v>
      </c>
      <c r="L314" s="7" t="s">
        <v>64</v>
      </c>
      <c r="M314" s="7" t="s">
        <v>65</v>
      </c>
      <c r="N314" s="7" t="s">
        <v>1012</v>
      </c>
      <c r="P314" s="7">
        <v>0</v>
      </c>
      <c r="Q314" s="7" t="s">
        <v>1030</v>
      </c>
      <c r="R314" s="131">
        <v>0</v>
      </c>
      <c r="S314" s="93">
        <f t="shared" si="120"/>
        <v>0</v>
      </c>
      <c r="T314" s="93">
        <v>100</v>
      </c>
      <c r="U314" s="93">
        <v>0</v>
      </c>
      <c r="V314" s="131">
        <v>0</v>
      </c>
      <c r="W314" s="154">
        <f t="shared" si="121"/>
        <v>0</v>
      </c>
      <c r="X314" s="94">
        <v>0</v>
      </c>
      <c r="Y314" s="94">
        <f t="shared" si="122"/>
        <v>0</v>
      </c>
      <c r="Z314" s="94">
        <v>0</v>
      </c>
      <c r="AA314" s="155">
        <v>42</v>
      </c>
      <c r="AB314" s="94">
        <f t="shared" si="123"/>
        <v>28</v>
      </c>
      <c r="AC314" s="132">
        <v>30</v>
      </c>
      <c r="AD314" s="94">
        <v>0</v>
      </c>
      <c r="AE314" s="94">
        <f t="shared" si="124"/>
        <v>0</v>
      </c>
      <c r="AF314" s="132">
        <v>0</v>
      </c>
      <c r="AG314" s="7" t="s">
        <v>69</v>
      </c>
      <c r="AH314" s="7" t="s">
        <v>1014</v>
      </c>
      <c r="AI314" s="95"/>
      <c r="AJ314" s="95"/>
      <c r="AN314" s="37"/>
      <c r="AO314" s="37"/>
      <c r="AP314" s="37"/>
      <c r="AQ314" s="37"/>
      <c r="AW314" s="37"/>
      <c r="AX314" s="37"/>
      <c r="AY314" s="37"/>
      <c r="AZ314" s="37"/>
    </row>
    <row r="315" spans="1:52" s="7" customFormat="1">
      <c r="A315" s="7" t="s">
        <v>1078</v>
      </c>
      <c r="B315" s="91" t="s">
        <v>1079</v>
      </c>
      <c r="C315" s="92" t="s">
        <v>162</v>
      </c>
      <c r="D315" s="92" t="s">
        <v>754</v>
      </c>
      <c r="E315" s="7" t="s">
        <v>643</v>
      </c>
      <c r="G315" s="7" t="s">
        <v>755</v>
      </c>
      <c r="H315" s="7" t="s">
        <v>1011</v>
      </c>
      <c r="J315" s="7">
        <v>0</v>
      </c>
      <c r="K315" s="7">
        <v>45</v>
      </c>
      <c r="L315" s="7" t="s">
        <v>64</v>
      </c>
      <c r="M315" s="7" t="s">
        <v>65</v>
      </c>
      <c r="N315" s="7" t="s">
        <v>1012</v>
      </c>
      <c r="P315" s="7">
        <v>0</v>
      </c>
      <c r="Q315" s="7" t="s">
        <v>1030</v>
      </c>
      <c r="R315" s="131">
        <v>0</v>
      </c>
      <c r="S315" s="93">
        <f t="shared" si="120"/>
        <v>0</v>
      </c>
      <c r="T315" s="93">
        <v>100</v>
      </c>
      <c r="U315" s="93">
        <v>0</v>
      </c>
      <c r="V315" s="131">
        <v>0</v>
      </c>
      <c r="W315" s="154">
        <f t="shared" si="121"/>
        <v>0</v>
      </c>
      <c r="X315" s="94">
        <v>0</v>
      </c>
      <c r="Y315" s="94">
        <f t="shared" si="122"/>
        <v>0</v>
      </c>
      <c r="Z315" s="94">
        <v>0</v>
      </c>
      <c r="AA315" s="155">
        <v>46</v>
      </c>
      <c r="AB315" s="94">
        <f t="shared" si="123"/>
        <v>19</v>
      </c>
      <c r="AC315" s="132">
        <v>35</v>
      </c>
      <c r="AD315" s="94">
        <v>0</v>
      </c>
      <c r="AE315" s="94">
        <f t="shared" si="124"/>
        <v>0</v>
      </c>
      <c r="AF315" s="132">
        <v>0</v>
      </c>
      <c r="AG315" s="7" t="s">
        <v>69</v>
      </c>
      <c r="AH315" s="7" t="s">
        <v>1014</v>
      </c>
      <c r="AI315" s="95"/>
      <c r="AJ315" s="95"/>
      <c r="AN315" s="37"/>
      <c r="AO315" s="37"/>
      <c r="AP315" s="37"/>
      <c r="AQ315" s="37"/>
      <c r="AW315" s="37"/>
      <c r="AX315" s="37"/>
      <c r="AY315" s="37"/>
      <c r="AZ315" s="37"/>
    </row>
    <row r="316" spans="1:52" s="7" customFormat="1">
      <c r="A316" s="7" t="s">
        <v>1080</v>
      </c>
      <c r="B316" s="91" t="s">
        <v>1081</v>
      </c>
      <c r="C316" s="92" t="s">
        <v>162</v>
      </c>
      <c r="D316" s="92" t="s">
        <v>754</v>
      </c>
      <c r="E316" s="7" t="s">
        <v>643</v>
      </c>
      <c r="G316" s="7" t="s">
        <v>755</v>
      </c>
      <c r="H316" s="7" t="s">
        <v>1011</v>
      </c>
      <c r="J316" s="7">
        <v>0</v>
      </c>
      <c r="K316" s="7">
        <v>45</v>
      </c>
      <c r="L316" s="7" t="s">
        <v>64</v>
      </c>
      <c r="M316" s="7" t="s">
        <v>65</v>
      </c>
      <c r="N316" s="7" t="s">
        <v>1012</v>
      </c>
      <c r="P316" s="7">
        <v>0</v>
      </c>
      <c r="Q316" s="7" t="s">
        <v>1030</v>
      </c>
      <c r="R316" s="131">
        <v>0</v>
      </c>
      <c r="S316" s="93">
        <f t="shared" si="120"/>
        <v>0</v>
      </c>
      <c r="T316" s="93">
        <v>100</v>
      </c>
      <c r="U316" s="93">
        <v>0</v>
      </c>
      <c r="V316" s="131">
        <v>0</v>
      </c>
      <c r="W316" s="154">
        <f t="shared" si="121"/>
        <v>0</v>
      </c>
      <c r="X316" s="94">
        <v>0</v>
      </c>
      <c r="Y316" s="94">
        <f t="shared" si="122"/>
        <v>0</v>
      </c>
      <c r="Z316" s="94">
        <v>0</v>
      </c>
      <c r="AA316" s="155">
        <v>45</v>
      </c>
      <c r="AB316" s="94">
        <f t="shared" si="123"/>
        <v>15</v>
      </c>
      <c r="AC316" s="132">
        <v>40</v>
      </c>
      <c r="AD316" s="94">
        <v>0</v>
      </c>
      <c r="AE316" s="94">
        <f t="shared" si="124"/>
        <v>0</v>
      </c>
      <c r="AF316" s="132">
        <v>0</v>
      </c>
      <c r="AG316" s="7" t="s">
        <v>69</v>
      </c>
      <c r="AH316" s="7" t="s">
        <v>1014</v>
      </c>
      <c r="AI316" s="95"/>
      <c r="AJ316" s="95"/>
      <c r="AN316" s="37"/>
      <c r="AO316" s="37"/>
      <c r="AP316" s="37"/>
      <c r="AQ316" s="37"/>
      <c r="AW316" s="37"/>
      <c r="AX316" s="37"/>
      <c r="AY316" s="37"/>
      <c r="AZ316" s="37"/>
    </row>
    <row r="317" spans="1:52" s="7" customFormat="1">
      <c r="A317" s="7" t="s">
        <v>1082</v>
      </c>
      <c r="B317" s="91" t="s">
        <v>1083</v>
      </c>
      <c r="C317" s="92" t="s">
        <v>162</v>
      </c>
      <c r="D317" s="92" t="s">
        <v>754</v>
      </c>
      <c r="E317" s="7" t="s">
        <v>643</v>
      </c>
      <c r="G317" s="7" t="s">
        <v>755</v>
      </c>
      <c r="H317" s="7" t="s">
        <v>1011</v>
      </c>
      <c r="J317" s="7">
        <v>0</v>
      </c>
      <c r="K317" s="7">
        <v>45</v>
      </c>
      <c r="L317" s="7" t="s">
        <v>64</v>
      </c>
      <c r="M317" s="7" t="s">
        <v>65</v>
      </c>
      <c r="N317" s="7" t="s">
        <v>1012</v>
      </c>
      <c r="P317" s="7">
        <v>0</v>
      </c>
      <c r="Q317" s="7" t="s">
        <v>1030</v>
      </c>
      <c r="R317" s="131">
        <v>0</v>
      </c>
      <c r="S317" s="93">
        <f t="shared" si="120"/>
        <v>0</v>
      </c>
      <c r="T317" s="93">
        <v>100</v>
      </c>
      <c r="U317" s="93">
        <v>0</v>
      </c>
      <c r="V317" s="131">
        <v>0</v>
      </c>
      <c r="W317" s="154">
        <f t="shared" si="121"/>
        <v>0</v>
      </c>
      <c r="X317" s="94">
        <v>0</v>
      </c>
      <c r="Y317" s="94">
        <f t="shared" si="122"/>
        <v>0</v>
      </c>
      <c r="Z317" s="94">
        <v>0</v>
      </c>
      <c r="AA317" s="155">
        <v>36</v>
      </c>
      <c r="AB317" s="94">
        <f t="shared" si="123"/>
        <v>24</v>
      </c>
      <c r="AC317" s="132">
        <v>40</v>
      </c>
      <c r="AD317" s="94">
        <v>0</v>
      </c>
      <c r="AE317" s="94">
        <f t="shared" si="124"/>
        <v>0</v>
      </c>
      <c r="AF317" s="132">
        <v>0</v>
      </c>
      <c r="AG317" s="7" t="s">
        <v>69</v>
      </c>
      <c r="AH317" s="7" t="s">
        <v>1014</v>
      </c>
      <c r="AI317" s="95"/>
      <c r="AJ317" s="95"/>
      <c r="AN317" s="37"/>
      <c r="AO317" s="37"/>
      <c r="AP317" s="37"/>
      <c r="AQ317" s="37"/>
      <c r="AW317" s="37"/>
      <c r="AX317" s="37"/>
      <c r="AY317" s="37"/>
      <c r="AZ317" s="37"/>
    </row>
    <row r="318" spans="1:52" s="7" customFormat="1">
      <c r="A318" s="7" t="s">
        <v>1084</v>
      </c>
      <c r="B318" s="91" t="s">
        <v>1085</v>
      </c>
      <c r="C318" s="92" t="s">
        <v>162</v>
      </c>
      <c r="D318" s="92" t="s">
        <v>754</v>
      </c>
      <c r="E318" s="7" t="s">
        <v>643</v>
      </c>
      <c r="G318" s="7" t="s">
        <v>755</v>
      </c>
      <c r="H318" s="7" t="s">
        <v>1011</v>
      </c>
      <c r="J318" s="7">
        <v>0</v>
      </c>
      <c r="K318" s="7">
        <v>45</v>
      </c>
      <c r="L318" s="7" t="s">
        <v>64</v>
      </c>
      <c r="M318" s="7" t="s">
        <v>65</v>
      </c>
      <c r="N318" s="7" t="s">
        <v>1012</v>
      </c>
      <c r="P318" s="7">
        <v>0</v>
      </c>
      <c r="Q318" s="7" t="s">
        <v>1039</v>
      </c>
      <c r="R318" s="131">
        <v>0</v>
      </c>
      <c r="S318" s="93">
        <f t="shared" si="120"/>
        <v>0</v>
      </c>
      <c r="T318" s="93">
        <v>100</v>
      </c>
      <c r="U318" s="93">
        <v>0</v>
      </c>
      <c r="V318" s="131">
        <v>0</v>
      </c>
      <c r="W318" s="154">
        <f t="shared" si="121"/>
        <v>0</v>
      </c>
      <c r="X318" s="94">
        <v>0</v>
      </c>
      <c r="Y318" s="94">
        <f t="shared" si="122"/>
        <v>0</v>
      </c>
      <c r="Z318" s="94">
        <v>0</v>
      </c>
      <c r="AA318" s="155">
        <v>0</v>
      </c>
      <c r="AB318" s="94">
        <f t="shared" si="123"/>
        <v>70</v>
      </c>
      <c r="AC318" s="132">
        <v>30</v>
      </c>
      <c r="AD318" s="94">
        <v>0</v>
      </c>
      <c r="AE318" s="94">
        <f t="shared" si="124"/>
        <v>0</v>
      </c>
      <c r="AF318" s="132">
        <v>0</v>
      </c>
      <c r="AG318" s="7" t="s">
        <v>69</v>
      </c>
      <c r="AH318" s="7" t="s">
        <v>1014</v>
      </c>
      <c r="AI318" s="95"/>
      <c r="AJ318" s="95"/>
      <c r="AN318" s="37"/>
      <c r="AO318" s="37"/>
      <c r="AP318" s="37"/>
      <c r="AQ318" s="37"/>
      <c r="AW318" s="37"/>
      <c r="AX318" s="37"/>
      <c r="AY318" s="37"/>
      <c r="AZ318" s="37"/>
    </row>
    <row r="319" spans="1:52" s="7" customFormat="1">
      <c r="A319" s="7" t="s">
        <v>1086</v>
      </c>
      <c r="B319" s="91" t="s">
        <v>1087</v>
      </c>
      <c r="C319" s="92" t="s">
        <v>162</v>
      </c>
      <c r="D319" s="92" t="s">
        <v>754</v>
      </c>
      <c r="E319" s="7" t="s">
        <v>643</v>
      </c>
      <c r="G319" s="7" t="s">
        <v>755</v>
      </c>
      <c r="H319" s="7" t="s">
        <v>1011</v>
      </c>
      <c r="J319" s="7">
        <v>0</v>
      </c>
      <c r="K319" s="7">
        <v>45</v>
      </c>
      <c r="L319" s="7" t="s">
        <v>64</v>
      </c>
      <c r="M319" s="7" t="s">
        <v>65</v>
      </c>
      <c r="N319" s="7" t="s">
        <v>1012</v>
      </c>
      <c r="P319" s="7">
        <v>0</v>
      </c>
      <c r="Q319" s="7" t="s">
        <v>1030</v>
      </c>
      <c r="R319" s="131">
        <v>0</v>
      </c>
      <c r="S319" s="93">
        <f t="shared" si="120"/>
        <v>0</v>
      </c>
      <c r="T319" s="93">
        <v>100</v>
      </c>
      <c r="U319" s="93">
        <v>0</v>
      </c>
      <c r="V319" s="131">
        <v>0</v>
      </c>
      <c r="W319" s="154">
        <f t="shared" si="121"/>
        <v>0</v>
      </c>
      <c r="X319" s="94">
        <v>0</v>
      </c>
      <c r="Y319" s="94">
        <f t="shared" si="122"/>
        <v>0</v>
      </c>
      <c r="Z319" s="94">
        <v>0</v>
      </c>
      <c r="AA319" s="155">
        <v>35</v>
      </c>
      <c r="AB319" s="94">
        <f t="shared" si="123"/>
        <v>35</v>
      </c>
      <c r="AC319" s="132">
        <v>30</v>
      </c>
      <c r="AD319" s="94">
        <v>0</v>
      </c>
      <c r="AE319" s="94">
        <f t="shared" si="124"/>
        <v>0</v>
      </c>
      <c r="AF319" s="132">
        <v>0</v>
      </c>
      <c r="AG319" s="7" t="s">
        <v>69</v>
      </c>
      <c r="AH319" s="7" t="s">
        <v>1014</v>
      </c>
      <c r="AI319" s="95"/>
      <c r="AJ319" s="95"/>
      <c r="AN319" s="37"/>
      <c r="AO319" s="37"/>
      <c r="AP319" s="37"/>
      <c r="AQ319" s="37"/>
      <c r="AW319" s="37"/>
      <c r="AX319" s="37"/>
      <c r="AY319" s="37"/>
      <c r="AZ319" s="37"/>
    </row>
    <row r="320" spans="1:52" s="7" customFormat="1">
      <c r="A320" s="7" t="s">
        <v>1088</v>
      </c>
      <c r="B320" s="91" t="s">
        <v>1089</v>
      </c>
      <c r="C320" s="92" t="s">
        <v>162</v>
      </c>
      <c r="D320" s="92" t="s">
        <v>754</v>
      </c>
      <c r="E320" s="7" t="s">
        <v>643</v>
      </c>
      <c r="G320" s="7" t="s">
        <v>755</v>
      </c>
      <c r="H320" s="7" t="s">
        <v>1011</v>
      </c>
      <c r="J320" s="7">
        <v>0</v>
      </c>
      <c r="K320" s="7">
        <v>45</v>
      </c>
      <c r="L320" s="7" t="s">
        <v>64</v>
      </c>
      <c r="M320" s="7" t="s">
        <v>65</v>
      </c>
      <c r="N320" s="7" t="s">
        <v>1012</v>
      </c>
      <c r="P320" s="7">
        <v>0</v>
      </c>
      <c r="Q320" s="7" t="s">
        <v>1030</v>
      </c>
      <c r="R320" s="131">
        <v>0</v>
      </c>
      <c r="S320" s="93">
        <f t="shared" si="120"/>
        <v>0</v>
      </c>
      <c r="T320" s="93">
        <v>100</v>
      </c>
      <c r="U320" s="93">
        <v>0</v>
      </c>
      <c r="V320" s="131">
        <v>0</v>
      </c>
      <c r="W320" s="154">
        <f t="shared" si="121"/>
        <v>0</v>
      </c>
      <c r="X320" s="94">
        <v>0</v>
      </c>
      <c r="Y320" s="94">
        <f t="shared" si="122"/>
        <v>0</v>
      </c>
      <c r="Z320" s="94">
        <v>0</v>
      </c>
      <c r="AA320" s="155">
        <v>49</v>
      </c>
      <c r="AB320" s="94">
        <f t="shared" si="123"/>
        <v>21</v>
      </c>
      <c r="AC320" s="132">
        <v>30</v>
      </c>
      <c r="AD320" s="94">
        <v>0</v>
      </c>
      <c r="AE320" s="94">
        <f t="shared" si="124"/>
        <v>0</v>
      </c>
      <c r="AF320" s="132">
        <v>0</v>
      </c>
      <c r="AG320" s="7" t="s">
        <v>69</v>
      </c>
      <c r="AH320" s="7" t="s">
        <v>1014</v>
      </c>
      <c r="AI320" s="95"/>
      <c r="AJ320" s="95"/>
      <c r="AN320" s="37"/>
      <c r="AO320" s="37"/>
      <c r="AP320" s="37"/>
      <c r="AQ320" s="37"/>
      <c r="AW320" s="37"/>
      <c r="AX320" s="37"/>
      <c r="AY320" s="37"/>
      <c r="AZ320" s="37"/>
    </row>
    <row r="321" spans="1:52" s="7" customFormat="1">
      <c r="A321" s="7" t="s">
        <v>1090</v>
      </c>
      <c r="B321" s="91" t="s">
        <v>1091</v>
      </c>
      <c r="C321" s="92" t="s">
        <v>162</v>
      </c>
      <c r="D321" s="92" t="s">
        <v>754</v>
      </c>
      <c r="E321" s="7" t="s">
        <v>643</v>
      </c>
      <c r="G321" s="7" t="s">
        <v>755</v>
      </c>
      <c r="H321" s="7" t="s">
        <v>1011</v>
      </c>
      <c r="J321" s="7">
        <v>0</v>
      </c>
      <c r="K321" s="7">
        <v>45</v>
      </c>
      <c r="L321" s="7" t="s">
        <v>64</v>
      </c>
      <c r="M321" s="7" t="s">
        <v>65</v>
      </c>
      <c r="N321" s="7" t="s">
        <v>1012</v>
      </c>
      <c r="P321" s="7">
        <v>0</v>
      </c>
      <c r="Q321" s="7" t="s">
        <v>1030</v>
      </c>
      <c r="R321" s="131">
        <v>0</v>
      </c>
      <c r="S321" s="93">
        <f t="shared" si="120"/>
        <v>0</v>
      </c>
      <c r="T321" s="93">
        <v>100</v>
      </c>
      <c r="U321" s="93">
        <v>0</v>
      </c>
      <c r="V321" s="131">
        <v>0</v>
      </c>
      <c r="W321" s="154">
        <f t="shared" si="121"/>
        <v>0</v>
      </c>
      <c r="X321" s="94">
        <v>0</v>
      </c>
      <c r="Y321" s="94">
        <f t="shared" si="122"/>
        <v>0</v>
      </c>
      <c r="Z321" s="94">
        <v>0</v>
      </c>
      <c r="AA321" s="155">
        <v>12</v>
      </c>
      <c r="AB321" s="94">
        <f t="shared" si="123"/>
        <v>48</v>
      </c>
      <c r="AC321" s="132">
        <v>40</v>
      </c>
      <c r="AD321" s="94">
        <v>0</v>
      </c>
      <c r="AE321" s="94">
        <f t="shared" si="124"/>
        <v>0</v>
      </c>
      <c r="AF321" s="132">
        <v>0</v>
      </c>
      <c r="AG321" s="7" t="s">
        <v>69</v>
      </c>
      <c r="AH321" s="7" t="s">
        <v>1014</v>
      </c>
      <c r="AI321" s="95"/>
      <c r="AJ321" s="95"/>
      <c r="AN321" s="37"/>
      <c r="AO321" s="37"/>
      <c r="AP321" s="37"/>
      <c r="AQ321" s="37"/>
      <c r="AW321" s="37"/>
      <c r="AX321" s="37"/>
      <c r="AY321" s="37"/>
      <c r="AZ321" s="37"/>
    </row>
    <row r="322" spans="1:52" s="7" customFormat="1">
      <c r="A322" s="7" t="s">
        <v>1092</v>
      </c>
      <c r="B322" s="91" t="s">
        <v>1093</v>
      </c>
      <c r="C322" s="92" t="s">
        <v>162</v>
      </c>
      <c r="D322" s="92" t="s">
        <v>754</v>
      </c>
      <c r="E322" s="7" t="s">
        <v>643</v>
      </c>
      <c r="G322" s="7" t="s">
        <v>755</v>
      </c>
      <c r="H322" s="7" t="s">
        <v>1011</v>
      </c>
      <c r="J322" s="7">
        <v>0</v>
      </c>
      <c r="K322" s="7">
        <v>45</v>
      </c>
      <c r="L322" s="7" t="s">
        <v>64</v>
      </c>
      <c r="M322" s="7" t="s">
        <v>65</v>
      </c>
      <c r="N322" s="7" t="s">
        <v>1012</v>
      </c>
      <c r="P322" s="7">
        <v>0</v>
      </c>
      <c r="Q322" s="7" t="s">
        <v>1030</v>
      </c>
      <c r="R322" s="131">
        <v>0</v>
      </c>
      <c r="S322" s="93">
        <f t="shared" si="120"/>
        <v>0</v>
      </c>
      <c r="T322" s="93">
        <v>100</v>
      </c>
      <c r="U322" s="93">
        <v>0</v>
      </c>
      <c r="V322" s="131">
        <v>0</v>
      </c>
      <c r="W322" s="154">
        <f t="shared" si="121"/>
        <v>0</v>
      </c>
      <c r="X322" s="94">
        <v>0</v>
      </c>
      <c r="Y322" s="94">
        <f t="shared" si="122"/>
        <v>0</v>
      </c>
      <c r="Z322" s="94">
        <v>0</v>
      </c>
      <c r="AA322" s="155">
        <v>50</v>
      </c>
      <c r="AB322" s="94">
        <f t="shared" si="123"/>
        <v>10</v>
      </c>
      <c r="AC322" s="132">
        <v>40</v>
      </c>
      <c r="AD322" s="94">
        <v>0</v>
      </c>
      <c r="AE322" s="94">
        <f t="shared" si="124"/>
        <v>0</v>
      </c>
      <c r="AF322" s="132">
        <v>0</v>
      </c>
      <c r="AG322" s="7" t="s">
        <v>69</v>
      </c>
      <c r="AH322" s="7" t="s">
        <v>1014</v>
      </c>
      <c r="AI322" s="95"/>
      <c r="AJ322" s="95"/>
      <c r="AN322" s="37"/>
      <c r="AO322" s="37"/>
      <c r="AP322" s="37"/>
      <c r="AQ322" s="37"/>
      <c r="AW322" s="37"/>
      <c r="AX322" s="37"/>
      <c r="AY322" s="37"/>
      <c r="AZ322" s="37"/>
    </row>
    <row r="323" spans="1:52" s="7" customFormat="1">
      <c r="A323" s="7" t="s">
        <v>1094</v>
      </c>
      <c r="B323" s="91" t="s">
        <v>1095</v>
      </c>
      <c r="C323" s="92" t="s">
        <v>162</v>
      </c>
      <c r="D323" s="92" t="s">
        <v>754</v>
      </c>
      <c r="E323" s="7" t="s">
        <v>643</v>
      </c>
      <c r="G323" s="7" t="s">
        <v>755</v>
      </c>
      <c r="H323" s="7" t="s">
        <v>1011</v>
      </c>
      <c r="J323" s="7">
        <v>0</v>
      </c>
      <c r="K323" s="7">
        <v>45</v>
      </c>
      <c r="L323" s="7" t="s">
        <v>64</v>
      </c>
      <c r="M323" s="7" t="s">
        <v>65</v>
      </c>
      <c r="N323" s="7" t="s">
        <v>1012</v>
      </c>
      <c r="P323" s="7">
        <v>0</v>
      </c>
      <c r="Q323" s="7" t="s">
        <v>1030</v>
      </c>
      <c r="R323" s="131">
        <v>0</v>
      </c>
      <c r="S323" s="93">
        <f t="shared" si="120"/>
        <v>0</v>
      </c>
      <c r="T323" s="93">
        <v>100</v>
      </c>
      <c r="U323" s="93">
        <v>0</v>
      </c>
      <c r="V323" s="131">
        <v>0</v>
      </c>
      <c r="W323" s="154">
        <f t="shared" si="121"/>
        <v>0</v>
      </c>
      <c r="X323" s="94">
        <v>0</v>
      </c>
      <c r="Y323" s="94">
        <f t="shared" si="122"/>
        <v>0</v>
      </c>
      <c r="Z323" s="94">
        <v>0</v>
      </c>
      <c r="AA323" s="155">
        <v>5</v>
      </c>
      <c r="AB323" s="94">
        <f t="shared" si="123"/>
        <v>55</v>
      </c>
      <c r="AC323" s="132">
        <v>40</v>
      </c>
      <c r="AD323" s="94">
        <v>0</v>
      </c>
      <c r="AE323" s="94">
        <f t="shared" si="124"/>
        <v>0</v>
      </c>
      <c r="AF323" s="132">
        <v>0</v>
      </c>
      <c r="AG323" s="7" t="s">
        <v>69</v>
      </c>
      <c r="AH323" s="7" t="s">
        <v>1014</v>
      </c>
      <c r="AI323" s="95"/>
      <c r="AJ323" s="95"/>
      <c r="AN323" s="37"/>
      <c r="AO323" s="37"/>
      <c r="AP323" s="37"/>
      <c r="AQ323" s="37"/>
      <c r="AW323" s="37"/>
      <c r="AX323" s="37"/>
      <c r="AY323" s="37"/>
      <c r="AZ323" s="37"/>
    </row>
    <row r="324" spans="1:52" s="7" customFormat="1">
      <c r="A324" s="7" t="s">
        <v>1096</v>
      </c>
      <c r="B324" s="91" t="s">
        <v>1097</v>
      </c>
      <c r="C324" s="92" t="s">
        <v>162</v>
      </c>
      <c r="D324" s="92" t="s">
        <v>754</v>
      </c>
      <c r="E324" s="7" t="s">
        <v>643</v>
      </c>
      <c r="G324" s="7" t="s">
        <v>755</v>
      </c>
      <c r="H324" s="7" t="s">
        <v>1011</v>
      </c>
      <c r="J324" s="7">
        <v>0</v>
      </c>
      <c r="K324" s="7">
        <v>45</v>
      </c>
      <c r="L324" s="7" t="s">
        <v>64</v>
      </c>
      <c r="M324" s="7" t="s">
        <v>65</v>
      </c>
      <c r="N324" s="7" t="s">
        <v>1012</v>
      </c>
      <c r="P324" s="7">
        <v>0</v>
      </c>
      <c r="Q324" s="7" t="s">
        <v>1039</v>
      </c>
      <c r="R324" s="131">
        <v>0</v>
      </c>
      <c r="S324" s="93">
        <f t="shared" si="120"/>
        <v>0</v>
      </c>
      <c r="T324" s="93">
        <v>100</v>
      </c>
      <c r="U324" s="93">
        <v>0</v>
      </c>
      <c r="V324" s="131">
        <v>0</v>
      </c>
      <c r="W324" s="154">
        <f t="shared" si="121"/>
        <v>0</v>
      </c>
      <c r="X324" s="94">
        <v>0</v>
      </c>
      <c r="Y324" s="94">
        <f t="shared" si="122"/>
        <v>0</v>
      </c>
      <c r="Z324" s="94">
        <v>0</v>
      </c>
      <c r="AA324" s="155">
        <v>0</v>
      </c>
      <c r="AB324" s="94">
        <f t="shared" si="123"/>
        <v>62.5</v>
      </c>
      <c r="AC324" s="132">
        <v>37.5</v>
      </c>
      <c r="AD324" s="94">
        <v>0</v>
      </c>
      <c r="AE324" s="94">
        <f t="shared" si="124"/>
        <v>0</v>
      </c>
      <c r="AF324" s="132">
        <v>0</v>
      </c>
      <c r="AG324" s="7" t="s">
        <v>69</v>
      </c>
      <c r="AH324" s="7" t="s">
        <v>1014</v>
      </c>
      <c r="AI324" s="95"/>
      <c r="AJ324" s="95"/>
      <c r="AN324" s="37"/>
      <c r="AO324" s="37"/>
      <c r="AP324" s="37"/>
      <c r="AQ324" s="37"/>
      <c r="AW324" s="37"/>
      <c r="AX324" s="37"/>
      <c r="AY324" s="37"/>
      <c r="AZ324" s="37"/>
    </row>
    <row r="325" spans="1:52" s="7" customFormat="1">
      <c r="A325" s="7" t="s">
        <v>1098</v>
      </c>
      <c r="B325" s="91" t="s">
        <v>1099</v>
      </c>
      <c r="C325" s="92" t="s">
        <v>162</v>
      </c>
      <c r="D325" s="92" t="s">
        <v>754</v>
      </c>
      <c r="E325" s="7" t="s">
        <v>643</v>
      </c>
      <c r="G325" s="7" t="s">
        <v>755</v>
      </c>
      <c r="H325" s="7" t="s">
        <v>1011</v>
      </c>
      <c r="J325" s="7">
        <v>0</v>
      </c>
      <c r="K325" s="7">
        <v>45</v>
      </c>
      <c r="L325" s="7" t="s">
        <v>64</v>
      </c>
      <c r="M325" s="7" t="s">
        <v>65</v>
      </c>
      <c r="N325" s="7" t="s">
        <v>1012</v>
      </c>
      <c r="P325" s="7">
        <v>0</v>
      </c>
      <c r="Q325" s="7" t="s">
        <v>1030</v>
      </c>
      <c r="R325" s="131">
        <v>0</v>
      </c>
      <c r="S325" s="93">
        <f t="shared" si="120"/>
        <v>0</v>
      </c>
      <c r="T325" s="93">
        <v>100</v>
      </c>
      <c r="U325" s="93">
        <v>0</v>
      </c>
      <c r="V325" s="131">
        <v>0</v>
      </c>
      <c r="W325" s="154">
        <f t="shared" si="121"/>
        <v>0</v>
      </c>
      <c r="X325" s="94">
        <v>0</v>
      </c>
      <c r="Y325" s="94">
        <f t="shared" si="122"/>
        <v>0</v>
      </c>
      <c r="Z325" s="94">
        <v>0</v>
      </c>
      <c r="AA325" s="155">
        <v>30</v>
      </c>
      <c r="AB325" s="94">
        <f t="shared" si="123"/>
        <v>30</v>
      </c>
      <c r="AC325" s="132">
        <v>40</v>
      </c>
      <c r="AD325" s="94">
        <v>0</v>
      </c>
      <c r="AE325" s="94">
        <f t="shared" si="124"/>
        <v>0</v>
      </c>
      <c r="AF325" s="132">
        <v>0</v>
      </c>
      <c r="AG325" s="7" t="s">
        <v>69</v>
      </c>
      <c r="AH325" s="7" t="s">
        <v>1014</v>
      </c>
      <c r="AI325" s="95"/>
      <c r="AJ325" s="95"/>
      <c r="AN325" s="37"/>
      <c r="AO325" s="37"/>
      <c r="AP325" s="37"/>
      <c r="AQ325" s="37"/>
      <c r="AW325" s="37"/>
      <c r="AX325" s="37"/>
      <c r="AY325" s="37"/>
      <c r="AZ325" s="37"/>
    </row>
    <row r="326" spans="1:52" s="7" customFormat="1">
      <c r="A326" s="7" t="s">
        <v>1100</v>
      </c>
      <c r="B326" s="91" t="s">
        <v>1101</v>
      </c>
      <c r="C326" s="92" t="s">
        <v>162</v>
      </c>
      <c r="D326" s="92" t="s">
        <v>754</v>
      </c>
      <c r="E326" s="7" t="s">
        <v>643</v>
      </c>
      <c r="G326" s="7" t="s">
        <v>755</v>
      </c>
      <c r="H326" s="7" t="s">
        <v>1011</v>
      </c>
      <c r="J326" s="7">
        <v>0</v>
      </c>
      <c r="K326" s="7">
        <v>45</v>
      </c>
      <c r="L326" s="7" t="s">
        <v>64</v>
      </c>
      <c r="M326" s="7" t="s">
        <v>65</v>
      </c>
      <c r="N326" s="7" t="s">
        <v>1012</v>
      </c>
      <c r="P326" s="7">
        <v>0</v>
      </c>
      <c r="Q326" s="7" t="s">
        <v>1030</v>
      </c>
      <c r="R326" s="131">
        <v>0</v>
      </c>
      <c r="S326" s="93">
        <f t="shared" si="120"/>
        <v>0</v>
      </c>
      <c r="T326" s="93">
        <v>100</v>
      </c>
      <c r="U326" s="93">
        <v>0</v>
      </c>
      <c r="V326" s="131">
        <v>0</v>
      </c>
      <c r="W326" s="154">
        <f t="shared" si="121"/>
        <v>0</v>
      </c>
      <c r="X326" s="94">
        <v>0</v>
      </c>
      <c r="Y326" s="94">
        <f t="shared" si="122"/>
        <v>0</v>
      </c>
      <c r="Z326" s="94">
        <v>0</v>
      </c>
      <c r="AA326" s="155">
        <v>40</v>
      </c>
      <c r="AB326" s="94">
        <f t="shared" si="123"/>
        <v>20</v>
      </c>
      <c r="AC326" s="132">
        <v>40</v>
      </c>
      <c r="AD326" s="94">
        <v>0</v>
      </c>
      <c r="AE326" s="94">
        <f t="shared" si="124"/>
        <v>0</v>
      </c>
      <c r="AF326" s="132">
        <v>0</v>
      </c>
      <c r="AG326" s="7" t="s">
        <v>69</v>
      </c>
      <c r="AH326" s="7" t="s">
        <v>1014</v>
      </c>
      <c r="AI326" s="95"/>
      <c r="AJ326" s="95"/>
      <c r="AN326" s="37"/>
      <c r="AO326" s="37"/>
      <c r="AP326" s="37"/>
      <c r="AQ326" s="37"/>
      <c r="AW326" s="37"/>
      <c r="AX326" s="37"/>
      <c r="AY326" s="37"/>
      <c r="AZ326" s="37"/>
    </row>
    <row r="327" spans="1:52" s="7" customFormat="1">
      <c r="A327" s="7" t="s">
        <v>1102</v>
      </c>
      <c r="B327" s="91" t="s">
        <v>1103</v>
      </c>
      <c r="C327" s="92" t="s">
        <v>162</v>
      </c>
      <c r="D327" s="92" t="s">
        <v>754</v>
      </c>
      <c r="E327" s="7" t="s">
        <v>643</v>
      </c>
      <c r="G327" s="7" t="s">
        <v>755</v>
      </c>
      <c r="H327" s="7" t="s">
        <v>1011</v>
      </c>
      <c r="J327" s="7">
        <v>0</v>
      </c>
      <c r="K327" s="7">
        <v>45</v>
      </c>
      <c r="L327" s="7" t="s">
        <v>64</v>
      </c>
      <c r="M327" s="7" t="s">
        <v>65</v>
      </c>
      <c r="N327" s="7" t="s">
        <v>1012</v>
      </c>
      <c r="P327" s="7">
        <v>0</v>
      </c>
      <c r="Q327" s="7" t="s">
        <v>1030</v>
      </c>
      <c r="R327" s="131">
        <v>0</v>
      </c>
      <c r="S327" s="93">
        <f t="shared" si="120"/>
        <v>0</v>
      </c>
      <c r="T327" s="93">
        <v>100</v>
      </c>
      <c r="U327" s="93">
        <v>0</v>
      </c>
      <c r="V327" s="131">
        <v>0</v>
      </c>
      <c r="W327" s="154">
        <f t="shared" si="121"/>
        <v>0</v>
      </c>
      <c r="X327" s="94">
        <v>0</v>
      </c>
      <c r="Y327" s="94">
        <f t="shared" si="122"/>
        <v>0</v>
      </c>
      <c r="Z327" s="94">
        <v>0</v>
      </c>
      <c r="AA327" s="155">
        <v>39</v>
      </c>
      <c r="AB327" s="94">
        <f t="shared" si="123"/>
        <v>26</v>
      </c>
      <c r="AC327" s="132">
        <v>35</v>
      </c>
      <c r="AD327" s="94">
        <v>0</v>
      </c>
      <c r="AE327" s="94">
        <f t="shared" si="124"/>
        <v>0</v>
      </c>
      <c r="AF327" s="132">
        <v>0</v>
      </c>
      <c r="AG327" s="7" t="s">
        <v>69</v>
      </c>
      <c r="AH327" s="7" t="s">
        <v>1014</v>
      </c>
      <c r="AI327" s="95"/>
      <c r="AJ327" s="95"/>
      <c r="AN327" s="37"/>
      <c r="AO327" s="37"/>
      <c r="AP327" s="37"/>
      <c r="AQ327" s="37"/>
      <c r="AW327" s="37"/>
      <c r="AX327" s="37"/>
      <c r="AY327" s="37"/>
      <c r="AZ327" s="37"/>
    </row>
    <row r="328" spans="1:52" s="7" customFormat="1">
      <c r="A328" s="7" t="s">
        <v>1104</v>
      </c>
      <c r="B328" s="91" t="s">
        <v>1105</v>
      </c>
      <c r="C328" s="92" t="s">
        <v>162</v>
      </c>
      <c r="D328" s="92" t="s">
        <v>754</v>
      </c>
      <c r="E328" s="7" t="s">
        <v>643</v>
      </c>
      <c r="G328" s="7" t="s">
        <v>755</v>
      </c>
      <c r="H328" s="7" t="s">
        <v>1106</v>
      </c>
      <c r="J328" s="7">
        <v>0</v>
      </c>
      <c r="K328" s="7">
        <v>45</v>
      </c>
      <c r="L328" s="7" t="s">
        <v>64</v>
      </c>
      <c r="M328" s="7" t="s">
        <v>65</v>
      </c>
      <c r="N328" s="7" t="s">
        <v>1012</v>
      </c>
      <c r="P328" s="7">
        <v>0</v>
      </c>
      <c r="Q328" s="7" t="s">
        <v>1107</v>
      </c>
      <c r="R328" s="131">
        <v>0</v>
      </c>
      <c r="S328" s="93">
        <f t="shared" si="120"/>
        <v>0</v>
      </c>
      <c r="T328" s="93">
        <v>100</v>
      </c>
      <c r="U328" s="93">
        <v>0</v>
      </c>
      <c r="V328" s="131">
        <v>0</v>
      </c>
      <c r="W328" s="154">
        <f t="shared" si="121"/>
        <v>0</v>
      </c>
      <c r="X328" s="94">
        <v>0</v>
      </c>
      <c r="Y328" s="94">
        <f t="shared" si="122"/>
        <v>0</v>
      </c>
      <c r="Z328" s="94">
        <v>0</v>
      </c>
      <c r="AA328" s="155">
        <v>50</v>
      </c>
      <c r="AB328" s="94">
        <f t="shared" si="123"/>
        <v>0</v>
      </c>
      <c r="AC328" s="132">
        <v>50</v>
      </c>
      <c r="AD328" s="94">
        <v>0</v>
      </c>
      <c r="AE328" s="94">
        <f t="shared" si="124"/>
        <v>0</v>
      </c>
      <c r="AF328" s="132">
        <v>0</v>
      </c>
      <c r="AG328" s="7" t="s">
        <v>69</v>
      </c>
      <c r="AH328" s="7" t="s">
        <v>1014</v>
      </c>
      <c r="AI328" s="95"/>
      <c r="AJ328" s="95"/>
      <c r="AN328" s="37"/>
      <c r="AO328" s="37"/>
      <c r="AP328" s="37"/>
      <c r="AQ328" s="37"/>
      <c r="AW328" s="37"/>
      <c r="AX328" s="37"/>
      <c r="AY328" s="37"/>
      <c r="AZ328" s="37"/>
    </row>
    <row r="329" spans="1:52" s="7" customFormat="1">
      <c r="A329" s="7" t="s">
        <v>1108</v>
      </c>
      <c r="B329" s="91" t="s">
        <v>1109</v>
      </c>
      <c r="C329" s="92" t="s">
        <v>162</v>
      </c>
      <c r="D329" s="92" t="s">
        <v>754</v>
      </c>
      <c r="E329" s="7" t="s">
        <v>643</v>
      </c>
      <c r="G329" s="7" t="s">
        <v>755</v>
      </c>
      <c r="H329" s="7" t="s">
        <v>1011</v>
      </c>
      <c r="J329" s="7">
        <v>0</v>
      </c>
      <c r="K329" s="7">
        <v>45</v>
      </c>
      <c r="L329" s="7" t="s">
        <v>64</v>
      </c>
      <c r="M329" s="7" t="s">
        <v>65</v>
      </c>
      <c r="N329" s="7" t="s">
        <v>1012</v>
      </c>
      <c r="P329" s="7">
        <v>0</v>
      </c>
      <c r="Q329" s="7" t="s">
        <v>1039</v>
      </c>
      <c r="R329" s="131">
        <v>0</v>
      </c>
      <c r="S329" s="93">
        <f t="shared" si="120"/>
        <v>0</v>
      </c>
      <c r="T329" s="93">
        <v>100</v>
      </c>
      <c r="U329" s="93">
        <v>0</v>
      </c>
      <c r="V329" s="131">
        <v>0</v>
      </c>
      <c r="W329" s="154">
        <f t="shared" si="121"/>
        <v>0</v>
      </c>
      <c r="X329" s="94">
        <v>0</v>
      </c>
      <c r="Y329" s="94">
        <f t="shared" si="122"/>
        <v>0</v>
      </c>
      <c r="Z329" s="94">
        <v>0</v>
      </c>
      <c r="AA329" s="155">
        <v>65</v>
      </c>
      <c r="AB329" s="94">
        <f t="shared" si="123"/>
        <v>0</v>
      </c>
      <c r="AC329" s="132">
        <v>35</v>
      </c>
      <c r="AD329" s="94">
        <v>0</v>
      </c>
      <c r="AE329" s="94">
        <f t="shared" si="124"/>
        <v>0</v>
      </c>
      <c r="AF329" s="132">
        <v>0</v>
      </c>
      <c r="AG329" s="7" t="s">
        <v>69</v>
      </c>
      <c r="AH329" s="7" t="s">
        <v>1014</v>
      </c>
      <c r="AI329" s="95"/>
      <c r="AJ329" s="95"/>
      <c r="AN329" s="37"/>
      <c r="AO329" s="37"/>
      <c r="AP329" s="37"/>
      <c r="AQ329" s="37"/>
      <c r="AW329" s="37"/>
      <c r="AX329" s="37"/>
      <c r="AY329" s="37"/>
      <c r="AZ329" s="37"/>
    </row>
    <row r="330" spans="1:52" s="7" customFormat="1">
      <c r="A330" s="7" t="s">
        <v>1110</v>
      </c>
      <c r="B330" s="91" t="s">
        <v>1111</v>
      </c>
      <c r="C330" s="92" t="s">
        <v>162</v>
      </c>
      <c r="D330" s="92" t="s">
        <v>754</v>
      </c>
      <c r="E330" s="7" t="s">
        <v>643</v>
      </c>
      <c r="G330" s="7" t="s">
        <v>755</v>
      </c>
      <c r="H330" s="7" t="s">
        <v>1011</v>
      </c>
      <c r="J330" s="7">
        <v>0</v>
      </c>
      <c r="K330" s="7">
        <v>45</v>
      </c>
      <c r="L330" s="7" t="s">
        <v>64</v>
      </c>
      <c r="M330" s="7" t="s">
        <v>65</v>
      </c>
      <c r="N330" s="7" t="s">
        <v>1012</v>
      </c>
      <c r="P330" s="7">
        <v>0</v>
      </c>
      <c r="Q330" s="7" t="s">
        <v>1039</v>
      </c>
      <c r="R330" s="131">
        <v>0</v>
      </c>
      <c r="S330" s="93">
        <f t="shared" si="120"/>
        <v>0</v>
      </c>
      <c r="T330" s="93">
        <v>100</v>
      </c>
      <c r="U330" s="93">
        <v>0</v>
      </c>
      <c r="V330" s="131">
        <v>0</v>
      </c>
      <c r="W330" s="154">
        <f t="shared" si="121"/>
        <v>0</v>
      </c>
      <c r="X330" s="94">
        <v>0</v>
      </c>
      <c r="Y330" s="94">
        <f t="shared" si="122"/>
        <v>0</v>
      </c>
      <c r="Z330" s="94">
        <v>0</v>
      </c>
      <c r="AA330" s="155">
        <v>70</v>
      </c>
      <c r="AB330" s="94">
        <f t="shared" si="123"/>
        <v>0</v>
      </c>
      <c r="AC330" s="132">
        <v>30</v>
      </c>
      <c r="AD330" s="94">
        <v>0</v>
      </c>
      <c r="AE330" s="94">
        <f t="shared" si="124"/>
        <v>0</v>
      </c>
      <c r="AF330" s="132">
        <v>0</v>
      </c>
      <c r="AG330" s="7" t="s">
        <v>69</v>
      </c>
      <c r="AH330" s="7" t="s">
        <v>1014</v>
      </c>
      <c r="AI330" s="95"/>
      <c r="AJ330" s="95"/>
      <c r="AN330" s="37"/>
      <c r="AO330" s="37"/>
      <c r="AP330" s="37"/>
      <c r="AQ330" s="37"/>
      <c r="AW330" s="37"/>
      <c r="AX330" s="37"/>
      <c r="AY330" s="37"/>
      <c r="AZ330" s="37"/>
    </row>
    <row r="331" spans="1:52" s="7" customFormat="1">
      <c r="A331" s="7" t="s">
        <v>1112</v>
      </c>
      <c r="B331" s="91" t="s">
        <v>1113</v>
      </c>
      <c r="C331" s="92" t="s">
        <v>162</v>
      </c>
      <c r="D331" s="92" t="s">
        <v>754</v>
      </c>
      <c r="E331" s="7" t="s">
        <v>643</v>
      </c>
      <c r="G331" s="7" t="s">
        <v>755</v>
      </c>
      <c r="H331" s="7" t="s">
        <v>1011</v>
      </c>
      <c r="J331" s="7">
        <v>0</v>
      </c>
      <c r="K331" s="7">
        <v>45</v>
      </c>
      <c r="L331" s="7" t="s">
        <v>64</v>
      </c>
      <c r="M331" s="7" t="s">
        <v>65</v>
      </c>
      <c r="N331" s="7" t="s">
        <v>1012</v>
      </c>
      <c r="P331" s="7">
        <v>0</v>
      </c>
      <c r="Q331" s="7" t="s">
        <v>1039</v>
      </c>
      <c r="R331" s="131">
        <v>0</v>
      </c>
      <c r="S331" s="93">
        <f t="shared" si="120"/>
        <v>0</v>
      </c>
      <c r="T331" s="93">
        <v>100</v>
      </c>
      <c r="U331" s="93">
        <v>0</v>
      </c>
      <c r="V331" s="131">
        <v>0</v>
      </c>
      <c r="W331" s="154">
        <f t="shared" si="121"/>
        <v>0</v>
      </c>
      <c r="X331" s="94">
        <v>0</v>
      </c>
      <c r="Y331" s="94">
        <f t="shared" si="122"/>
        <v>0</v>
      </c>
      <c r="Z331" s="94">
        <v>0</v>
      </c>
      <c r="AA331" s="155">
        <v>75</v>
      </c>
      <c r="AB331" s="94">
        <f t="shared" si="123"/>
        <v>0</v>
      </c>
      <c r="AC331" s="132">
        <v>25</v>
      </c>
      <c r="AD331" s="94">
        <v>0</v>
      </c>
      <c r="AE331" s="94">
        <f t="shared" si="124"/>
        <v>0</v>
      </c>
      <c r="AF331" s="132">
        <v>0</v>
      </c>
      <c r="AG331" s="7" t="s">
        <v>69</v>
      </c>
      <c r="AH331" s="7" t="s">
        <v>1014</v>
      </c>
      <c r="AI331" s="95"/>
      <c r="AJ331" s="95"/>
      <c r="AN331" s="37"/>
      <c r="AO331" s="37"/>
      <c r="AP331" s="37"/>
      <c r="AQ331" s="37"/>
      <c r="AW331" s="37"/>
      <c r="AX331" s="37"/>
      <c r="AY331" s="37"/>
      <c r="AZ331" s="37"/>
    </row>
    <row r="332" spans="1:52" s="7" customFormat="1">
      <c r="A332" s="7" t="s">
        <v>1114</v>
      </c>
      <c r="B332" s="91" t="s">
        <v>1115</v>
      </c>
      <c r="C332" s="92" t="s">
        <v>162</v>
      </c>
      <c r="D332" s="92" t="s">
        <v>754</v>
      </c>
      <c r="E332" s="7" t="s">
        <v>643</v>
      </c>
      <c r="G332" s="7" t="s">
        <v>755</v>
      </c>
      <c r="H332" s="7" t="s">
        <v>1011</v>
      </c>
      <c r="J332" s="7">
        <v>0</v>
      </c>
      <c r="K332" s="7">
        <v>45</v>
      </c>
      <c r="L332" s="7" t="s">
        <v>64</v>
      </c>
      <c r="M332" s="7" t="s">
        <v>65</v>
      </c>
      <c r="N332" s="7" t="s">
        <v>1012</v>
      </c>
      <c r="P332" s="7">
        <v>0</v>
      </c>
      <c r="Q332" s="7" t="s">
        <v>1039</v>
      </c>
      <c r="R332" s="131">
        <v>0</v>
      </c>
      <c r="S332" s="93">
        <f t="shared" si="120"/>
        <v>0</v>
      </c>
      <c r="T332" s="93">
        <v>100</v>
      </c>
      <c r="U332" s="93">
        <v>0</v>
      </c>
      <c r="V332" s="131">
        <v>0</v>
      </c>
      <c r="W332" s="154">
        <f t="shared" si="121"/>
        <v>0</v>
      </c>
      <c r="X332" s="94">
        <v>0</v>
      </c>
      <c r="Y332" s="94">
        <f t="shared" si="122"/>
        <v>0</v>
      </c>
      <c r="Z332" s="94">
        <v>0</v>
      </c>
      <c r="AA332" s="155">
        <v>80</v>
      </c>
      <c r="AB332" s="94">
        <f t="shared" si="123"/>
        <v>0</v>
      </c>
      <c r="AC332" s="132">
        <v>20</v>
      </c>
      <c r="AD332" s="94">
        <v>0</v>
      </c>
      <c r="AE332" s="94">
        <f t="shared" si="124"/>
        <v>0</v>
      </c>
      <c r="AF332" s="132">
        <v>0</v>
      </c>
      <c r="AG332" s="7" t="s">
        <v>69</v>
      </c>
      <c r="AH332" s="7" t="s">
        <v>1014</v>
      </c>
      <c r="AI332" s="95"/>
      <c r="AJ332" s="95"/>
      <c r="AN332" s="37"/>
      <c r="AO332" s="37"/>
      <c r="AP332" s="37"/>
      <c r="AQ332" s="37"/>
      <c r="AW332" s="37"/>
      <c r="AX332" s="37"/>
      <c r="AY332" s="37"/>
      <c r="AZ332" s="37"/>
    </row>
    <row r="333" spans="1:52" s="7" customFormat="1">
      <c r="A333" s="7" t="s">
        <v>1116</v>
      </c>
      <c r="B333" s="91" t="s">
        <v>1117</v>
      </c>
      <c r="C333" s="92" t="s">
        <v>162</v>
      </c>
      <c r="D333" s="92" t="s">
        <v>754</v>
      </c>
      <c r="E333" s="7" t="s">
        <v>643</v>
      </c>
      <c r="G333" s="7" t="s">
        <v>755</v>
      </c>
      <c r="H333" s="7" t="s">
        <v>1011</v>
      </c>
      <c r="J333" s="7">
        <v>0</v>
      </c>
      <c r="K333" s="7">
        <v>45</v>
      </c>
      <c r="L333" s="7" t="s">
        <v>64</v>
      </c>
      <c r="M333" s="7" t="s">
        <v>65</v>
      </c>
      <c r="N333" s="7" t="s">
        <v>1012</v>
      </c>
      <c r="P333" s="7">
        <v>0</v>
      </c>
      <c r="Q333" s="7" t="s">
        <v>1039</v>
      </c>
      <c r="R333" s="131">
        <v>0</v>
      </c>
      <c r="S333" s="93">
        <f t="shared" si="120"/>
        <v>0</v>
      </c>
      <c r="T333" s="93">
        <v>100</v>
      </c>
      <c r="U333" s="93">
        <v>0</v>
      </c>
      <c r="V333" s="131">
        <v>0</v>
      </c>
      <c r="W333" s="154">
        <f t="shared" si="121"/>
        <v>0</v>
      </c>
      <c r="X333" s="94">
        <v>0</v>
      </c>
      <c r="Y333" s="94">
        <f t="shared" si="122"/>
        <v>0</v>
      </c>
      <c r="Z333" s="94">
        <v>0</v>
      </c>
      <c r="AA333" s="155">
        <v>90</v>
      </c>
      <c r="AB333" s="94">
        <f t="shared" si="123"/>
        <v>0</v>
      </c>
      <c r="AC333" s="132">
        <v>10</v>
      </c>
      <c r="AD333" s="94">
        <v>0</v>
      </c>
      <c r="AE333" s="94">
        <f t="shared" si="124"/>
        <v>0</v>
      </c>
      <c r="AF333" s="132">
        <v>0</v>
      </c>
      <c r="AG333" s="7" t="s">
        <v>69</v>
      </c>
      <c r="AH333" s="7" t="s">
        <v>1014</v>
      </c>
      <c r="AI333" s="95"/>
      <c r="AJ333" s="95"/>
      <c r="AN333" s="37"/>
      <c r="AO333" s="37"/>
      <c r="AP333" s="37"/>
      <c r="AQ333" s="37"/>
      <c r="AW333" s="37"/>
      <c r="AX333" s="37"/>
      <c r="AY333" s="37"/>
      <c r="AZ333" s="37"/>
    </row>
    <row r="334" spans="1:52" s="7" customFormat="1">
      <c r="A334" s="7" t="s">
        <v>1118</v>
      </c>
      <c r="B334" s="91" t="s">
        <v>1119</v>
      </c>
      <c r="C334" s="92" t="s">
        <v>162</v>
      </c>
      <c r="D334" s="92" t="s">
        <v>754</v>
      </c>
      <c r="E334" s="7" t="s">
        <v>643</v>
      </c>
      <c r="G334" s="7" t="s">
        <v>755</v>
      </c>
      <c r="H334" s="7" t="s">
        <v>1011</v>
      </c>
      <c r="J334" s="7">
        <v>0</v>
      </c>
      <c r="K334" s="7">
        <v>45</v>
      </c>
      <c r="L334" s="7" t="s">
        <v>64</v>
      </c>
      <c r="M334" s="7" t="s">
        <v>65</v>
      </c>
      <c r="N334" s="7" t="s">
        <v>1012</v>
      </c>
      <c r="P334" s="7">
        <v>0</v>
      </c>
      <c r="Q334" s="7" t="s">
        <v>1039</v>
      </c>
      <c r="R334" s="131">
        <v>0</v>
      </c>
      <c r="S334" s="93">
        <f t="shared" si="120"/>
        <v>0</v>
      </c>
      <c r="T334" s="93">
        <v>100</v>
      </c>
      <c r="U334" s="93">
        <v>0</v>
      </c>
      <c r="V334" s="131">
        <v>0</v>
      </c>
      <c r="W334" s="154">
        <f t="shared" si="121"/>
        <v>0</v>
      </c>
      <c r="X334" s="94">
        <v>0</v>
      </c>
      <c r="Y334" s="94">
        <f t="shared" si="122"/>
        <v>0</v>
      </c>
      <c r="Z334" s="94">
        <v>0</v>
      </c>
      <c r="AA334" s="155">
        <v>93</v>
      </c>
      <c r="AB334" s="94">
        <f t="shared" si="123"/>
        <v>0</v>
      </c>
      <c r="AC334" s="132">
        <v>7</v>
      </c>
      <c r="AD334" s="94">
        <v>0</v>
      </c>
      <c r="AE334" s="94">
        <f t="shared" si="124"/>
        <v>0</v>
      </c>
      <c r="AF334" s="132">
        <v>0</v>
      </c>
      <c r="AG334" s="7" t="s">
        <v>69</v>
      </c>
      <c r="AH334" s="7" t="s">
        <v>1014</v>
      </c>
      <c r="AI334" s="95"/>
      <c r="AJ334" s="95"/>
      <c r="AN334" s="37"/>
      <c r="AO334" s="37"/>
      <c r="AP334" s="37"/>
      <c r="AQ334" s="37"/>
      <c r="AW334" s="37"/>
      <c r="AX334" s="37"/>
      <c r="AY334" s="37"/>
      <c r="AZ334" s="37"/>
    </row>
    <row r="335" spans="1:52" s="7" customFormat="1">
      <c r="A335" s="7" t="s">
        <v>1120</v>
      </c>
      <c r="B335" s="91" t="s">
        <v>1121</v>
      </c>
      <c r="C335" s="92" t="s">
        <v>732</v>
      </c>
      <c r="D335" s="92" t="s">
        <v>642</v>
      </c>
      <c r="E335" s="7" t="s">
        <v>643</v>
      </c>
      <c r="G335" s="7" t="s">
        <v>1122</v>
      </c>
      <c r="H335" s="7" t="s">
        <v>1123</v>
      </c>
      <c r="J335" s="7">
        <v>250</v>
      </c>
      <c r="K335" s="7">
        <v>500</v>
      </c>
      <c r="L335" s="7" t="s">
        <v>64</v>
      </c>
      <c r="M335" s="7" t="s">
        <v>1124</v>
      </c>
      <c r="N335" s="7" t="s">
        <v>1125</v>
      </c>
      <c r="O335" s="7" t="s">
        <v>736</v>
      </c>
      <c r="P335" s="7">
        <v>0</v>
      </c>
      <c r="Q335" s="7" t="s">
        <v>1126</v>
      </c>
      <c r="R335" s="131">
        <v>0</v>
      </c>
      <c r="S335" s="93">
        <f t="shared" si="120"/>
        <v>0</v>
      </c>
      <c r="T335" s="93">
        <v>100</v>
      </c>
      <c r="U335" s="93">
        <v>0</v>
      </c>
      <c r="V335" s="131">
        <v>0</v>
      </c>
      <c r="W335" s="154">
        <f t="shared" si="121"/>
        <v>0</v>
      </c>
      <c r="X335" s="94">
        <v>0</v>
      </c>
      <c r="Y335" s="94">
        <f t="shared" si="122"/>
        <v>0</v>
      </c>
      <c r="Z335" s="94">
        <v>0</v>
      </c>
      <c r="AA335" s="155">
        <v>30</v>
      </c>
      <c r="AB335" s="94">
        <f t="shared" si="123"/>
        <v>50</v>
      </c>
      <c r="AC335" s="132">
        <v>20</v>
      </c>
      <c r="AD335" s="94">
        <v>0</v>
      </c>
      <c r="AE335" s="94">
        <f t="shared" si="124"/>
        <v>0</v>
      </c>
      <c r="AF335" s="132">
        <v>0</v>
      </c>
      <c r="AG335" s="7" t="s">
        <v>69</v>
      </c>
      <c r="AH335" s="28" t="s">
        <v>1127</v>
      </c>
      <c r="AI335" s="95" t="s">
        <v>1128</v>
      </c>
      <c r="AJ335" s="95"/>
      <c r="AN335" s="37"/>
      <c r="AO335" s="37"/>
      <c r="AP335" s="37"/>
      <c r="AQ335" s="37"/>
      <c r="AW335" s="37"/>
      <c r="AX335" s="37"/>
      <c r="AY335" s="37"/>
      <c r="AZ335" s="37"/>
    </row>
    <row r="336" spans="1:52" s="7" customFormat="1">
      <c r="A336" s="7" t="s">
        <v>1129</v>
      </c>
      <c r="B336" s="91" t="s">
        <v>1130</v>
      </c>
      <c r="C336" s="92" t="s">
        <v>732</v>
      </c>
      <c r="D336" s="92" t="s">
        <v>642</v>
      </c>
      <c r="E336" s="7" t="s">
        <v>643</v>
      </c>
      <c r="G336" s="7" t="s">
        <v>1122</v>
      </c>
      <c r="H336" s="7" t="s">
        <v>1123</v>
      </c>
      <c r="J336" s="7">
        <v>90</v>
      </c>
      <c r="K336" s="7">
        <v>125</v>
      </c>
      <c r="L336" s="7" t="s">
        <v>64</v>
      </c>
      <c r="M336" s="7" t="s">
        <v>1124</v>
      </c>
      <c r="N336" s="7" t="s">
        <v>1125</v>
      </c>
      <c r="O336" s="7" t="s">
        <v>736</v>
      </c>
      <c r="P336" s="7">
        <v>0</v>
      </c>
      <c r="Q336" s="7" t="s">
        <v>1126</v>
      </c>
      <c r="R336" s="131">
        <v>0</v>
      </c>
      <c r="S336" s="93">
        <f t="shared" si="120"/>
        <v>0</v>
      </c>
      <c r="T336" s="93">
        <v>100</v>
      </c>
      <c r="U336" s="93">
        <v>0</v>
      </c>
      <c r="V336" s="131">
        <v>0</v>
      </c>
      <c r="W336" s="154">
        <f t="shared" si="121"/>
        <v>0</v>
      </c>
      <c r="X336" s="94">
        <v>0</v>
      </c>
      <c r="Y336" s="94">
        <f t="shared" si="122"/>
        <v>0</v>
      </c>
      <c r="Z336" s="94">
        <v>0</v>
      </c>
      <c r="AA336" s="155">
        <v>30</v>
      </c>
      <c r="AB336" s="94">
        <f t="shared" si="123"/>
        <v>50</v>
      </c>
      <c r="AC336" s="132">
        <v>20</v>
      </c>
      <c r="AD336" s="94">
        <v>0</v>
      </c>
      <c r="AE336" s="94">
        <f t="shared" si="124"/>
        <v>0</v>
      </c>
      <c r="AF336" s="132">
        <v>0</v>
      </c>
      <c r="AG336" s="7" t="s">
        <v>69</v>
      </c>
      <c r="AH336" s="28" t="s">
        <v>1127</v>
      </c>
      <c r="AI336" s="95" t="s">
        <v>1128</v>
      </c>
      <c r="AJ336" s="95"/>
      <c r="AN336" s="37"/>
      <c r="AO336" s="37"/>
      <c r="AP336" s="37"/>
      <c r="AQ336" s="37"/>
      <c r="AW336" s="37"/>
      <c r="AX336" s="37"/>
      <c r="AY336" s="37"/>
      <c r="AZ336" s="37"/>
    </row>
    <row r="337" spans="1:52" s="7" customFormat="1">
      <c r="A337" s="7" t="s">
        <v>1131</v>
      </c>
      <c r="B337" s="91" t="s">
        <v>1132</v>
      </c>
      <c r="C337" s="92" t="s">
        <v>732</v>
      </c>
      <c r="D337" s="92" t="s">
        <v>642</v>
      </c>
      <c r="E337" s="7" t="s">
        <v>643</v>
      </c>
      <c r="G337" s="7" t="s">
        <v>1122</v>
      </c>
      <c r="H337" s="7" t="s">
        <v>1123</v>
      </c>
      <c r="J337" s="7">
        <v>250</v>
      </c>
      <c r="K337" s="7">
        <v>500</v>
      </c>
      <c r="L337" s="7" t="s">
        <v>64</v>
      </c>
      <c r="M337" s="7" t="s">
        <v>1124</v>
      </c>
      <c r="N337" s="7" t="s">
        <v>1133</v>
      </c>
      <c r="O337" s="7" t="s">
        <v>736</v>
      </c>
      <c r="P337" s="7">
        <v>0</v>
      </c>
      <c r="Q337" s="7" t="s">
        <v>1126</v>
      </c>
      <c r="R337" s="131">
        <v>0</v>
      </c>
      <c r="S337" s="93">
        <f t="shared" si="120"/>
        <v>0</v>
      </c>
      <c r="T337" s="93">
        <v>100</v>
      </c>
      <c r="U337" s="93">
        <v>0</v>
      </c>
      <c r="V337" s="131">
        <v>0</v>
      </c>
      <c r="W337" s="154">
        <f t="shared" si="121"/>
        <v>0</v>
      </c>
      <c r="X337" s="94">
        <v>0</v>
      </c>
      <c r="Y337" s="94">
        <f t="shared" si="122"/>
        <v>0</v>
      </c>
      <c r="Z337" s="94">
        <v>0</v>
      </c>
      <c r="AA337" s="155">
        <v>23</v>
      </c>
      <c r="AB337" s="94">
        <f t="shared" si="123"/>
        <v>59</v>
      </c>
      <c r="AC337" s="132">
        <v>18</v>
      </c>
      <c r="AD337" s="94">
        <v>0</v>
      </c>
      <c r="AE337" s="94">
        <f t="shared" si="124"/>
        <v>0</v>
      </c>
      <c r="AF337" s="132">
        <v>0</v>
      </c>
      <c r="AG337" s="7" t="s">
        <v>69</v>
      </c>
      <c r="AH337" s="28" t="s">
        <v>1127</v>
      </c>
      <c r="AI337" s="95" t="s">
        <v>1128</v>
      </c>
      <c r="AJ337" s="95"/>
      <c r="AN337" s="37"/>
      <c r="AO337" s="37"/>
      <c r="AP337" s="37"/>
      <c r="AQ337" s="37"/>
      <c r="AW337" s="37"/>
      <c r="AX337" s="37"/>
      <c r="AY337" s="37"/>
      <c r="AZ337" s="37"/>
    </row>
    <row r="338" spans="1:52" s="7" customFormat="1">
      <c r="A338" s="7" t="s">
        <v>1134</v>
      </c>
      <c r="B338" s="91" t="s">
        <v>1135</v>
      </c>
      <c r="C338" s="92" t="s">
        <v>162</v>
      </c>
      <c r="D338" s="92" t="s">
        <v>279</v>
      </c>
      <c r="E338" s="7" t="s">
        <v>643</v>
      </c>
      <c r="G338" s="7" t="s">
        <v>755</v>
      </c>
      <c r="H338" s="7" t="s">
        <v>1136</v>
      </c>
      <c r="J338" s="7">
        <v>0</v>
      </c>
      <c r="K338" s="7">
        <v>125</v>
      </c>
      <c r="L338" s="7" t="s">
        <v>64</v>
      </c>
      <c r="M338" s="7" t="s">
        <v>65</v>
      </c>
      <c r="N338" s="7" t="s">
        <v>846</v>
      </c>
      <c r="O338" s="7" t="s">
        <v>847</v>
      </c>
      <c r="P338" s="7">
        <v>672</v>
      </c>
      <c r="Q338" s="7" t="s">
        <v>848</v>
      </c>
      <c r="R338" s="131">
        <v>0</v>
      </c>
      <c r="S338" s="93">
        <f t="shared" si="120"/>
        <v>0</v>
      </c>
      <c r="T338" s="93">
        <v>100</v>
      </c>
      <c r="U338" s="93">
        <v>0</v>
      </c>
      <c r="V338" s="131">
        <v>0</v>
      </c>
      <c r="W338" s="154">
        <f t="shared" si="121"/>
        <v>0</v>
      </c>
      <c r="X338" s="94">
        <v>0</v>
      </c>
      <c r="Y338" s="94">
        <f t="shared" si="122"/>
        <v>0</v>
      </c>
      <c r="Z338" s="94">
        <v>0</v>
      </c>
      <c r="AA338" s="155">
        <f>INDEX(Chemical_analyses!$A:$L, MATCH($P338, Chemical_analyses!$A:$A), 9)/$R$2/(INDEX(Chemical_analyses!$A:$L, MATCH($P338, Chemical_analyses!$A:$A), 9)/$R$2+INDEX(Chemical_analyses!$A:$L, MATCH($P338, Chemical_analyses!$A:$A), 11)/$S$2+INDEX(Chemical_analyses!$A:$L, MATCH($P338, Chemical_analyses!$A:$A), 12)/$T$2)*100</f>
        <v>43.164550823757658</v>
      </c>
      <c r="AB338" s="94">
        <f t="shared" si="123"/>
        <v>33.321807299174395</v>
      </c>
      <c r="AC338" s="132">
        <f>INDEX(Chemical_analyses!$A:$L, MATCH($P338, Chemical_analyses!$A:$A), 12)/$T$2/(INDEX(Chemical_analyses!$A:$L, MATCH($P338, Chemical_analyses!$A:$A), 9)/$R$2+INDEX(Chemical_analyses!$A:$L, MATCH($P338, Chemical_analyses!$A:$A), 11)/$S$2+INDEX(Chemical_analyses!$A:$L, MATCH($P338, Chemical_analyses!$A:$A), 12)/$T$2)*100</f>
        <v>23.513641877067943</v>
      </c>
      <c r="AD338" s="94">
        <v>0</v>
      </c>
      <c r="AE338" s="94">
        <f t="shared" si="124"/>
        <v>0</v>
      </c>
      <c r="AF338" s="132">
        <v>0</v>
      </c>
      <c r="AG338" s="7" t="s">
        <v>69</v>
      </c>
      <c r="AH338" s="95" t="str">
        <f>_xlfn.CONCAT("FeO: ", INDEX(Chemical_analyses!$A:$M, MATCH($P338, Chemical_analyses!$A:$A), 9), ", MgO: ", INDEX(Chemical_analyses!$A:$M, MATCH($P338, Chemical_analyses!$A:$A), 11), ", CaO: ", INDEX(Chemical_analyses!$A:$M, MATCH($P338, Chemical_analyses!$A:$A), 12), ", MnO: ", INDEX(Chemical_analyses!$A:$M, MATCH($P338, Chemical_analyses!$A:$A), 10), ", NaO2: ", INDEX(Chemical_analyses!$A:$M, MATCH($P338, Chemical_analyses!$A:$A), 13), ", Fe2O3: ", INDEX(Chemical_analyses!$A:$M, MATCH($P338, Chemical_analyses!$A:$A), 8), ", Al2O3: ", INDEX(Chemical_analyses!$A:$M, MATCH($P338, Chemical_analyses!$A:$A), 6))</f>
        <v>FeO: 25.4, MgO: 11, CaO: 10.8, MnO: 0.38, NaO2: 0.03, Fe2O3: 0, Al2O3: 1.52</v>
      </c>
      <c r="AI338" s="95"/>
      <c r="AJ338" s="95"/>
      <c r="AN338" s="37"/>
      <c r="AO338" s="37"/>
      <c r="AP338" s="37"/>
      <c r="AQ338" s="37"/>
      <c r="AW338" s="37"/>
      <c r="AX338" s="37"/>
      <c r="AY338" s="37"/>
      <c r="AZ338" s="37"/>
    </row>
    <row r="339" spans="1:52" s="7" customFormat="1">
      <c r="A339" s="7" t="s">
        <v>1137</v>
      </c>
      <c r="B339" s="91" t="s">
        <v>1138</v>
      </c>
      <c r="C339" s="92" t="s">
        <v>162</v>
      </c>
      <c r="D339" s="92" t="s">
        <v>279</v>
      </c>
      <c r="E339" s="7" t="s">
        <v>643</v>
      </c>
      <c r="G339" s="7" t="s">
        <v>755</v>
      </c>
      <c r="H339" s="7" t="s">
        <v>1139</v>
      </c>
      <c r="J339" s="7">
        <v>0</v>
      </c>
      <c r="K339" s="7">
        <v>125</v>
      </c>
      <c r="L339" s="7" t="s">
        <v>64</v>
      </c>
      <c r="M339" s="7" t="s">
        <v>65</v>
      </c>
      <c r="N339" s="7" t="s">
        <v>846</v>
      </c>
      <c r="O339" s="7" t="s">
        <v>847</v>
      </c>
      <c r="P339" s="7">
        <v>673</v>
      </c>
      <c r="Q339" s="7" t="s">
        <v>848</v>
      </c>
      <c r="R339" s="131">
        <v>0</v>
      </c>
      <c r="S339" s="93">
        <f t="shared" si="120"/>
        <v>0</v>
      </c>
      <c r="T339" s="93">
        <v>100</v>
      </c>
      <c r="U339" s="93">
        <v>0</v>
      </c>
      <c r="V339" s="131">
        <v>0</v>
      </c>
      <c r="W339" s="154">
        <f t="shared" si="121"/>
        <v>0</v>
      </c>
      <c r="X339" s="94">
        <v>0</v>
      </c>
      <c r="Y339" s="94">
        <f t="shared" si="122"/>
        <v>0</v>
      </c>
      <c r="Z339" s="94">
        <v>0</v>
      </c>
      <c r="AA339" s="155">
        <f>INDEX(Chemical_analyses!$A:$L, MATCH($P339, Chemical_analyses!$A:$A), 9)/$R$2/(INDEX(Chemical_analyses!$A:$L, MATCH($P339, Chemical_analyses!$A:$A), 9)/$R$2+INDEX(Chemical_analyses!$A:$L, MATCH($P339, Chemical_analyses!$A:$A), 11)/$S$2+INDEX(Chemical_analyses!$A:$L, MATCH($P339, Chemical_analyses!$A:$A), 12)/$T$2)*100</f>
        <v>32.937122028872118</v>
      </c>
      <c r="AB339" s="94">
        <f t="shared" si="123"/>
        <v>52.927703993093225</v>
      </c>
      <c r="AC339" s="132">
        <f>INDEX(Chemical_analyses!$A:$L, MATCH($P339, Chemical_analyses!$A:$A), 12)/$T$2/(INDEX(Chemical_analyses!$A:$L, MATCH($P339, Chemical_analyses!$A:$A), 9)/$R$2+INDEX(Chemical_analyses!$A:$L, MATCH($P339, Chemical_analyses!$A:$A), 11)/$S$2+INDEX(Chemical_analyses!$A:$L, MATCH($P339, Chemical_analyses!$A:$A), 12)/$T$2)*100</f>
        <v>14.135173978034651</v>
      </c>
      <c r="AD339" s="94">
        <v>0</v>
      </c>
      <c r="AE339" s="94">
        <f t="shared" si="124"/>
        <v>0</v>
      </c>
      <c r="AF339" s="132">
        <v>0</v>
      </c>
      <c r="AG339" s="7" t="s">
        <v>69</v>
      </c>
      <c r="AH339" s="95" t="str">
        <f>_xlfn.CONCAT("FeO: ", INDEX(Chemical_analyses!$A:$M, MATCH($P339, Chemical_analyses!$A:$A), 9), ", MgO: ", INDEX(Chemical_analyses!$A:$M, MATCH($P339, Chemical_analyses!$A:$A), 11), ", CaO: ", INDEX(Chemical_analyses!$A:$M, MATCH($P339, Chemical_analyses!$A:$A), 12), ", MnO: ", INDEX(Chemical_analyses!$A:$M, MATCH($P339, Chemical_analyses!$A:$A), 10), ", NaO2: ", INDEX(Chemical_analyses!$A:$M, MATCH($P339, Chemical_analyses!$A:$A), 13), ", Fe2O3: ", INDEX(Chemical_analyses!$A:$M, MATCH($P339, Chemical_analyses!$A:$A), 8), ", Al2O3: ", INDEX(Chemical_analyses!$A:$M, MATCH($P339, Chemical_analyses!$A:$A), 6))</f>
        <v>FeO: 20.3, MgO: 18.3, CaO: 6.8, MnO: 0.35, NaO2: 0.03, Fe2O3: 0, Al2O3: 1.35</v>
      </c>
      <c r="AI339" s="95"/>
      <c r="AJ339" s="95"/>
      <c r="AN339" s="37"/>
      <c r="AO339" s="37"/>
      <c r="AP339" s="37"/>
      <c r="AQ339" s="37"/>
      <c r="AW339" s="37"/>
      <c r="AX339" s="37"/>
      <c r="AY339" s="37"/>
      <c r="AZ339" s="37"/>
    </row>
    <row r="340" spans="1:52" s="7" customFormat="1">
      <c r="A340" s="7" t="s">
        <v>1140</v>
      </c>
      <c r="B340" s="91" t="s">
        <v>1141</v>
      </c>
      <c r="C340" s="92" t="s">
        <v>162</v>
      </c>
      <c r="D340" s="92" t="s">
        <v>279</v>
      </c>
      <c r="E340" s="7" t="s">
        <v>643</v>
      </c>
      <c r="G340" s="7" t="s">
        <v>755</v>
      </c>
      <c r="H340" s="7" t="s">
        <v>1142</v>
      </c>
      <c r="J340" s="7">
        <v>0</v>
      </c>
      <c r="K340" s="7">
        <v>125</v>
      </c>
      <c r="L340" s="7" t="s">
        <v>64</v>
      </c>
      <c r="M340" s="7" t="s">
        <v>65</v>
      </c>
      <c r="N340" s="7" t="s">
        <v>846</v>
      </c>
      <c r="O340" s="7" t="s">
        <v>847</v>
      </c>
      <c r="P340" s="7">
        <v>663</v>
      </c>
      <c r="Q340" s="7" t="s">
        <v>848</v>
      </c>
      <c r="R340" s="131">
        <v>0</v>
      </c>
      <c r="S340" s="93">
        <f t="shared" si="120"/>
        <v>0</v>
      </c>
      <c r="T340" s="93">
        <v>100</v>
      </c>
      <c r="U340" s="93">
        <v>0</v>
      </c>
      <c r="V340" s="155">
        <v>0</v>
      </c>
      <c r="W340" s="154">
        <f t="shared" si="121"/>
        <v>0</v>
      </c>
      <c r="X340" s="94">
        <v>0</v>
      </c>
      <c r="Y340" s="94">
        <f t="shared" si="122"/>
        <v>0</v>
      </c>
      <c r="Z340" s="94">
        <v>0</v>
      </c>
      <c r="AA340" s="155">
        <f>INDEX(Chemical_analyses!$A:$L, MATCH($P340, Chemical_analyses!$A:$A), 9)/$R$2/(INDEX(Chemical_analyses!$A:$L, MATCH($P340, Chemical_analyses!$A:$A), 9)/$R$2+INDEX(Chemical_analyses!$A:$L, MATCH($P340, Chemical_analyses!$A:$A), 11)/$S$2+INDEX(Chemical_analyses!$A:$L, MATCH($P340, Chemical_analyses!$A:$A), 12)/$T$2)*100</f>
        <v>22.434921799473717</v>
      </c>
      <c r="AB340" s="94">
        <f t="shared" si="123"/>
        <v>43.321612860089125</v>
      </c>
      <c r="AC340" s="132">
        <f>INDEX(Chemical_analyses!$A:$L, MATCH($P340, Chemical_analyses!$A:$A), 12)/$T$2/(INDEX(Chemical_analyses!$A:$L, MATCH($P340, Chemical_analyses!$A:$A), 9)/$R$2+INDEX(Chemical_analyses!$A:$L, MATCH($P340, Chemical_analyses!$A:$A), 11)/$S$2+INDEX(Chemical_analyses!$A:$L, MATCH($P340, Chemical_analyses!$A:$A), 12)/$T$2)*100</f>
        <v>34.243465340437162</v>
      </c>
      <c r="AD340" s="94">
        <v>0</v>
      </c>
      <c r="AE340" s="94">
        <f t="shared" si="124"/>
        <v>0</v>
      </c>
      <c r="AF340" s="132">
        <v>0</v>
      </c>
      <c r="AG340" s="7" t="s">
        <v>69</v>
      </c>
      <c r="AH340" s="95" t="str">
        <f>_xlfn.CONCAT("FeO: ", INDEX(Chemical_analyses!$A:$M, MATCH($P340, Chemical_analyses!$A:$A), 9), ", MgO: ", INDEX(Chemical_analyses!$A:$M, MATCH($P340, Chemical_analyses!$A:$A), 11), ", CaO: ", INDEX(Chemical_analyses!$A:$M, MATCH($P340, Chemical_analyses!$A:$A), 12), ", MnO: ", INDEX(Chemical_analyses!$A:$M, MATCH($P340, Chemical_analyses!$A:$A), 10), ", NaO2: ", INDEX(Chemical_analyses!$A:$M, MATCH($P340, Chemical_analyses!$A:$A), 13), ", Fe2O3: ", INDEX(Chemical_analyses!$A:$M, MATCH($P340, Chemical_analyses!$A:$A), 8), ", Al2O3: ", INDEX(Chemical_analyses!$A:$M, MATCH($P340, Chemical_analyses!$A:$A), 6))</f>
        <v>FeO: 13.69, MgO: 14.83, CaO: 16.31, MnO: 0.23, NaO2: 0.02, Fe2O3: 0, Al2O3: 2.73</v>
      </c>
      <c r="AI340" s="95"/>
      <c r="AJ340" s="95"/>
      <c r="AN340" s="37"/>
      <c r="AO340" s="37"/>
      <c r="AP340" s="37"/>
      <c r="AQ340" s="37"/>
      <c r="AW340" s="37"/>
      <c r="AX340" s="37"/>
      <c r="AY340" s="37"/>
      <c r="AZ340" s="37"/>
    </row>
    <row r="341" spans="1:52" s="7" customFormat="1">
      <c r="A341" s="7" t="s">
        <v>1143</v>
      </c>
      <c r="B341" s="91" t="s">
        <v>1144</v>
      </c>
      <c r="C341" s="92" t="s">
        <v>162</v>
      </c>
      <c r="D341" s="92" t="s">
        <v>279</v>
      </c>
      <c r="E341" s="7" t="s">
        <v>643</v>
      </c>
      <c r="G341" s="7" t="s">
        <v>755</v>
      </c>
      <c r="H341" s="7" t="s">
        <v>1145</v>
      </c>
      <c r="J341" s="7">
        <v>0</v>
      </c>
      <c r="K341" s="7">
        <v>125</v>
      </c>
      <c r="L341" s="7" t="s">
        <v>64</v>
      </c>
      <c r="M341" s="7" t="s">
        <v>65</v>
      </c>
      <c r="N341" s="7" t="s">
        <v>846</v>
      </c>
      <c r="O341" s="7" t="s">
        <v>847</v>
      </c>
      <c r="P341" s="7">
        <v>664</v>
      </c>
      <c r="Q341" s="7" t="s">
        <v>848</v>
      </c>
      <c r="R341" s="131">
        <v>0</v>
      </c>
      <c r="S341" s="93">
        <f t="shared" si="120"/>
        <v>0</v>
      </c>
      <c r="T341" s="93">
        <v>100</v>
      </c>
      <c r="U341" s="93">
        <v>0</v>
      </c>
      <c r="V341" s="131">
        <v>0</v>
      </c>
      <c r="W341" s="154">
        <f t="shared" si="121"/>
        <v>0</v>
      </c>
      <c r="X341" s="94">
        <v>0</v>
      </c>
      <c r="Y341" s="94">
        <f t="shared" si="122"/>
        <v>0</v>
      </c>
      <c r="Z341" s="94">
        <v>0</v>
      </c>
      <c r="AA341" s="155">
        <f>INDEX(Chemical_analyses!$A:$L, MATCH($P341, Chemical_analyses!$A:$A), 9)/$R$2/(INDEX(Chemical_analyses!$A:$L, MATCH($P341, Chemical_analyses!$A:$A), 9)/$R$2+INDEX(Chemical_analyses!$A:$L, MATCH($P341, Chemical_analyses!$A:$A), 11)/$S$2+INDEX(Chemical_analyses!$A:$L, MATCH($P341, Chemical_analyses!$A:$A), 12)/$T$2)*100</f>
        <v>30.330210802148422</v>
      </c>
      <c r="AB341" s="94">
        <f t="shared" si="123"/>
        <v>59.899366064623095</v>
      </c>
      <c r="AC341" s="132">
        <f>INDEX(Chemical_analyses!$A:$L, MATCH($P341, Chemical_analyses!$A:$A), 12)/$T$2/(INDEX(Chemical_analyses!$A:$L, MATCH($P341, Chemical_analyses!$A:$A), 9)/$R$2+INDEX(Chemical_analyses!$A:$L, MATCH($P341, Chemical_analyses!$A:$A), 11)/$S$2+INDEX(Chemical_analyses!$A:$L, MATCH($P341, Chemical_analyses!$A:$A), 12)/$T$2)*100</f>
        <v>9.7704231332284763</v>
      </c>
      <c r="AD341" s="94">
        <v>0</v>
      </c>
      <c r="AE341" s="94">
        <f t="shared" si="124"/>
        <v>0</v>
      </c>
      <c r="AF341" s="132">
        <v>0</v>
      </c>
      <c r="AG341" s="7" t="s">
        <v>69</v>
      </c>
      <c r="AH341" s="95" t="str">
        <f>_xlfn.CONCAT("FeO: ", INDEX(Chemical_analyses!$A:$M, MATCH($P341, Chemical_analyses!$A:$A), 9), ", MgO: ", INDEX(Chemical_analyses!$A:$M, MATCH($P341, Chemical_analyses!$A:$A), 11), ", CaO: ", INDEX(Chemical_analyses!$A:$M, MATCH($P341, Chemical_analyses!$A:$A), 12), ", MnO: ", INDEX(Chemical_analyses!$A:$M, MATCH($P341, Chemical_analyses!$A:$A), 10), ", NaO2: ", INDEX(Chemical_analyses!$A:$M, MATCH($P341, Chemical_analyses!$A:$A), 13), ", Fe2O3: ", INDEX(Chemical_analyses!$A:$M, MATCH($P341, Chemical_analyses!$A:$A), 8), ", Al2O3: ", INDEX(Chemical_analyses!$A:$M, MATCH($P341, Chemical_analyses!$A:$A), 6))</f>
        <v>FeO: 19.09, MgO: 21.15, CaO: 4.8, MnO: 0.33, NaO2: 0.02, Fe2O3: 0, Al2O3: 1.33</v>
      </c>
      <c r="AN341" s="37"/>
      <c r="AO341" s="37"/>
      <c r="AP341" s="37"/>
      <c r="AQ341" s="37"/>
      <c r="AW341" s="37"/>
      <c r="AX341" s="37"/>
      <c r="AY341" s="37"/>
      <c r="AZ341" s="37"/>
    </row>
    <row r="342" spans="1:52" s="7" customFormat="1">
      <c r="A342" s="7" t="s">
        <v>1146</v>
      </c>
      <c r="B342" s="91" t="s">
        <v>1147</v>
      </c>
      <c r="C342" s="92" t="s">
        <v>162</v>
      </c>
      <c r="D342" s="92" t="s">
        <v>279</v>
      </c>
      <c r="E342" s="7" t="s">
        <v>643</v>
      </c>
      <c r="G342" s="7" t="s">
        <v>755</v>
      </c>
      <c r="H342" s="7" t="s">
        <v>970</v>
      </c>
      <c r="J342" s="7">
        <v>0</v>
      </c>
      <c r="K342" s="7">
        <v>125</v>
      </c>
      <c r="L342" s="7" t="s">
        <v>64</v>
      </c>
      <c r="M342" s="7" t="s">
        <v>65</v>
      </c>
      <c r="N342" s="7" t="s">
        <v>294</v>
      </c>
      <c r="O342" s="7" t="s">
        <v>847</v>
      </c>
      <c r="P342" s="7">
        <v>676</v>
      </c>
      <c r="Q342" s="7" t="s">
        <v>853</v>
      </c>
      <c r="R342" s="131">
        <v>0</v>
      </c>
      <c r="S342" s="93">
        <f t="shared" si="120"/>
        <v>0</v>
      </c>
      <c r="T342" s="93">
        <v>100</v>
      </c>
      <c r="U342" s="93">
        <v>0</v>
      </c>
      <c r="V342" s="131">
        <v>0</v>
      </c>
      <c r="W342" s="154">
        <f t="shared" si="121"/>
        <v>0</v>
      </c>
      <c r="X342" s="94">
        <v>0</v>
      </c>
      <c r="Y342" s="94">
        <f t="shared" si="122"/>
        <v>0</v>
      </c>
      <c r="Z342" s="94">
        <v>0</v>
      </c>
      <c r="AA342" s="155">
        <f>INDEX(Chemical_analyses!$A:$L, MATCH($P342, Chemical_analyses!$A:$A), 9)/$R$2/(INDEX(Chemical_analyses!$A:$L, MATCH($P342, Chemical_analyses!$A:$A), 9)/$R$2+INDEX(Chemical_analyses!$A:$L, MATCH($P342, Chemical_analyses!$A:$A), 11)/$S$2+INDEX(Chemical_analyses!$A:$L, MATCH($P342, Chemical_analyses!$A:$A), 12)/$T$2)*100</f>
        <v>24.024371326926467</v>
      </c>
      <c r="AB342" s="94">
        <f t="shared" si="123"/>
        <v>43.710733969167478</v>
      </c>
      <c r="AC342" s="132">
        <f>INDEX(Chemical_analyses!$A:$L, MATCH($P342, Chemical_analyses!$A:$A), 12)/$T$2/(INDEX(Chemical_analyses!$A:$L, MATCH($P342, Chemical_analyses!$A:$A), 9)/$R$2+INDEX(Chemical_analyses!$A:$L, MATCH($P342, Chemical_analyses!$A:$A), 11)/$S$2+INDEX(Chemical_analyses!$A:$L, MATCH($P342, Chemical_analyses!$A:$A), 12)/$T$2)*100</f>
        <v>32.264894703906052</v>
      </c>
      <c r="AD342" s="94">
        <v>0</v>
      </c>
      <c r="AE342" s="94">
        <f t="shared" si="124"/>
        <v>0</v>
      </c>
      <c r="AF342" s="132">
        <v>0</v>
      </c>
      <c r="AG342" s="7" t="s">
        <v>69</v>
      </c>
      <c r="AH342" s="95" t="str">
        <f>_xlfn.CONCAT("FeO: ", INDEX(Chemical_analyses!$A:$M, MATCH($P342, Chemical_analyses!$A:$A), 9), ", MgO: ", INDEX(Chemical_analyses!$A:$M, MATCH($P342, Chemical_analyses!$A:$A), 11), ", CaO: ", INDEX(Chemical_analyses!$A:$M, MATCH($P342, Chemical_analyses!$A:$A), 12), ", MnO: ", INDEX(Chemical_analyses!$A:$M, MATCH($P342, Chemical_analyses!$A:$A), 10), ", NaO2: ", INDEX(Chemical_analyses!$A:$M, MATCH($P342, Chemical_analyses!$A:$A), 13), ", Fe2O3: ", INDEX(Chemical_analyses!$A:$M, MATCH($P342, Chemical_analyses!$A:$A), 8), ", Al2O3: ", INDEX(Chemical_analyses!$A:$M, MATCH($P342, Chemical_analyses!$A:$A), 6))</f>
        <v>FeO: 14.5, MgO: 14.8, CaO: 15.2, MnO: 0.3, NaO2: 0.08, Fe2O3: 0, Al2O3: 2.47</v>
      </c>
      <c r="AI342" s="95"/>
      <c r="AJ342" s="95"/>
      <c r="AN342" s="37"/>
      <c r="AO342" s="37"/>
      <c r="AP342" s="37"/>
      <c r="AQ342" s="37"/>
      <c r="AW342" s="37"/>
      <c r="AX342" s="37"/>
      <c r="AY342" s="37"/>
      <c r="AZ342" s="37"/>
    </row>
    <row r="343" spans="1:52" s="7" customFormat="1">
      <c r="A343" s="7" t="s">
        <v>1148</v>
      </c>
      <c r="B343" s="91" t="s">
        <v>1149</v>
      </c>
      <c r="C343" s="92" t="s">
        <v>162</v>
      </c>
      <c r="D343" s="92" t="s">
        <v>279</v>
      </c>
      <c r="E343" s="7" t="s">
        <v>643</v>
      </c>
      <c r="G343" s="7" t="s">
        <v>755</v>
      </c>
      <c r="H343" s="7" t="s">
        <v>1123</v>
      </c>
      <c r="J343" s="7">
        <v>0</v>
      </c>
      <c r="K343" s="7">
        <v>125</v>
      </c>
      <c r="L343" s="7" t="s">
        <v>64</v>
      </c>
      <c r="M343" s="7" t="s">
        <v>65</v>
      </c>
      <c r="N343" s="7" t="s">
        <v>294</v>
      </c>
      <c r="O343" s="7" t="s">
        <v>847</v>
      </c>
      <c r="P343" s="7">
        <v>677</v>
      </c>
      <c r="Q343" s="7" t="s">
        <v>853</v>
      </c>
      <c r="R343" s="131">
        <v>0</v>
      </c>
      <c r="S343" s="93">
        <f t="shared" si="120"/>
        <v>0</v>
      </c>
      <c r="T343" s="93">
        <v>100</v>
      </c>
      <c r="U343" s="93">
        <v>0</v>
      </c>
      <c r="V343" s="131">
        <v>0</v>
      </c>
      <c r="W343" s="154">
        <f t="shared" si="121"/>
        <v>0</v>
      </c>
      <c r="X343" s="94">
        <v>0</v>
      </c>
      <c r="Y343" s="94">
        <f t="shared" si="122"/>
        <v>0</v>
      </c>
      <c r="Z343" s="94">
        <v>0</v>
      </c>
      <c r="AA343" s="155">
        <f>INDEX(Chemical_analyses!$A:$L, MATCH($P343, Chemical_analyses!$A:$A), 9)/$R$2/(INDEX(Chemical_analyses!$A:$L, MATCH($P343, Chemical_analyses!$A:$A), 9)/$R$2+INDEX(Chemical_analyses!$A:$L, MATCH($P343, Chemical_analyses!$A:$A), 11)/$S$2+INDEX(Chemical_analyses!$A:$L, MATCH($P343, Chemical_analyses!$A:$A), 12)/$T$2)*100</f>
        <v>31.843586823547405</v>
      </c>
      <c r="AB343" s="94">
        <f t="shared" si="123"/>
        <v>55.633259169976697</v>
      </c>
      <c r="AC343" s="132">
        <f>INDEX(Chemical_analyses!$A:$L, MATCH($P343, Chemical_analyses!$A:$A), 12)/$T$2/(INDEX(Chemical_analyses!$A:$L, MATCH($P343, Chemical_analyses!$A:$A), 9)/$R$2+INDEX(Chemical_analyses!$A:$L, MATCH($P343, Chemical_analyses!$A:$A), 11)/$S$2+INDEX(Chemical_analyses!$A:$L, MATCH($P343, Chemical_analyses!$A:$A), 12)/$T$2)*100</f>
        <v>12.52315400647589</v>
      </c>
      <c r="AD343" s="94">
        <v>0</v>
      </c>
      <c r="AE343" s="94">
        <f t="shared" si="124"/>
        <v>0</v>
      </c>
      <c r="AF343" s="132">
        <v>0</v>
      </c>
      <c r="AG343" s="7" t="s">
        <v>69</v>
      </c>
      <c r="AH343" s="95" t="str">
        <f>_xlfn.CONCAT("FeO: ", INDEX(Chemical_analyses!$A:$M, MATCH($P343, Chemical_analyses!$A:$A), 9), ", MgO: ", INDEX(Chemical_analyses!$A:$M, MATCH($P343, Chemical_analyses!$A:$A), 11), ", CaO: ", INDEX(Chemical_analyses!$A:$M, MATCH($P343, Chemical_analyses!$A:$A), 12), ", MnO: ", INDEX(Chemical_analyses!$A:$M, MATCH($P343, Chemical_analyses!$A:$A), 10), ", NaO2: ", INDEX(Chemical_analyses!$A:$M, MATCH($P343, Chemical_analyses!$A:$A), 13), ", Fe2O3: ", INDEX(Chemical_analyses!$A:$M, MATCH($P343, Chemical_analyses!$A:$A), 8), ", Al2O3: ", INDEX(Chemical_analyses!$A:$M, MATCH($P343, Chemical_analyses!$A:$A), 6))</f>
        <v>FeO: 20.1, MgO: 19.7, CaO: 6.17, MnO: 0.37, NaO2: 0.03, Fe2O3: 0, Al2O3: 1.2</v>
      </c>
      <c r="AI343" s="95"/>
      <c r="AJ343" s="95"/>
      <c r="AN343" s="37"/>
      <c r="AO343" s="37"/>
      <c r="AP343" s="37"/>
      <c r="AQ343" s="37"/>
      <c r="AW343" s="37"/>
      <c r="AX343" s="37"/>
      <c r="AY343" s="37"/>
      <c r="AZ343" s="37"/>
    </row>
    <row r="344" spans="1:52" s="7" customFormat="1">
      <c r="A344" s="7" t="s">
        <v>1150</v>
      </c>
      <c r="B344" s="91" t="s">
        <v>1151</v>
      </c>
      <c r="C344" s="92" t="s">
        <v>162</v>
      </c>
      <c r="D344" s="92" t="s">
        <v>279</v>
      </c>
      <c r="E344" s="7" t="s">
        <v>643</v>
      </c>
      <c r="G344" s="7" t="s">
        <v>755</v>
      </c>
      <c r="H344" s="7" t="s">
        <v>1142</v>
      </c>
      <c r="J344" s="7">
        <v>0</v>
      </c>
      <c r="K344" s="7">
        <v>125</v>
      </c>
      <c r="L344" s="7" t="s">
        <v>64</v>
      </c>
      <c r="M344" s="7" t="s">
        <v>65</v>
      </c>
      <c r="N344" s="7" t="s">
        <v>294</v>
      </c>
      <c r="O344" s="7" t="s">
        <v>847</v>
      </c>
      <c r="P344" s="7">
        <v>666</v>
      </c>
      <c r="Q344" s="7" t="s">
        <v>853</v>
      </c>
      <c r="R344" s="131">
        <v>0</v>
      </c>
      <c r="S344" s="93">
        <f t="shared" si="120"/>
        <v>0</v>
      </c>
      <c r="T344" s="93">
        <v>100</v>
      </c>
      <c r="U344" s="93">
        <v>0</v>
      </c>
      <c r="V344" s="131">
        <v>0</v>
      </c>
      <c r="W344" s="154">
        <f t="shared" si="121"/>
        <v>0</v>
      </c>
      <c r="X344" s="94">
        <v>0</v>
      </c>
      <c r="Y344" s="94">
        <f t="shared" si="122"/>
        <v>0</v>
      </c>
      <c r="Z344" s="94">
        <v>0</v>
      </c>
      <c r="AA344" s="155">
        <f>INDEX(Chemical_analyses!$A:$L, MATCH($P344, Chemical_analyses!$A:$A), 9)/$R$2/(INDEX(Chemical_analyses!$A:$L, MATCH($P344, Chemical_analyses!$A:$A), 9)/$R$2+INDEX(Chemical_analyses!$A:$L, MATCH($P344, Chemical_analyses!$A:$A), 11)/$S$2+INDEX(Chemical_analyses!$A:$L, MATCH($P344, Chemical_analyses!$A:$A), 12)/$T$2)*100</f>
        <v>13.828873388546398</v>
      </c>
      <c r="AB344" s="94">
        <f t="shared" si="123"/>
        <v>43.564499598252318</v>
      </c>
      <c r="AC344" s="132">
        <f>INDEX(Chemical_analyses!$A:$L, MATCH($P344, Chemical_analyses!$A:$A), 12)/$T$2/(INDEX(Chemical_analyses!$A:$L, MATCH($P344, Chemical_analyses!$A:$A), 9)/$R$2+INDEX(Chemical_analyses!$A:$L, MATCH($P344, Chemical_analyses!$A:$A), 11)/$S$2+INDEX(Chemical_analyses!$A:$L, MATCH($P344, Chemical_analyses!$A:$A), 12)/$T$2)*100</f>
        <v>42.606627013201283</v>
      </c>
      <c r="AD344" s="94">
        <v>0</v>
      </c>
      <c r="AE344" s="94">
        <f t="shared" si="124"/>
        <v>0</v>
      </c>
      <c r="AF344" s="132">
        <v>0</v>
      </c>
      <c r="AG344" s="7" t="s">
        <v>69</v>
      </c>
      <c r="AH344" s="95" t="str">
        <f>_xlfn.CONCAT("FeO: ", INDEX(Chemical_analyses!$A:$M, MATCH($P344, Chemical_analyses!$A:$A), 9), ", MgO: ", INDEX(Chemical_analyses!$A:$M, MATCH($P344, Chemical_analyses!$A:$A), 11), ", CaO: ", INDEX(Chemical_analyses!$A:$M, MATCH($P344, Chemical_analyses!$A:$A), 12), ", MnO: ", INDEX(Chemical_analyses!$A:$M, MATCH($P344, Chemical_analyses!$A:$A), 10), ", NaO2: ", INDEX(Chemical_analyses!$A:$M, MATCH($P344, Chemical_analyses!$A:$A), 13), ", Fe2O3: ", INDEX(Chemical_analyses!$A:$M, MATCH($P344, Chemical_analyses!$A:$A), 8), ", Al2O3: ", INDEX(Chemical_analyses!$A:$M, MATCH($P344, Chemical_analyses!$A:$A), 6))</f>
        <v>FeO: 8.25, MgO: 14.58, CaO: 19.84, MnO: 0.16, NaO2: 0.1, Fe2O3: 0, Al2O3: 4.13</v>
      </c>
      <c r="AI344" s="95"/>
      <c r="AJ344" s="95"/>
      <c r="AN344" s="37"/>
      <c r="AO344" s="37"/>
      <c r="AP344" s="37"/>
      <c r="AQ344" s="37"/>
      <c r="AW344" s="37"/>
      <c r="AX344" s="37"/>
      <c r="AY344" s="37"/>
      <c r="AZ344" s="37"/>
    </row>
    <row r="345" spans="1:52" s="7" customFormat="1">
      <c r="A345" s="7" t="s">
        <v>1152</v>
      </c>
      <c r="B345" s="91" t="s">
        <v>1153</v>
      </c>
      <c r="C345" s="92" t="s">
        <v>162</v>
      </c>
      <c r="D345" s="92" t="s">
        <v>279</v>
      </c>
      <c r="E345" s="7" t="s">
        <v>643</v>
      </c>
      <c r="G345" s="7" t="s">
        <v>755</v>
      </c>
      <c r="H345" s="7" t="s">
        <v>1123</v>
      </c>
      <c r="J345" s="7">
        <v>0</v>
      </c>
      <c r="K345" s="7">
        <v>125</v>
      </c>
      <c r="L345" s="7" t="s">
        <v>64</v>
      </c>
      <c r="M345" s="7" t="s">
        <v>65</v>
      </c>
      <c r="N345" s="7" t="s">
        <v>294</v>
      </c>
      <c r="O345" s="7" t="s">
        <v>847</v>
      </c>
      <c r="P345" s="7">
        <v>667</v>
      </c>
      <c r="Q345" s="7" t="s">
        <v>853</v>
      </c>
      <c r="R345" s="131">
        <v>0</v>
      </c>
      <c r="S345" s="93">
        <f t="shared" si="120"/>
        <v>0</v>
      </c>
      <c r="T345" s="93">
        <v>100</v>
      </c>
      <c r="U345" s="93">
        <v>0</v>
      </c>
      <c r="V345" s="131">
        <v>0</v>
      </c>
      <c r="W345" s="154">
        <f t="shared" si="121"/>
        <v>0</v>
      </c>
      <c r="X345" s="94">
        <v>0</v>
      </c>
      <c r="Y345" s="94">
        <f t="shared" si="122"/>
        <v>0</v>
      </c>
      <c r="Z345" s="94">
        <v>0</v>
      </c>
      <c r="AA345" s="155">
        <f>INDEX(Chemical_analyses!$A:$L, MATCH($P345, Chemical_analyses!$A:$A), 9)/$R$2/(INDEX(Chemical_analyses!$A:$L, MATCH($P345, Chemical_analyses!$A:$A), 9)/$R$2+INDEX(Chemical_analyses!$A:$L, MATCH($P345, Chemical_analyses!$A:$A), 11)/$S$2+INDEX(Chemical_analyses!$A:$L, MATCH($P345, Chemical_analyses!$A:$A), 12)/$T$2)*100</f>
        <v>27.16773286162001</v>
      </c>
      <c r="AB345" s="94">
        <f t="shared" si="123"/>
        <v>65.307699821299749</v>
      </c>
      <c r="AC345" s="132">
        <f>INDEX(Chemical_analyses!$A:$L, MATCH($P345, Chemical_analyses!$A:$A), 12)/$T$2/(INDEX(Chemical_analyses!$A:$L, MATCH($P345, Chemical_analyses!$A:$A), 9)/$R$2+INDEX(Chemical_analyses!$A:$L, MATCH($P345, Chemical_analyses!$A:$A), 11)/$S$2+INDEX(Chemical_analyses!$A:$L, MATCH($P345, Chemical_analyses!$A:$A), 12)/$T$2)*100</f>
        <v>7.5245673170802396</v>
      </c>
      <c r="AD345" s="94">
        <v>0</v>
      </c>
      <c r="AE345" s="94">
        <f t="shared" si="124"/>
        <v>0</v>
      </c>
      <c r="AF345" s="132">
        <v>0</v>
      </c>
      <c r="AG345" s="7" t="s">
        <v>69</v>
      </c>
      <c r="AH345" s="95" t="str">
        <f>_xlfn.CONCAT("FeO: ", INDEX(Chemical_analyses!$A:$M, MATCH($P345, Chemical_analyses!$A:$A), 9), ", MgO: ", INDEX(Chemical_analyses!$A:$M, MATCH($P345, Chemical_analyses!$A:$A), 11), ", CaO: ", INDEX(Chemical_analyses!$A:$M, MATCH($P345, Chemical_analyses!$A:$A), 12), ", MnO: ", INDEX(Chemical_analyses!$A:$M, MATCH($P345, Chemical_analyses!$A:$A), 10), ", NaO2: ", INDEX(Chemical_analyses!$A:$M, MATCH($P345, Chemical_analyses!$A:$A), 13), ", Fe2O3: ", INDEX(Chemical_analyses!$A:$M, MATCH($P345, Chemical_analyses!$A:$A), 8), ", Al2O3: ", INDEX(Chemical_analyses!$A:$M, MATCH($P345, Chemical_analyses!$A:$A), 6))</f>
        <v>FeO: 17.3, MgO: 23.33, CaO: 3.74, MnO: 0.35, NaO2: 0.01, Fe2O3: 0, Al2O3: 1.02</v>
      </c>
      <c r="AI345" s="95"/>
      <c r="AJ345" s="95"/>
      <c r="AN345" s="37"/>
      <c r="AO345" s="37"/>
      <c r="AP345" s="37"/>
      <c r="AQ345" s="37"/>
      <c r="AW345" s="37"/>
      <c r="AX345" s="37"/>
      <c r="AY345" s="37"/>
      <c r="AZ345" s="37"/>
    </row>
    <row r="346" spans="1:52" s="7" customFormat="1">
      <c r="A346" s="7" t="s">
        <v>1154</v>
      </c>
      <c r="B346" s="91" t="s">
        <v>1155</v>
      </c>
      <c r="C346" s="92" t="s">
        <v>162</v>
      </c>
      <c r="D346" s="92" t="s">
        <v>279</v>
      </c>
      <c r="E346" s="7" t="s">
        <v>643</v>
      </c>
      <c r="G346" s="7" t="s">
        <v>755</v>
      </c>
      <c r="H346" s="7" t="s">
        <v>1142</v>
      </c>
      <c r="J346" s="96">
        <v>0</v>
      </c>
      <c r="K346" s="96">
        <v>45</v>
      </c>
      <c r="L346" s="7" t="s">
        <v>64</v>
      </c>
      <c r="M346" s="7" t="s">
        <v>65</v>
      </c>
      <c r="N346" s="7" t="s">
        <v>846</v>
      </c>
      <c r="O346" s="7" t="s">
        <v>847</v>
      </c>
      <c r="P346" s="7">
        <v>663</v>
      </c>
      <c r="Q346" s="7" t="s">
        <v>848</v>
      </c>
      <c r="R346" s="131">
        <v>0</v>
      </c>
      <c r="S346" s="93">
        <f t="shared" si="120"/>
        <v>0</v>
      </c>
      <c r="T346" s="93">
        <v>100</v>
      </c>
      <c r="U346" s="93">
        <v>0</v>
      </c>
      <c r="V346" s="131">
        <v>0</v>
      </c>
      <c r="W346" s="154">
        <f t="shared" si="121"/>
        <v>0</v>
      </c>
      <c r="X346" s="94">
        <v>0</v>
      </c>
      <c r="Y346" s="94">
        <f t="shared" si="122"/>
        <v>0</v>
      </c>
      <c r="Z346" s="94">
        <v>0</v>
      </c>
      <c r="AA346" s="155">
        <f>INDEX(Chemical_analyses!$A:$L, MATCH($P346, Chemical_analyses!$A:$A), 9)/$R$2/(INDEX(Chemical_analyses!$A:$L, MATCH($P346, Chemical_analyses!$A:$A), 9)/$R$2+INDEX(Chemical_analyses!$A:$L, MATCH($P346, Chemical_analyses!$A:$A), 11)/$S$2+INDEX(Chemical_analyses!$A:$L, MATCH($P346, Chemical_analyses!$A:$A), 12)/$T$2)*100</f>
        <v>22.434921799473717</v>
      </c>
      <c r="AB346" s="94">
        <f t="shared" si="123"/>
        <v>43.321612860089125</v>
      </c>
      <c r="AC346" s="132">
        <f>INDEX(Chemical_analyses!$A:$L, MATCH($P346, Chemical_analyses!$A:$A), 12)/$T$2/(INDEX(Chemical_analyses!$A:$L, MATCH($P346, Chemical_analyses!$A:$A), 9)/$R$2+INDEX(Chemical_analyses!$A:$L, MATCH($P346, Chemical_analyses!$A:$A), 11)/$S$2+INDEX(Chemical_analyses!$A:$L, MATCH($P346, Chemical_analyses!$A:$A), 12)/$T$2)*100</f>
        <v>34.243465340437162</v>
      </c>
      <c r="AD346" s="94">
        <v>0</v>
      </c>
      <c r="AE346" s="94">
        <f t="shared" si="124"/>
        <v>0</v>
      </c>
      <c r="AF346" s="132">
        <v>0</v>
      </c>
      <c r="AG346" s="7" t="s">
        <v>69</v>
      </c>
      <c r="AH346" s="95" t="str">
        <f>_xlfn.CONCAT("FeO: ", INDEX(Chemical_analyses!$A:$M, MATCH($P346, Chemical_analyses!$A:$A), 9), ", MgO: ", INDEX(Chemical_analyses!$A:$M, MATCH($P346, Chemical_analyses!$A:$A), 11), ", CaO: ", INDEX(Chemical_analyses!$A:$M, MATCH($P346, Chemical_analyses!$A:$A), 12), ", MnO: ", INDEX(Chemical_analyses!$A:$M, MATCH($P346, Chemical_analyses!$A:$A), 10), ", NaO2: ", INDEX(Chemical_analyses!$A:$M, MATCH($P346, Chemical_analyses!$A:$A), 13), ", Fe2O3: ", INDEX(Chemical_analyses!$A:$M, MATCH($P346, Chemical_analyses!$A:$A), 8), ", Al2O3: ", INDEX(Chemical_analyses!$A:$M, MATCH($P346, Chemical_analyses!$A:$A), 6))</f>
        <v>FeO: 13.69, MgO: 14.83, CaO: 16.31, MnO: 0.23, NaO2: 0.02, Fe2O3: 0, Al2O3: 2.73</v>
      </c>
      <c r="AI346" s="95"/>
      <c r="AJ346" s="95"/>
      <c r="AN346" s="37"/>
      <c r="AO346" s="37"/>
      <c r="AP346" s="37"/>
      <c r="AQ346" s="37"/>
      <c r="AW346" s="37"/>
      <c r="AX346" s="37"/>
      <c r="AY346" s="37"/>
      <c r="AZ346" s="37"/>
    </row>
    <row r="347" spans="1:52" s="7" customFormat="1">
      <c r="A347" s="7" t="s">
        <v>1156</v>
      </c>
      <c r="B347" s="91" t="s">
        <v>1157</v>
      </c>
      <c r="C347" s="92" t="s">
        <v>162</v>
      </c>
      <c r="D347" s="92" t="s">
        <v>279</v>
      </c>
      <c r="E347" s="7" t="s">
        <v>643</v>
      </c>
      <c r="G347" s="7" t="s">
        <v>755</v>
      </c>
      <c r="H347" s="7" t="s">
        <v>1145</v>
      </c>
      <c r="J347" s="96">
        <v>0</v>
      </c>
      <c r="K347" s="96">
        <v>45</v>
      </c>
      <c r="L347" s="7" t="s">
        <v>64</v>
      </c>
      <c r="M347" s="7" t="s">
        <v>65</v>
      </c>
      <c r="N347" s="7" t="s">
        <v>846</v>
      </c>
      <c r="O347" s="7" t="s">
        <v>847</v>
      </c>
      <c r="P347" s="7">
        <v>664</v>
      </c>
      <c r="Q347" s="7" t="s">
        <v>848</v>
      </c>
      <c r="R347" s="131">
        <v>0</v>
      </c>
      <c r="S347" s="93">
        <f t="shared" si="120"/>
        <v>0</v>
      </c>
      <c r="T347" s="93">
        <v>100</v>
      </c>
      <c r="U347" s="93">
        <v>0</v>
      </c>
      <c r="V347" s="131">
        <v>0</v>
      </c>
      <c r="W347" s="154">
        <f t="shared" si="121"/>
        <v>0</v>
      </c>
      <c r="X347" s="94">
        <v>0</v>
      </c>
      <c r="Y347" s="94">
        <f t="shared" si="122"/>
        <v>0</v>
      </c>
      <c r="Z347" s="94">
        <v>0</v>
      </c>
      <c r="AA347" s="155">
        <f>INDEX(Chemical_analyses!$A:$L, MATCH($P347, Chemical_analyses!$A:$A), 9)/$R$2/(INDEX(Chemical_analyses!$A:$L, MATCH($P347, Chemical_analyses!$A:$A), 9)/$R$2+INDEX(Chemical_analyses!$A:$L, MATCH($P347, Chemical_analyses!$A:$A), 11)/$S$2+INDEX(Chemical_analyses!$A:$L, MATCH($P347, Chemical_analyses!$A:$A), 12)/$T$2)*100</f>
        <v>30.330210802148422</v>
      </c>
      <c r="AB347" s="94">
        <f t="shared" si="123"/>
        <v>59.899366064623095</v>
      </c>
      <c r="AC347" s="132">
        <f>INDEX(Chemical_analyses!$A:$L, MATCH($P347, Chemical_analyses!$A:$A), 12)/$T$2/(INDEX(Chemical_analyses!$A:$L, MATCH($P347, Chemical_analyses!$A:$A), 9)/$R$2+INDEX(Chemical_analyses!$A:$L, MATCH($P347, Chemical_analyses!$A:$A), 11)/$S$2+INDEX(Chemical_analyses!$A:$L, MATCH($P347, Chemical_analyses!$A:$A), 12)/$T$2)*100</f>
        <v>9.7704231332284763</v>
      </c>
      <c r="AD347" s="94">
        <v>0</v>
      </c>
      <c r="AE347" s="94">
        <f t="shared" si="124"/>
        <v>0</v>
      </c>
      <c r="AF347" s="132">
        <v>0</v>
      </c>
      <c r="AG347" s="7" t="s">
        <v>69</v>
      </c>
      <c r="AH347" s="95" t="str">
        <f>_xlfn.CONCAT("FeO: ", INDEX(Chemical_analyses!$A:$M, MATCH($P347, Chemical_analyses!$A:$A), 9), ", MgO: ", INDEX(Chemical_analyses!$A:$M, MATCH($P347, Chemical_analyses!$A:$A), 11), ", CaO: ", INDEX(Chemical_analyses!$A:$M, MATCH($P347, Chemical_analyses!$A:$A), 12), ", MnO: ", INDEX(Chemical_analyses!$A:$M, MATCH($P347, Chemical_analyses!$A:$A), 10), ", NaO2: ", INDEX(Chemical_analyses!$A:$M, MATCH($P347, Chemical_analyses!$A:$A), 13), ", Fe2O3: ", INDEX(Chemical_analyses!$A:$M, MATCH($P347, Chemical_analyses!$A:$A), 8), ", Al2O3: ", INDEX(Chemical_analyses!$A:$M, MATCH($P347, Chemical_analyses!$A:$A), 6))</f>
        <v>FeO: 19.09, MgO: 21.15, CaO: 4.8, MnO: 0.33, NaO2: 0.02, Fe2O3: 0, Al2O3: 1.33</v>
      </c>
      <c r="AN347" s="37"/>
      <c r="AO347" s="37"/>
      <c r="AP347" s="37"/>
      <c r="AQ347" s="37"/>
      <c r="AW347" s="37"/>
      <c r="AX347" s="37"/>
      <c r="AY347" s="37"/>
      <c r="AZ347" s="37"/>
    </row>
    <row r="348" spans="1:52" s="7" customFormat="1">
      <c r="A348" s="7" t="s">
        <v>1158</v>
      </c>
      <c r="B348" s="91" t="s">
        <v>1159</v>
      </c>
      <c r="C348" s="92" t="s">
        <v>162</v>
      </c>
      <c r="D348" s="92" t="s">
        <v>279</v>
      </c>
      <c r="E348" s="7" t="s">
        <v>643</v>
      </c>
      <c r="G348" s="7" t="s">
        <v>755</v>
      </c>
      <c r="H348" s="7" t="s">
        <v>1136</v>
      </c>
      <c r="J348" s="96">
        <v>0</v>
      </c>
      <c r="K348" s="96">
        <v>45</v>
      </c>
      <c r="L348" s="7" t="s">
        <v>64</v>
      </c>
      <c r="M348" s="7" t="s">
        <v>65</v>
      </c>
      <c r="N348" s="7" t="s">
        <v>846</v>
      </c>
      <c r="O348" s="7" t="s">
        <v>847</v>
      </c>
      <c r="P348" s="7">
        <v>672</v>
      </c>
      <c r="Q348" s="7" t="s">
        <v>848</v>
      </c>
      <c r="R348" s="131">
        <v>0</v>
      </c>
      <c r="S348" s="93">
        <f t="shared" si="120"/>
        <v>0</v>
      </c>
      <c r="T348" s="93">
        <v>100</v>
      </c>
      <c r="U348" s="93">
        <v>0</v>
      </c>
      <c r="V348" s="131">
        <v>0</v>
      </c>
      <c r="W348" s="154">
        <f t="shared" si="121"/>
        <v>0</v>
      </c>
      <c r="X348" s="94">
        <v>0</v>
      </c>
      <c r="Y348" s="94">
        <f t="shared" si="122"/>
        <v>0</v>
      </c>
      <c r="Z348" s="94">
        <v>0</v>
      </c>
      <c r="AA348" s="155">
        <f>INDEX(Chemical_analyses!$A:$L, MATCH($P348, Chemical_analyses!$A:$A), 9)/$R$2/(INDEX(Chemical_analyses!$A:$L, MATCH($P348, Chemical_analyses!$A:$A), 9)/$R$2+INDEX(Chemical_analyses!$A:$L, MATCH($P348, Chemical_analyses!$A:$A), 11)/$S$2+INDEX(Chemical_analyses!$A:$L, MATCH($P348, Chemical_analyses!$A:$A), 12)/$T$2)*100</f>
        <v>43.164550823757658</v>
      </c>
      <c r="AB348" s="94">
        <f t="shared" si="123"/>
        <v>33.321807299174395</v>
      </c>
      <c r="AC348" s="132">
        <f>INDEX(Chemical_analyses!$A:$L, MATCH($P348, Chemical_analyses!$A:$A), 12)/$T$2/(INDEX(Chemical_analyses!$A:$L, MATCH($P348, Chemical_analyses!$A:$A), 9)/$R$2+INDEX(Chemical_analyses!$A:$L, MATCH($P348, Chemical_analyses!$A:$A), 11)/$S$2+INDEX(Chemical_analyses!$A:$L, MATCH($P348, Chemical_analyses!$A:$A), 12)/$T$2)*100</f>
        <v>23.513641877067943</v>
      </c>
      <c r="AD348" s="94">
        <v>0</v>
      </c>
      <c r="AE348" s="94">
        <f t="shared" si="124"/>
        <v>0</v>
      </c>
      <c r="AF348" s="132">
        <v>0</v>
      </c>
      <c r="AG348" s="7" t="s">
        <v>69</v>
      </c>
      <c r="AH348" s="95" t="str">
        <f>_xlfn.CONCAT("FeO: ", INDEX(Chemical_analyses!$A:$M, MATCH($P348, Chemical_analyses!$A:$A), 9), ", MgO: ", INDEX(Chemical_analyses!$A:$M, MATCH($P348, Chemical_analyses!$A:$A), 11), ", CaO: ", INDEX(Chemical_analyses!$A:$M, MATCH($P348, Chemical_analyses!$A:$A), 12), ", MnO: ", INDEX(Chemical_analyses!$A:$M, MATCH($P348, Chemical_analyses!$A:$A), 10), ", NaO2: ", INDEX(Chemical_analyses!$A:$M, MATCH($P348, Chemical_analyses!$A:$A), 13), ", Fe2O3: ", INDEX(Chemical_analyses!$A:$M, MATCH($P348, Chemical_analyses!$A:$A), 8), ", Al2O3: ", INDEX(Chemical_analyses!$A:$M, MATCH($P348, Chemical_analyses!$A:$A), 6))</f>
        <v>FeO: 25.4, MgO: 11, CaO: 10.8, MnO: 0.38, NaO2: 0.03, Fe2O3: 0, Al2O3: 1.52</v>
      </c>
      <c r="AI348" s="95"/>
      <c r="AJ348" s="95"/>
      <c r="AN348" s="37"/>
      <c r="AO348" s="37"/>
      <c r="AP348" s="37"/>
      <c r="AQ348" s="37"/>
      <c r="AW348" s="37"/>
      <c r="AX348" s="37"/>
      <c r="AY348" s="37"/>
      <c r="AZ348" s="37"/>
    </row>
    <row r="349" spans="1:52" s="7" customFormat="1">
      <c r="A349" s="7" t="s">
        <v>1160</v>
      </c>
      <c r="B349" s="91" t="s">
        <v>1161</v>
      </c>
      <c r="C349" s="92" t="s">
        <v>162</v>
      </c>
      <c r="D349" s="92" t="s">
        <v>279</v>
      </c>
      <c r="E349" s="7" t="s">
        <v>643</v>
      </c>
      <c r="G349" s="7" t="s">
        <v>755</v>
      </c>
      <c r="H349" s="7" t="s">
        <v>1139</v>
      </c>
      <c r="J349" s="96">
        <v>0</v>
      </c>
      <c r="K349" s="96">
        <v>45</v>
      </c>
      <c r="L349" s="7" t="s">
        <v>64</v>
      </c>
      <c r="M349" s="7" t="s">
        <v>65</v>
      </c>
      <c r="N349" s="7" t="s">
        <v>846</v>
      </c>
      <c r="O349" s="7" t="s">
        <v>847</v>
      </c>
      <c r="P349" s="7">
        <v>673</v>
      </c>
      <c r="Q349" s="7" t="s">
        <v>848</v>
      </c>
      <c r="R349" s="131">
        <v>0</v>
      </c>
      <c r="S349" s="93">
        <f t="shared" si="120"/>
        <v>0</v>
      </c>
      <c r="T349" s="93">
        <v>100</v>
      </c>
      <c r="U349" s="93">
        <v>0</v>
      </c>
      <c r="V349" s="131">
        <v>0</v>
      </c>
      <c r="W349" s="154">
        <f t="shared" si="121"/>
        <v>0</v>
      </c>
      <c r="X349" s="94">
        <v>0</v>
      </c>
      <c r="Y349" s="94">
        <f t="shared" si="122"/>
        <v>0</v>
      </c>
      <c r="Z349" s="94">
        <v>0</v>
      </c>
      <c r="AA349" s="155">
        <f>INDEX(Chemical_analyses!$A:$L, MATCH($P349, Chemical_analyses!$A:$A), 9)/$R$2/(INDEX(Chemical_analyses!$A:$L, MATCH($P349, Chemical_analyses!$A:$A), 9)/$R$2+INDEX(Chemical_analyses!$A:$L, MATCH($P349, Chemical_analyses!$A:$A), 11)/$S$2+INDEX(Chemical_analyses!$A:$L, MATCH($P349, Chemical_analyses!$A:$A), 12)/$T$2)*100</f>
        <v>32.937122028872118</v>
      </c>
      <c r="AB349" s="94">
        <f t="shared" si="123"/>
        <v>52.927703993093225</v>
      </c>
      <c r="AC349" s="132">
        <f>INDEX(Chemical_analyses!$A:$L, MATCH($P349, Chemical_analyses!$A:$A), 12)/$T$2/(INDEX(Chemical_analyses!$A:$L, MATCH($P349, Chemical_analyses!$A:$A), 9)/$R$2+INDEX(Chemical_analyses!$A:$L, MATCH($P349, Chemical_analyses!$A:$A), 11)/$S$2+INDEX(Chemical_analyses!$A:$L, MATCH($P349, Chemical_analyses!$A:$A), 12)/$T$2)*100</f>
        <v>14.135173978034651</v>
      </c>
      <c r="AD349" s="94">
        <v>0</v>
      </c>
      <c r="AE349" s="94">
        <f t="shared" si="124"/>
        <v>0</v>
      </c>
      <c r="AF349" s="132">
        <v>0</v>
      </c>
      <c r="AG349" s="7" t="s">
        <v>69</v>
      </c>
      <c r="AH349" s="95" t="str">
        <f>_xlfn.CONCAT("FeO: ", INDEX(Chemical_analyses!$A:$M, MATCH($P349, Chemical_analyses!$A:$A), 9), ", MgO: ", INDEX(Chemical_analyses!$A:$M, MATCH($P349, Chemical_analyses!$A:$A), 11), ", CaO: ", INDEX(Chemical_analyses!$A:$M, MATCH($P349, Chemical_analyses!$A:$A), 12), ", MnO: ", INDEX(Chemical_analyses!$A:$M, MATCH($P349, Chemical_analyses!$A:$A), 10), ", NaO2: ", INDEX(Chemical_analyses!$A:$M, MATCH($P349, Chemical_analyses!$A:$A), 13), ", Fe2O3: ", INDEX(Chemical_analyses!$A:$M, MATCH($P349, Chemical_analyses!$A:$A), 8), ", Al2O3: ", INDEX(Chemical_analyses!$A:$M, MATCH($P349, Chemical_analyses!$A:$A), 6))</f>
        <v>FeO: 20.3, MgO: 18.3, CaO: 6.8, MnO: 0.35, NaO2: 0.03, Fe2O3: 0, Al2O3: 1.35</v>
      </c>
      <c r="AI349" s="95"/>
      <c r="AJ349" s="95"/>
      <c r="AN349" s="37"/>
      <c r="AO349" s="37"/>
      <c r="AP349" s="37"/>
      <c r="AQ349" s="37"/>
      <c r="AW349" s="37"/>
      <c r="AX349" s="37"/>
      <c r="AY349" s="37"/>
      <c r="AZ349" s="37"/>
    </row>
    <row r="350" spans="1:52" s="7" customFormat="1">
      <c r="A350" s="7" t="s">
        <v>1162</v>
      </c>
      <c r="B350" s="91" t="s">
        <v>1163</v>
      </c>
      <c r="C350" s="92" t="s">
        <v>162</v>
      </c>
      <c r="D350" s="92" t="s">
        <v>279</v>
      </c>
      <c r="E350" s="7" t="s">
        <v>643</v>
      </c>
      <c r="G350" s="7" t="s">
        <v>755</v>
      </c>
      <c r="H350" s="7" t="s">
        <v>970</v>
      </c>
      <c r="J350" s="96">
        <v>0</v>
      </c>
      <c r="K350" s="96">
        <v>45</v>
      </c>
      <c r="L350" s="7" t="s">
        <v>64</v>
      </c>
      <c r="M350" s="7" t="s">
        <v>65</v>
      </c>
      <c r="N350" s="7" t="s">
        <v>294</v>
      </c>
      <c r="O350" s="7" t="s">
        <v>847</v>
      </c>
      <c r="P350" s="7">
        <v>676</v>
      </c>
      <c r="Q350" s="7" t="s">
        <v>853</v>
      </c>
      <c r="R350" s="131">
        <v>0</v>
      </c>
      <c r="S350" s="93">
        <f t="shared" si="120"/>
        <v>0</v>
      </c>
      <c r="T350" s="93">
        <v>100</v>
      </c>
      <c r="U350" s="93">
        <v>0</v>
      </c>
      <c r="V350" s="131">
        <v>0</v>
      </c>
      <c r="W350" s="154">
        <f t="shared" si="121"/>
        <v>0</v>
      </c>
      <c r="X350" s="94">
        <v>0</v>
      </c>
      <c r="Y350" s="94">
        <f t="shared" si="122"/>
        <v>0</v>
      </c>
      <c r="Z350" s="94">
        <v>0</v>
      </c>
      <c r="AA350" s="155">
        <f>INDEX(Chemical_analyses!$A:$L, MATCH($P350, Chemical_analyses!$A:$A), 9)/$R$2/(INDEX(Chemical_analyses!$A:$L, MATCH($P350, Chemical_analyses!$A:$A), 9)/$R$2+INDEX(Chemical_analyses!$A:$L, MATCH($P350, Chemical_analyses!$A:$A), 11)/$S$2+INDEX(Chemical_analyses!$A:$L, MATCH($P350, Chemical_analyses!$A:$A), 12)/$T$2)*100</f>
        <v>24.024371326926467</v>
      </c>
      <c r="AB350" s="94">
        <f t="shared" si="123"/>
        <v>43.710733969167478</v>
      </c>
      <c r="AC350" s="132">
        <f>INDEX(Chemical_analyses!$A:$L, MATCH($P350, Chemical_analyses!$A:$A), 12)/$T$2/(INDEX(Chemical_analyses!$A:$L, MATCH($P350, Chemical_analyses!$A:$A), 9)/$R$2+INDEX(Chemical_analyses!$A:$L, MATCH($P350, Chemical_analyses!$A:$A), 11)/$S$2+INDEX(Chemical_analyses!$A:$L, MATCH($P350, Chemical_analyses!$A:$A), 12)/$T$2)*100</f>
        <v>32.264894703906052</v>
      </c>
      <c r="AD350" s="94">
        <v>0</v>
      </c>
      <c r="AE350" s="94">
        <f t="shared" si="124"/>
        <v>0</v>
      </c>
      <c r="AF350" s="132">
        <v>0</v>
      </c>
      <c r="AG350" s="7" t="s">
        <v>69</v>
      </c>
      <c r="AH350" s="95" t="str">
        <f>_xlfn.CONCAT("FeO: ", INDEX(Chemical_analyses!$A:$M, MATCH($P350, Chemical_analyses!$A:$A), 9), ", MgO: ", INDEX(Chemical_analyses!$A:$M, MATCH($P350, Chemical_analyses!$A:$A), 11), ", CaO: ", INDEX(Chemical_analyses!$A:$M, MATCH($P350, Chemical_analyses!$A:$A), 12), ", MnO: ", INDEX(Chemical_analyses!$A:$M, MATCH($P350, Chemical_analyses!$A:$A), 10), ", NaO2: ", INDEX(Chemical_analyses!$A:$M, MATCH($P350, Chemical_analyses!$A:$A), 13), ", Fe2O3: ", INDEX(Chemical_analyses!$A:$M, MATCH($P350, Chemical_analyses!$A:$A), 8), ", Al2O3: ", INDEX(Chemical_analyses!$A:$M, MATCH($P350, Chemical_analyses!$A:$A), 6))</f>
        <v>FeO: 14.5, MgO: 14.8, CaO: 15.2, MnO: 0.3, NaO2: 0.08, Fe2O3: 0, Al2O3: 2.47</v>
      </c>
      <c r="AI350" s="95"/>
      <c r="AJ350" s="95"/>
      <c r="AN350" s="37"/>
      <c r="AO350" s="37"/>
      <c r="AP350" s="37"/>
      <c r="AQ350" s="37"/>
      <c r="AW350" s="37"/>
      <c r="AX350" s="37"/>
      <c r="AY350" s="37"/>
      <c r="AZ350" s="37"/>
    </row>
    <row r="351" spans="1:52" s="7" customFormat="1">
      <c r="A351" s="7" t="s">
        <v>1164</v>
      </c>
      <c r="B351" s="91" t="s">
        <v>1165</v>
      </c>
      <c r="C351" s="92" t="s">
        <v>162</v>
      </c>
      <c r="D351" s="92" t="s">
        <v>279</v>
      </c>
      <c r="E351" s="7" t="s">
        <v>643</v>
      </c>
      <c r="G351" s="7" t="s">
        <v>755</v>
      </c>
      <c r="H351" s="7" t="s">
        <v>1123</v>
      </c>
      <c r="J351" s="96">
        <v>0</v>
      </c>
      <c r="K351" s="96">
        <v>45</v>
      </c>
      <c r="L351" s="7" t="s">
        <v>64</v>
      </c>
      <c r="M351" s="7" t="s">
        <v>65</v>
      </c>
      <c r="N351" s="7" t="s">
        <v>294</v>
      </c>
      <c r="O351" s="7" t="s">
        <v>847</v>
      </c>
      <c r="P351" s="7">
        <v>677</v>
      </c>
      <c r="Q351" s="7" t="s">
        <v>853</v>
      </c>
      <c r="R351" s="131">
        <v>0</v>
      </c>
      <c r="S351" s="93">
        <f t="shared" si="120"/>
        <v>0</v>
      </c>
      <c r="T351" s="93">
        <v>100</v>
      </c>
      <c r="U351" s="93">
        <v>0</v>
      </c>
      <c r="V351" s="131">
        <v>0</v>
      </c>
      <c r="W351" s="154">
        <f t="shared" si="121"/>
        <v>0</v>
      </c>
      <c r="X351" s="94">
        <v>0</v>
      </c>
      <c r="Y351" s="94">
        <f t="shared" si="122"/>
        <v>0</v>
      </c>
      <c r="Z351" s="94">
        <v>0</v>
      </c>
      <c r="AA351" s="155">
        <f>INDEX(Chemical_analyses!$A:$L, MATCH($P351, Chemical_analyses!$A:$A), 9)/$R$2/(INDEX(Chemical_analyses!$A:$L, MATCH($P351, Chemical_analyses!$A:$A), 9)/$R$2+INDEX(Chemical_analyses!$A:$L, MATCH($P351, Chemical_analyses!$A:$A), 11)/$S$2+INDEX(Chemical_analyses!$A:$L, MATCH($P351, Chemical_analyses!$A:$A), 12)/$T$2)*100</f>
        <v>31.843586823547405</v>
      </c>
      <c r="AB351" s="94">
        <f t="shared" si="123"/>
        <v>55.633259169976697</v>
      </c>
      <c r="AC351" s="132">
        <f>INDEX(Chemical_analyses!$A:$L, MATCH($P351, Chemical_analyses!$A:$A), 12)/$T$2/(INDEX(Chemical_analyses!$A:$L, MATCH($P351, Chemical_analyses!$A:$A), 9)/$R$2+INDEX(Chemical_analyses!$A:$L, MATCH($P351, Chemical_analyses!$A:$A), 11)/$S$2+INDEX(Chemical_analyses!$A:$L, MATCH($P351, Chemical_analyses!$A:$A), 12)/$T$2)*100</f>
        <v>12.52315400647589</v>
      </c>
      <c r="AD351" s="94">
        <v>0</v>
      </c>
      <c r="AE351" s="94">
        <f t="shared" si="124"/>
        <v>0</v>
      </c>
      <c r="AF351" s="132">
        <v>0</v>
      </c>
      <c r="AG351" s="7" t="s">
        <v>69</v>
      </c>
      <c r="AH351" s="95" t="str">
        <f>_xlfn.CONCAT("FeO: ", INDEX(Chemical_analyses!$A:$M, MATCH($P351, Chemical_analyses!$A:$A), 9), ", MgO: ", INDEX(Chemical_analyses!$A:$M, MATCH($P351, Chemical_analyses!$A:$A), 11), ", CaO: ", INDEX(Chemical_analyses!$A:$M, MATCH($P351, Chemical_analyses!$A:$A), 12), ", MnO: ", INDEX(Chemical_analyses!$A:$M, MATCH($P351, Chemical_analyses!$A:$A), 10), ", NaO2: ", INDEX(Chemical_analyses!$A:$M, MATCH($P351, Chemical_analyses!$A:$A), 13), ", Fe2O3: ", INDEX(Chemical_analyses!$A:$M, MATCH($P351, Chemical_analyses!$A:$A), 8), ", Al2O3: ", INDEX(Chemical_analyses!$A:$M, MATCH($P351, Chemical_analyses!$A:$A), 6))</f>
        <v>FeO: 20.1, MgO: 19.7, CaO: 6.17, MnO: 0.37, NaO2: 0.03, Fe2O3: 0, Al2O3: 1.2</v>
      </c>
      <c r="AI351" s="95"/>
      <c r="AJ351" s="95"/>
      <c r="AN351" s="37"/>
      <c r="AO351" s="37"/>
      <c r="AP351" s="37"/>
      <c r="AQ351" s="37"/>
      <c r="AW351" s="37"/>
      <c r="AX351" s="37"/>
      <c r="AY351" s="37"/>
      <c r="AZ351" s="37"/>
    </row>
    <row r="352" spans="1:52" s="7" customFormat="1">
      <c r="A352" s="7" t="s">
        <v>1166</v>
      </c>
      <c r="B352" s="91" t="s">
        <v>1167</v>
      </c>
      <c r="C352" s="92" t="s">
        <v>162</v>
      </c>
      <c r="D352" s="92" t="s">
        <v>279</v>
      </c>
      <c r="E352" s="7" t="s">
        <v>643</v>
      </c>
      <c r="G352" s="7" t="s">
        <v>755</v>
      </c>
      <c r="H352" s="7" t="s">
        <v>1142</v>
      </c>
      <c r="J352" s="96">
        <v>0</v>
      </c>
      <c r="K352" s="96">
        <v>45</v>
      </c>
      <c r="L352" s="7" t="s">
        <v>64</v>
      </c>
      <c r="M352" s="7" t="s">
        <v>65</v>
      </c>
      <c r="N352" s="7" t="s">
        <v>294</v>
      </c>
      <c r="O352" s="7" t="s">
        <v>847</v>
      </c>
      <c r="P352" s="7">
        <v>666</v>
      </c>
      <c r="Q352" s="7" t="s">
        <v>853</v>
      </c>
      <c r="R352" s="131">
        <v>0</v>
      </c>
      <c r="S352" s="93">
        <f t="shared" si="120"/>
        <v>0</v>
      </c>
      <c r="T352" s="93">
        <v>100</v>
      </c>
      <c r="U352" s="93">
        <v>0</v>
      </c>
      <c r="V352" s="131">
        <v>0</v>
      </c>
      <c r="W352" s="154">
        <f t="shared" si="121"/>
        <v>0</v>
      </c>
      <c r="X352" s="94">
        <v>0</v>
      </c>
      <c r="Y352" s="94">
        <f t="shared" si="122"/>
        <v>0</v>
      </c>
      <c r="Z352" s="94">
        <v>0</v>
      </c>
      <c r="AA352" s="155">
        <f>INDEX(Chemical_analyses!$A:$L, MATCH($P352, Chemical_analyses!$A:$A), 9)/$R$2/(INDEX(Chemical_analyses!$A:$L, MATCH($P352, Chemical_analyses!$A:$A), 9)/$R$2+INDEX(Chemical_analyses!$A:$L, MATCH($P352, Chemical_analyses!$A:$A), 11)/$S$2+INDEX(Chemical_analyses!$A:$L, MATCH($P352, Chemical_analyses!$A:$A), 12)/$T$2)*100</f>
        <v>13.828873388546398</v>
      </c>
      <c r="AB352" s="94">
        <f t="shared" si="123"/>
        <v>43.564499598252318</v>
      </c>
      <c r="AC352" s="132">
        <f>INDEX(Chemical_analyses!$A:$L, MATCH($P352, Chemical_analyses!$A:$A), 12)/$T$2/(INDEX(Chemical_analyses!$A:$L, MATCH($P352, Chemical_analyses!$A:$A), 9)/$R$2+INDEX(Chemical_analyses!$A:$L, MATCH($P352, Chemical_analyses!$A:$A), 11)/$S$2+INDEX(Chemical_analyses!$A:$L, MATCH($P352, Chemical_analyses!$A:$A), 12)/$T$2)*100</f>
        <v>42.606627013201283</v>
      </c>
      <c r="AD352" s="94">
        <v>0</v>
      </c>
      <c r="AE352" s="94">
        <f t="shared" si="124"/>
        <v>0</v>
      </c>
      <c r="AF352" s="132">
        <v>0</v>
      </c>
      <c r="AG352" s="7" t="s">
        <v>69</v>
      </c>
      <c r="AH352" s="95" t="str">
        <f>_xlfn.CONCAT("FeO: ", INDEX(Chemical_analyses!$A:$M, MATCH($P352, Chemical_analyses!$A:$A), 9), ", MgO: ", INDEX(Chemical_analyses!$A:$M, MATCH($P352, Chemical_analyses!$A:$A), 11), ", CaO: ", INDEX(Chemical_analyses!$A:$M, MATCH($P352, Chemical_analyses!$A:$A), 12), ", MnO: ", INDEX(Chemical_analyses!$A:$M, MATCH($P352, Chemical_analyses!$A:$A), 10), ", NaO2: ", INDEX(Chemical_analyses!$A:$M, MATCH($P352, Chemical_analyses!$A:$A), 13), ", Fe2O3: ", INDEX(Chemical_analyses!$A:$M, MATCH($P352, Chemical_analyses!$A:$A), 8), ", Al2O3: ", INDEX(Chemical_analyses!$A:$M, MATCH($P352, Chemical_analyses!$A:$A), 6))</f>
        <v>FeO: 8.25, MgO: 14.58, CaO: 19.84, MnO: 0.16, NaO2: 0.1, Fe2O3: 0, Al2O3: 4.13</v>
      </c>
      <c r="AI352" s="95"/>
      <c r="AJ352" s="95"/>
      <c r="AN352" s="37"/>
      <c r="AO352" s="37"/>
      <c r="AP352" s="37"/>
      <c r="AQ352" s="37"/>
      <c r="AW352" s="37"/>
      <c r="AX352" s="37"/>
      <c r="AY352" s="37"/>
      <c r="AZ352" s="37"/>
    </row>
    <row r="353" spans="1:52" s="7" customFormat="1">
      <c r="A353" s="7" t="s">
        <v>1168</v>
      </c>
      <c r="B353" s="91" t="s">
        <v>1169</v>
      </c>
      <c r="C353" s="92" t="s">
        <v>162</v>
      </c>
      <c r="D353" s="92" t="s">
        <v>279</v>
      </c>
      <c r="E353" s="7" t="s">
        <v>643</v>
      </c>
      <c r="G353" s="7" t="s">
        <v>755</v>
      </c>
      <c r="H353" s="7" t="s">
        <v>1123</v>
      </c>
      <c r="J353" s="96">
        <v>0</v>
      </c>
      <c r="K353" s="96">
        <v>45</v>
      </c>
      <c r="L353" s="7" t="s">
        <v>64</v>
      </c>
      <c r="M353" s="7" t="s">
        <v>65</v>
      </c>
      <c r="N353" s="7" t="s">
        <v>294</v>
      </c>
      <c r="O353" s="7" t="s">
        <v>847</v>
      </c>
      <c r="P353" s="7">
        <v>667</v>
      </c>
      <c r="Q353" s="7" t="s">
        <v>853</v>
      </c>
      <c r="R353" s="131">
        <v>0</v>
      </c>
      <c r="S353" s="93">
        <f t="shared" si="120"/>
        <v>0</v>
      </c>
      <c r="T353" s="93">
        <v>100</v>
      </c>
      <c r="U353" s="93">
        <v>0</v>
      </c>
      <c r="V353" s="131">
        <v>0</v>
      </c>
      <c r="W353" s="154">
        <f t="shared" si="121"/>
        <v>0</v>
      </c>
      <c r="X353" s="94">
        <v>0</v>
      </c>
      <c r="Y353" s="94">
        <f t="shared" si="122"/>
        <v>0</v>
      </c>
      <c r="Z353" s="94">
        <v>0</v>
      </c>
      <c r="AA353" s="155">
        <f>INDEX(Chemical_analyses!$A:$L, MATCH($P353, Chemical_analyses!$A:$A), 9)/$R$2/(INDEX(Chemical_analyses!$A:$L, MATCH($P353, Chemical_analyses!$A:$A), 9)/$R$2+INDEX(Chemical_analyses!$A:$L, MATCH($P353, Chemical_analyses!$A:$A), 11)/$S$2+INDEX(Chemical_analyses!$A:$L, MATCH($P353, Chemical_analyses!$A:$A), 12)/$T$2)*100</f>
        <v>27.16773286162001</v>
      </c>
      <c r="AB353" s="94">
        <f t="shared" si="123"/>
        <v>65.307699821299749</v>
      </c>
      <c r="AC353" s="132">
        <f>INDEX(Chemical_analyses!$A:$L, MATCH($P353, Chemical_analyses!$A:$A), 12)/$T$2/(INDEX(Chemical_analyses!$A:$L, MATCH($P353, Chemical_analyses!$A:$A), 9)/$R$2+INDEX(Chemical_analyses!$A:$L, MATCH($P353, Chemical_analyses!$A:$A), 11)/$S$2+INDEX(Chemical_analyses!$A:$L, MATCH($P353, Chemical_analyses!$A:$A), 12)/$T$2)*100</f>
        <v>7.5245673170802396</v>
      </c>
      <c r="AD353" s="94">
        <v>0</v>
      </c>
      <c r="AE353" s="94">
        <f t="shared" si="124"/>
        <v>0</v>
      </c>
      <c r="AF353" s="132">
        <v>0</v>
      </c>
      <c r="AG353" s="7" t="s">
        <v>69</v>
      </c>
      <c r="AH353" s="95" t="str">
        <f>_xlfn.CONCAT("FeO: ", INDEX(Chemical_analyses!$A:$M, MATCH($P353, Chemical_analyses!$A:$A), 9), ", MgO: ", INDEX(Chemical_analyses!$A:$M, MATCH($P353, Chemical_analyses!$A:$A), 11), ", CaO: ", INDEX(Chemical_analyses!$A:$M, MATCH($P353, Chemical_analyses!$A:$A), 12), ", MnO: ", INDEX(Chemical_analyses!$A:$M, MATCH($P353, Chemical_analyses!$A:$A), 10), ", NaO2: ", INDEX(Chemical_analyses!$A:$M, MATCH($P353, Chemical_analyses!$A:$A), 13), ", Fe2O3: ", INDEX(Chemical_analyses!$A:$M, MATCH($P353, Chemical_analyses!$A:$A), 8), ", Al2O3: ", INDEX(Chemical_analyses!$A:$M, MATCH($P353, Chemical_analyses!$A:$A), 6))</f>
        <v>FeO: 17.3, MgO: 23.33, CaO: 3.74, MnO: 0.35, NaO2: 0.01, Fe2O3: 0, Al2O3: 1.02</v>
      </c>
      <c r="AI353" s="95"/>
      <c r="AJ353" s="95"/>
      <c r="AN353" s="37"/>
      <c r="AO353" s="37"/>
      <c r="AP353" s="37"/>
      <c r="AQ353" s="37"/>
      <c r="AW353" s="37"/>
      <c r="AX353" s="37"/>
      <c r="AY353" s="37"/>
      <c r="AZ353" s="37"/>
    </row>
    <row r="354" spans="1:52" s="7" customFormat="1">
      <c r="A354" s="7" t="s">
        <v>1170</v>
      </c>
      <c r="B354" s="91" t="s">
        <v>1171</v>
      </c>
      <c r="C354" s="92" t="s">
        <v>162</v>
      </c>
      <c r="D354" s="92" t="s">
        <v>60</v>
      </c>
      <c r="E354" s="7" t="s">
        <v>643</v>
      </c>
      <c r="G354" s="7" t="s">
        <v>755</v>
      </c>
      <c r="H354" s="7" t="s">
        <v>1172</v>
      </c>
      <c r="J354" s="7">
        <v>75</v>
      </c>
      <c r="K354" s="7">
        <v>150</v>
      </c>
      <c r="L354" s="7" t="s">
        <v>64</v>
      </c>
      <c r="M354" s="7" t="s">
        <v>65</v>
      </c>
      <c r="N354" s="7" t="s">
        <v>1173</v>
      </c>
      <c r="O354" s="7" t="s">
        <v>1004</v>
      </c>
      <c r="P354" s="7">
        <v>0</v>
      </c>
      <c r="Q354" s="7" t="s">
        <v>1174</v>
      </c>
      <c r="R354" s="131">
        <v>0</v>
      </c>
      <c r="S354" s="93">
        <f t="shared" si="120"/>
        <v>0</v>
      </c>
      <c r="T354" s="93">
        <v>100</v>
      </c>
      <c r="U354" s="93">
        <v>0</v>
      </c>
      <c r="V354" s="131">
        <v>0</v>
      </c>
      <c r="W354" s="154">
        <f t="shared" si="121"/>
        <v>0</v>
      </c>
      <c r="X354" s="94">
        <v>0</v>
      </c>
      <c r="Y354" s="94">
        <f t="shared" si="122"/>
        <v>0</v>
      </c>
      <c r="Z354" s="94">
        <v>0</v>
      </c>
      <c r="AA354" s="155">
        <f>(18+19)/2</f>
        <v>18.5</v>
      </c>
      <c r="AB354" s="94">
        <f t="shared" si="123"/>
        <v>36</v>
      </c>
      <c r="AC354" s="132">
        <f>(45+46)/2</f>
        <v>45.5</v>
      </c>
      <c r="AD354" s="94">
        <v>0</v>
      </c>
      <c r="AE354" s="94">
        <f t="shared" si="124"/>
        <v>0</v>
      </c>
      <c r="AF354" s="132">
        <v>0</v>
      </c>
      <c r="AG354" s="7" t="s">
        <v>1175</v>
      </c>
      <c r="AH354" s="7" t="s">
        <v>1176</v>
      </c>
      <c r="AI354" s="95"/>
      <c r="AJ354" s="95"/>
      <c r="AN354" s="37"/>
      <c r="AO354" s="37"/>
      <c r="AP354" s="37"/>
      <c r="AQ354" s="37"/>
      <c r="AW354" s="37"/>
      <c r="AX354" s="37"/>
      <c r="AY354" s="37"/>
      <c r="AZ354" s="37"/>
    </row>
    <row r="355" spans="1:52" s="7" customFormat="1">
      <c r="A355" s="7" t="s">
        <v>1177</v>
      </c>
      <c r="B355" s="91" t="s">
        <v>1178</v>
      </c>
      <c r="C355" s="92" t="s">
        <v>162</v>
      </c>
      <c r="D355" s="92" t="s">
        <v>642</v>
      </c>
      <c r="E355" s="7" t="s">
        <v>643</v>
      </c>
      <c r="G355" s="7" t="s">
        <v>755</v>
      </c>
      <c r="H355" s="7" t="s">
        <v>1178</v>
      </c>
      <c r="J355" s="7">
        <v>0</v>
      </c>
      <c r="K355" s="7">
        <v>250</v>
      </c>
      <c r="L355" s="7" t="s">
        <v>445</v>
      </c>
      <c r="M355" s="7" t="s">
        <v>885</v>
      </c>
      <c r="N355" s="7" t="s">
        <v>1179</v>
      </c>
      <c r="O355" s="7" t="s">
        <v>768</v>
      </c>
      <c r="P355" s="7">
        <v>0</v>
      </c>
      <c r="R355" s="131">
        <v>0</v>
      </c>
      <c r="S355" s="93">
        <f t="shared" si="120"/>
        <v>0</v>
      </c>
      <c r="T355" s="93">
        <v>100</v>
      </c>
      <c r="U355" s="93">
        <v>0</v>
      </c>
      <c r="V355" s="131">
        <v>0</v>
      </c>
      <c r="W355" s="154">
        <f t="shared" si="121"/>
        <v>0</v>
      </c>
      <c r="X355" s="94">
        <v>0</v>
      </c>
      <c r="Y355" s="94">
        <f t="shared" si="122"/>
        <v>0</v>
      </c>
      <c r="Z355" s="94">
        <v>0</v>
      </c>
      <c r="AA355" s="155">
        <f>(2.4+9.6)/2</f>
        <v>6</v>
      </c>
      <c r="AB355" s="94">
        <f t="shared" si="123"/>
        <v>51.85</v>
      </c>
      <c r="AC355" s="132">
        <f>(34.9+49.4)/2</f>
        <v>42.15</v>
      </c>
      <c r="AD355" s="94">
        <v>0</v>
      </c>
      <c r="AE355" s="94">
        <f t="shared" si="124"/>
        <v>0</v>
      </c>
      <c r="AF355" s="132">
        <v>0</v>
      </c>
      <c r="AG355" s="7" t="s">
        <v>69</v>
      </c>
      <c r="AH355" s="7" t="s">
        <v>1180</v>
      </c>
      <c r="AI355" s="95"/>
      <c r="AJ355" s="95"/>
      <c r="AN355" s="37"/>
      <c r="AO355" s="37"/>
      <c r="AP355" s="37"/>
      <c r="AQ355" s="37"/>
      <c r="AW355" s="37"/>
      <c r="AX355" s="37"/>
      <c r="AY355" s="37"/>
      <c r="AZ355" s="37"/>
    </row>
    <row r="356" spans="1:52" s="7" customFormat="1">
      <c r="A356" s="7" t="s">
        <v>1181</v>
      </c>
      <c r="B356" s="91" t="s">
        <v>1182</v>
      </c>
      <c r="C356" s="92" t="s">
        <v>961</v>
      </c>
      <c r="D356" s="92" t="s">
        <v>642</v>
      </c>
      <c r="E356" s="7" t="s">
        <v>643</v>
      </c>
      <c r="G356" s="7" t="s">
        <v>755</v>
      </c>
      <c r="H356" s="7" t="s">
        <v>1183</v>
      </c>
      <c r="J356" s="7">
        <v>0</v>
      </c>
      <c r="K356" s="7">
        <v>0</v>
      </c>
      <c r="M356" s="7" t="s">
        <v>302</v>
      </c>
      <c r="N356" s="7" t="s">
        <v>1184</v>
      </c>
      <c r="O356" s="7" t="s">
        <v>768</v>
      </c>
      <c r="P356" s="7">
        <v>0</v>
      </c>
      <c r="Q356" s="7" t="s">
        <v>1185</v>
      </c>
      <c r="R356" s="131">
        <v>0</v>
      </c>
      <c r="S356" s="93">
        <f t="shared" si="120"/>
        <v>0</v>
      </c>
      <c r="T356" s="93">
        <v>100</v>
      </c>
      <c r="U356" s="93">
        <v>0</v>
      </c>
      <c r="V356" s="131">
        <v>0</v>
      </c>
      <c r="W356" s="154">
        <f t="shared" si="121"/>
        <v>0</v>
      </c>
      <c r="X356" s="94">
        <v>0</v>
      </c>
      <c r="Y356" s="94">
        <f t="shared" si="122"/>
        <v>0</v>
      </c>
      <c r="Z356" s="94">
        <v>0</v>
      </c>
      <c r="AA356" s="155">
        <f>(2.4+9.6)/2</f>
        <v>6</v>
      </c>
      <c r="AB356" s="94">
        <f t="shared" si="123"/>
        <v>51.85</v>
      </c>
      <c r="AC356" s="132">
        <f>(34.9+49.4)/2</f>
        <v>42.15</v>
      </c>
      <c r="AD356" s="94">
        <v>0</v>
      </c>
      <c r="AE356" s="94">
        <f t="shared" si="124"/>
        <v>0</v>
      </c>
      <c r="AF356" s="132">
        <v>0</v>
      </c>
      <c r="AG356" s="7" t="s">
        <v>69</v>
      </c>
      <c r="AH356" s="28" t="s">
        <v>1186</v>
      </c>
      <c r="AI356" s="95" t="s">
        <v>1187</v>
      </c>
      <c r="AJ356" s="95"/>
      <c r="AN356" s="37"/>
      <c r="AO356" s="37"/>
      <c r="AP356" s="37"/>
      <c r="AQ356" s="37"/>
      <c r="AW356" s="37"/>
      <c r="AX356" s="37"/>
      <c r="AY356" s="37"/>
      <c r="AZ356" s="37"/>
    </row>
    <row r="357" spans="1:52" s="7" customFormat="1">
      <c r="A357" s="7" t="s">
        <v>1188</v>
      </c>
      <c r="B357" s="91" t="s">
        <v>1189</v>
      </c>
      <c r="C357" s="92" t="s">
        <v>162</v>
      </c>
      <c r="D357" s="92" t="s">
        <v>642</v>
      </c>
      <c r="E357" s="7" t="s">
        <v>643</v>
      </c>
      <c r="G357" s="7" t="s">
        <v>755</v>
      </c>
      <c r="H357" s="7" t="s">
        <v>1183</v>
      </c>
      <c r="J357" s="7">
        <v>0</v>
      </c>
      <c r="K357" s="7">
        <v>250</v>
      </c>
      <c r="N357" s="7" t="s">
        <v>1190</v>
      </c>
      <c r="O357" s="7" t="s">
        <v>1191</v>
      </c>
      <c r="P357" s="7">
        <v>35</v>
      </c>
      <c r="Q357" s="7" t="s">
        <v>1192</v>
      </c>
      <c r="R357" s="131">
        <v>0</v>
      </c>
      <c r="S357" s="93">
        <f t="shared" ref="S357:S420" si="125">100 - R357 - U357 - T357</f>
        <v>0</v>
      </c>
      <c r="T357" s="93">
        <v>100</v>
      </c>
      <c r="U357" s="93">
        <v>0</v>
      </c>
      <c r="V357" s="131">
        <v>0</v>
      </c>
      <c r="W357" s="154">
        <f t="shared" ref="W357:W420" si="126">IF($R357 &gt; 0, 100 - $V357, 0)</f>
        <v>0</v>
      </c>
      <c r="X357" s="94">
        <v>0</v>
      </c>
      <c r="Y357" s="94">
        <f t="shared" ref="Y357:Y420" si="127">IF($S357 &gt; 0, 100 - $X357 - $Z357, 0)</f>
        <v>0</v>
      </c>
      <c r="Z357" s="94">
        <v>0</v>
      </c>
      <c r="AA357" s="155">
        <f>INDEX(Chemical_analyses!$A:$L, MATCH($P357, Chemical_analyses!$A:$A), 9)/$R$2/(INDEX(Chemical_analyses!$A:$L, MATCH($P357, Chemical_analyses!$A:$A), 9)/$R$2+INDEX(Chemical_analyses!$A:$L, MATCH($P357, Chemical_analyses!$A:$A), 11)/$S$2+INDEX(Chemical_analyses!$A:$L, MATCH($P357, Chemical_analyses!$A:$A), 12)/$T$2)*100</f>
        <v>10.469431997904483</v>
      </c>
      <c r="AB357" s="94">
        <f t="shared" ref="AB357:AB420" si="128">IF($T357 &gt; 0, 100 - $AA357 - $AC357, 0)</f>
        <v>44.920098937288792</v>
      </c>
      <c r="AC357" s="132">
        <f>INDEX(Chemical_analyses!$A:$L, MATCH($P357, Chemical_analyses!$A:$A), 12)/$T$2/(INDEX(Chemical_analyses!$A:$L, MATCH($P357, Chemical_analyses!$A:$A), 9)/$R$2+INDEX(Chemical_analyses!$A:$L, MATCH($P357, Chemical_analyses!$A:$A), 11)/$S$2+INDEX(Chemical_analyses!$A:$L, MATCH($P357, Chemical_analyses!$A:$A), 12)/$T$2)*100</f>
        <v>44.610469064806729</v>
      </c>
      <c r="AD357" s="94">
        <v>0</v>
      </c>
      <c r="AE357" s="94">
        <f t="shared" ref="AE357:AE420" si="129">IF($U357 &gt; 0, 100 - $AD357 - $AF357, 0)</f>
        <v>0</v>
      </c>
      <c r="AF357" s="132">
        <v>0</v>
      </c>
      <c r="AG357" s="7" t="s">
        <v>69</v>
      </c>
      <c r="AH357" s="95" t="str">
        <f>_xlfn.CONCAT("FeO: ", INDEX(Chemical_analyses!$A:$M, MATCH($P357, Chemical_analyses!$A:$A), 9), ", MgO: ", INDEX(Chemical_analyses!$A:$M, MATCH($P357, Chemical_analyses!$A:$A), 11), ", CaO: ", INDEX(Chemical_analyses!$A:$M, MATCH($P357, Chemical_analyses!$A:$A), 12), ", MnO: ", INDEX(Chemical_analyses!$A:$M, MATCH($P357, Chemical_analyses!$A:$A), 10), ", NaO2: ", INDEX(Chemical_analyses!$A:$M, MATCH($P357, Chemical_analyses!$A:$A), 13), ", Fe2O3: ", INDEX(Chemical_analyses!$A:$M, MATCH($P357, Chemical_analyses!$A:$A), 8), ", Al2O3: ", INDEX(Chemical_analyses!$A:$M, MATCH($P357, Chemical_analyses!$A:$A), 6))</f>
        <v>FeO: 6.29, MgO: 15.14, CaO: 20.92, MnO: 0.12, NaO2: 0.4, Fe2O3: 0, Al2O3: 6.4</v>
      </c>
      <c r="AI357" s="95"/>
      <c r="AJ357" s="95"/>
      <c r="AN357" s="37"/>
      <c r="AO357" s="37"/>
      <c r="AP357" s="37"/>
      <c r="AQ357" s="37"/>
      <c r="AW357" s="37"/>
      <c r="AX357" s="37"/>
      <c r="AY357" s="37"/>
      <c r="AZ357" s="37"/>
    </row>
    <row r="358" spans="1:52" s="7" customFormat="1">
      <c r="A358" s="7" t="s">
        <v>1193</v>
      </c>
      <c r="B358" s="91" t="s">
        <v>1194</v>
      </c>
      <c r="C358" s="92" t="s">
        <v>162</v>
      </c>
      <c r="D358" s="92" t="s">
        <v>642</v>
      </c>
      <c r="E358" s="7" t="s">
        <v>643</v>
      </c>
      <c r="G358" s="7" t="s">
        <v>1195</v>
      </c>
      <c r="H358" s="7" t="s">
        <v>1183</v>
      </c>
      <c r="J358" s="7">
        <v>0</v>
      </c>
      <c r="K358" s="7">
        <v>45</v>
      </c>
      <c r="L358" s="7" t="s">
        <v>64</v>
      </c>
      <c r="M358" s="7" t="s">
        <v>26</v>
      </c>
      <c r="N358" s="7" t="s">
        <v>1196</v>
      </c>
      <c r="O358" s="7" t="s">
        <v>769</v>
      </c>
      <c r="P358" s="7">
        <v>35</v>
      </c>
      <c r="Q358" s="7" t="s">
        <v>1197</v>
      </c>
      <c r="R358" s="131">
        <v>0</v>
      </c>
      <c r="S358" s="93">
        <f t="shared" si="125"/>
        <v>0</v>
      </c>
      <c r="T358" s="93">
        <v>100</v>
      </c>
      <c r="U358" s="93">
        <v>0</v>
      </c>
      <c r="V358" s="131">
        <v>0</v>
      </c>
      <c r="W358" s="154">
        <f t="shared" si="126"/>
        <v>0</v>
      </c>
      <c r="X358" s="94">
        <v>0</v>
      </c>
      <c r="Y358" s="94">
        <f t="shared" si="127"/>
        <v>0</v>
      </c>
      <c r="Z358" s="94">
        <v>0</v>
      </c>
      <c r="AA358" s="155">
        <f>INDEX(Chemical_analyses!$A:$L, MATCH($P358, Chemical_analyses!$A:$A), 9)/$R$2/(INDEX(Chemical_analyses!$A:$L, MATCH($P358, Chemical_analyses!$A:$A), 9)/$R$2+INDEX(Chemical_analyses!$A:$L, MATCH($P358, Chemical_analyses!$A:$A), 11)/$S$2+INDEX(Chemical_analyses!$A:$L, MATCH($P358, Chemical_analyses!$A:$A), 12)/$T$2)*100</f>
        <v>10.469431997904483</v>
      </c>
      <c r="AB358" s="94">
        <f t="shared" si="128"/>
        <v>44.920098937288792</v>
      </c>
      <c r="AC358" s="132">
        <f>INDEX(Chemical_analyses!$A:$L, MATCH($P358, Chemical_analyses!$A:$A), 12)/$T$2/(INDEX(Chemical_analyses!$A:$L, MATCH($P358, Chemical_analyses!$A:$A), 9)/$R$2+INDEX(Chemical_analyses!$A:$L, MATCH($P358, Chemical_analyses!$A:$A), 11)/$S$2+INDEX(Chemical_analyses!$A:$L, MATCH($P358, Chemical_analyses!$A:$A), 12)/$T$2)*100</f>
        <v>44.610469064806729</v>
      </c>
      <c r="AD358" s="94">
        <v>0</v>
      </c>
      <c r="AE358" s="94">
        <f t="shared" si="129"/>
        <v>0</v>
      </c>
      <c r="AF358" s="132">
        <v>0</v>
      </c>
      <c r="AG358" s="7" t="s">
        <v>69</v>
      </c>
      <c r="AH358" s="95" t="str">
        <f>_xlfn.CONCAT("FeO: ", INDEX(Chemical_analyses!$A:$M, MATCH($P358, Chemical_analyses!$A:$A), 9), ", MgO: ", INDEX(Chemical_analyses!$A:$M, MATCH($P358, Chemical_analyses!$A:$A), 11), ", CaO: ", INDEX(Chemical_analyses!$A:$M, MATCH($P358, Chemical_analyses!$A:$A), 12), ", MnO: ", INDEX(Chemical_analyses!$A:$M, MATCH($P358, Chemical_analyses!$A:$A), 10), ", NaO2: ", INDEX(Chemical_analyses!$A:$M, MATCH($P358, Chemical_analyses!$A:$A), 13), ", Fe2O3: ", INDEX(Chemical_analyses!$A:$M, MATCH($P358, Chemical_analyses!$A:$A), 8), ", Al2O3: ", INDEX(Chemical_analyses!$A:$M, MATCH($P358, Chemical_analyses!$A:$A), 6))</f>
        <v>FeO: 6.29, MgO: 15.14, CaO: 20.92, MnO: 0.12, NaO2: 0.4, Fe2O3: 0, Al2O3: 6.4</v>
      </c>
      <c r="AI358" s="95"/>
      <c r="AJ358" s="95"/>
      <c r="AN358" s="37"/>
      <c r="AO358" s="37"/>
      <c r="AP358" s="37"/>
      <c r="AQ358" s="37"/>
      <c r="AW358" s="37"/>
      <c r="AX358" s="37"/>
      <c r="AY358" s="37"/>
      <c r="AZ358" s="37"/>
    </row>
    <row r="359" spans="1:52" s="7" customFormat="1">
      <c r="A359" s="7" t="s">
        <v>1198</v>
      </c>
      <c r="B359" s="91" t="s">
        <v>1199</v>
      </c>
      <c r="C359" s="92" t="s">
        <v>162</v>
      </c>
      <c r="D359" s="92" t="s">
        <v>642</v>
      </c>
      <c r="E359" s="7" t="s">
        <v>643</v>
      </c>
      <c r="G359" s="7" t="s">
        <v>755</v>
      </c>
      <c r="H359" s="7" t="s">
        <v>1183</v>
      </c>
      <c r="J359" s="7">
        <v>45</v>
      </c>
      <c r="K359" s="7">
        <v>75</v>
      </c>
      <c r="L359" s="7" t="s">
        <v>64</v>
      </c>
      <c r="M359" s="7" t="s">
        <v>26</v>
      </c>
      <c r="N359" s="7" t="s">
        <v>1190</v>
      </c>
      <c r="O359" s="7" t="s">
        <v>769</v>
      </c>
      <c r="P359" s="7">
        <v>35</v>
      </c>
      <c r="Q359" s="7" t="s">
        <v>1200</v>
      </c>
      <c r="R359" s="131">
        <v>0</v>
      </c>
      <c r="S359" s="93">
        <f t="shared" si="125"/>
        <v>0</v>
      </c>
      <c r="T359" s="93">
        <v>100</v>
      </c>
      <c r="U359" s="93">
        <v>0</v>
      </c>
      <c r="V359" s="131">
        <v>0</v>
      </c>
      <c r="W359" s="154">
        <f t="shared" si="126"/>
        <v>0</v>
      </c>
      <c r="X359" s="94">
        <v>0</v>
      </c>
      <c r="Y359" s="94">
        <f t="shared" si="127"/>
        <v>0</v>
      </c>
      <c r="Z359" s="94">
        <v>0</v>
      </c>
      <c r="AA359" s="155">
        <f>INDEX(Chemical_analyses!$A:$L, MATCH($P359, Chemical_analyses!$A:$A), 9)/$R$2/(INDEX(Chemical_analyses!$A:$L, MATCH($P359, Chemical_analyses!$A:$A), 9)/$R$2+INDEX(Chemical_analyses!$A:$L, MATCH($P359, Chemical_analyses!$A:$A), 11)/$S$2+INDEX(Chemical_analyses!$A:$L, MATCH($P359, Chemical_analyses!$A:$A), 12)/$T$2)*100</f>
        <v>10.469431997904483</v>
      </c>
      <c r="AB359" s="94">
        <f t="shared" si="128"/>
        <v>44.920098937288792</v>
      </c>
      <c r="AC359" s="132">
        <f>INDEX(Chemical_analyses!$A:$L, MATCH($P359, Chemical_analyses!$A:$A), 12)/$T$2/(INDEX(Chemical_analyses!$A:$L, MATCH($P359, Chemical_analyses!$A:$A), 9)/$R$2+INDEX(Chemical_analyses!$A:$L, MATCH($P359, Chemical_analyses!$A:$A), 11)/$S$2+INDEX(Chemical_analyses!$A:$L, MATCH($P359, Chemical_analyses!$A:$A), 12)/$T$2)*100</f>
        <v>44.610469064806729</v>
      </c>
      <c r="AD359" s="94">
        <v>0</v>
      </c>
      <c r="AE359" s="94">
        <f t="shared" si="129"/>
        <v>0</v>
      </c>
      <c r="AF359" s="132">
        <v>0</v>
      </c>
      <c r="AG359" s="7" t="s">
        <v>69</v>
      </c>
      <c r="AH359" s="95" t="str">
        <f>_xlfn.CONCAT("FeO: ", INDEX(Chemical_analyses!$A:$M, MATCH($P359, Chemical_analyses!$A:$A), 9), ", MgO: ", INDEX(Chemical_analyses!$A:$M, MATCH($P359, Chemical_analyses!$A:$A), 11), ", CaO: ", INDEX(Chemical_analyses!$A:$M, MATCH($P359, Chemical_analyses!$A:$A), 12), ", MnO: ", INDEX(Chemical_analyses!$A:$M, MATCH($P359, Chemical_analyses!$A:$A), 10), ", NaO2: ", INDEX(Chemical_analyses!$A:$M, MATCH($P359, Chemical_analyses!$A:$A), 13), ", Fe2O3: ", INDEX(Chemical_analyses!$A:$M, MATCH($P359, Chemical_analyses!$A:$A), 8), ", Al2O3: ", INDEX(Chemical_analyses!$A:$M, MATCH($P359, Chemical_analyses!$A:$A), 6))</f>
        <v>FeO: 6.29, MgO: 15.14, CaO: 20.92, MnO: 0.12, NaO2: 0.4, Fe2O3: 0, Al2O3: 6.4</v>
      </c>
      <c r="AI359" s="95"/>
      <c r="AJ359" s="95"/>
      <c r="AN359" s="37"/>
      <c r="AO359" s="37"/>
      <c r="AP359" s="37"/>
      <c r="AQ359" s="37"/>
      <c r="AW359" s="37"/>
      <c r="AX359" s="37"/>
      <c r="AY359" s="37"/>
      <c r="AZ359" s="37"/>
    </row>
    <row r="360" spans="1:52" s="7" customFormat="1">
      <c r="A360" s="7" t="s">
        <v>1201</v>
      </c>
      <c r="B360" s="91" t="s">
        <v>1202</v>
      </c>
      <c r="C360" s="92" t="s">
        <v>162</v>
      </c>
      <c r="D360" s="92" t="s">
        <v>642</v>
      </c>
      <c r="E360" s="7" t="s">
        <v>643</v>
      </c>
      <c r="G360" s="7" t="s">
        <v>755</v>
      </c>
      <c r="H360" s="7" t="s">
        <v>1183</v>
      </c>
      <c r="J360" s="7">
        <v>75</v>
      </c>
      <c r="K360" s="7">
        <v>125</v>
      </c>
      <c r="L360" s="7" t="s">
        <v>64</v>
      </c>
      <c r="M360" s="7" t="s">
        <v>26</v>
      </c>
      <c r="N360" s="7" t="s">
        <v>1190</v>
      </c>
      <c r="O360" s="7" t="s">
        <v>769</v>
      </c>
      <c r="P360" s="7">
        <v>35</v>
      </c>
      <c r="Q360" s="7" t="s">
        <v>1200</v>
      </c>
      <c r="R360" s="131">
        <v>0</v>
      </c>
      <c r="S360" s="93">
        <f t="shared" si="125"/>
        <v>0</v>
      </c>
      <c r="T360" s="93">
        <v>100</v>
      </c>
      <c r="U360" s="93">
        <v>0</v>
      </c>
      <c r="V360" s="131">
        <v>0</v>
      </c>
      <c r="W360" s="154">
        <f t="shared" si="126"/>
        <v>0</v>
      </c>
      <c r="X360" s="94">
        <v>0</v>
      </c>
      <c r="Y360" s="94">
        <f t="shared" si="127"/>
        <v>0</v>
      </c>
      <c r="Z360" s="94">
        <v>0</v>
      </c>
      <c r="AA360" s="155">
        <f>INDEX(Chemical_analyses!$A:$L, MATCH($P360, Chemical_analyses!$A:$A), 9)/$R$2/(INDEX(Chemical_analyses!$A:$L, MATCH($P360, Chemical_analyses!$A:$A), 9)/$R$2+INDEX(Chemical_analyses!$A:$L, MATCH($P360, Chemical_analyses!$A:$A), 11)/$S$2+INDEX(Chemical_analyses!$A:$L, MATCH($P360, Chemical_analyses!$A:$A), 12)/$T$2)*100</f>
        <v>10.469431997904483</v>
      </c>
      <c r="AB360" s="94">
        <f t="shared" si="128"/>
        <v>44.920098937288792</v>
      </c>
      <c r="AC360" s="132">
        <f>INDEX(Chemical_analyses!$A:$L, MATCH($P360, Chemical_analyses!$A:$A), 12)/$T$2/(INDEX(Chemical_analyses!$A:$L, MATCH($P360, Chemical_analyses!$A:$A), 9)/$R$2+INDEX(Chemical_analyses!$A:$L, MATCH($P360, Chemical_analyses!$A:$A), 11)/$S$2+INDEX(Chemical_analyses!$A:$L, MATCH($P360, Chemical_analyses!$A:$A), 12)/$T$2)*100</f>
        <v>44.610469064806729</v>
      </c>
      <c r="AD360" s="94">
        <v>0</v>
      </c>
      <c r="AE360" s="94">
        <f t="shared" si="129"/>
        <v>0</v>
      </c>
      <c r="AF360" s="132">
        <v>0</v>
      </c>
      <c r="AG360" s="7" t="s">
        <v>69</v>
      </c>
      <c r="AH360" s="95" t="str">
        <f>_xlfn.CONCAT("FeO: ", INDEX(Chemical_analyses!$A:$M, MATCH($P360, Chemical_analyses!$A:$A), 9), ", MgO: ", INDEX(Chemical_analyses!$A:$M, MATCH($P360, Chemical_analyses!$A:$A), 11), ", CaO: ", INDEX(Chemical_analyses!$A:$M, MATCH($P360, Chemical_analyses!$A:$A), 12), ", MnO: ", INDEX(Chemical_analyses!$A:$M, MATCH($P360, Chemical_analyses!$A:$A), 10), ", NaO2: ", INDEX(Chemical_analyses!$A:$M, MATCH($P360, Chemical_analyses!$A:$A), 13), ", Fe2O3: ", INDEX(Chemical_analyses!$A:$M, MATCH($P360, Chemical_analyses!$A:$A), 8), ", Al2O3: ", INDEX(Chemical_analyses!$A:$M, MATCH($P360, Chemical_analyses!$A:$A), 6))</f>
        <v>FeO: 6.29, MgO: 15.14, CaO: 20.92, MnO: 0.12, NaO2: 0.4, Fe2O3: 0, Al2O3: 6.4</v>
      </c>
      <c r="AI360" s="95"/>
      <c r="AJ360" s="95"/>
      <c r="AN360" s="37"/>
      <c r="AO360" s="37"/>
      <c r="AP360" s="37"/>
      <c r="AQ360" s="37"/>
      <c r="AW360" s="37"/>
      <c r="AX360" s="37"/>
      <c r="AY360" s="37"/>
      <c r="AZ360" s="37"/>
    </row>
    <row r="361" spans="1:52" s="7" customFormat="1">
      <c r="A361" s="7" t="s">
        <v>1203</v>
      </c>
      <c r="B361" s="91" t="s">
        <v>1204</v>
      </c>
      <c r="C361" s="92" t="s">
        <v>162</v>
      </c>
      <c r="D361" s="92" t="s">
        <v>642</v>
      </c>
      <c r="E361" s="7" t="s">
        <v>643</v>
      </c>
      <c r="G361" s="7" t="s">
        <v>755</v>
      </c>
      <c r="H361" s="7" t="s">
        <v>1183</v>
      </c>
      <c r="J361" s="7">
        <v>0</v>
      </c>
      <c r="K361" s="7">
        <v>25</v>
      </c>
      <c r="L361" s="7" t="s">
        <v>64</v>
      </c>
      <c r="M361" s="7" t="s">
        <v>26</v>
      </c>
      <c r="N361" s="7" t="s">
        <v>1190</v>
      </c>
      <c r="O361" s="7" t="s">
        <v>800</v>
      </c>
      <c r="P361" s="7">
        <v>35</v>
      </c>
      <c r="Q361" s="7" t="s">
        <v>1205</v>
      </c>
      <c r="R361" s="131">
        <v>0</v>
      </c>
      <c r="S361" s="93">
        <f t="shared" si="125"/>
        <v>0</v>
      </c>
      <c r="T361" s="93">
        <v>100</v>
      </c>
      <c r="U361" s="93">
        <v>0</v>
      </c>
      <c r="V361" s="131">
        <v>0</v>
      </c>
      <c r="W361" s="154">
        <f t="shared" si="126"/>
        <v>0</v>
      </c>
      <c r="X361" s="94">
        <v>0</v>
      </c>
      <c r="Y361" s="94">
        <f t="shared" si="127"/>
        <v>0</v>
      </c>
      <c r="Z361" s="94">
        <v>0</v>
      </c>
      <c r="AA361" s="155">
        <f>INDEX(Chemical_analyses!$A:$L, MATCH($P361, Chemical_analyses!$A:$A), 9)/$R$2/(INDEX(Chemical_analyses!$A:$L, MATCH($P361, Chemical_analyses!$A:$A), 9)/$R$2+INDEX(Chemical_analyses!$A:$L, MATCH($P361, Chemical_analyses!$A:$A), 11)/$S$2+INDEX(Chemical_analyses!$A:$L, MATCH($P361, Chemical_analyses!$A:$A), 12)/$T$2)*100</f>
        <v>10.469431997904483</v>
      </c>
      <c r="AB361" s="94">
        <f t="shared" si="128"/>
        <v>44.920098937288792</v>
      </c>
      <c r="AC361" s="132">
        <f>INDEX(Chemical_analyses!$A:$L, MATCH($P361, Chemical_analyses!$A:$A), 12)/$T$2/(INDEX(Chemical_analyses!$A:$L, MATCH($P361, Chemical_analyses!$A:$A), 9)/$R$2+INDEX(Chemical_analyses!$A:$L, MATCH($P361, Chemical_analyses!$A:$A), 11)/$S$2+INDEX(Chemical_analyses!$A:$L, MATCH($P361, Chemical_analyses!$A:$A), 12)/$T$2)*100</f>
        <v>44.610469064806729</v>
      </c>
      <c r="AD361" s="94">
        <v>0</v>
      </c>
      <c r="AE361" s="94">
        <f t="shared" si="129"/>
        <v>0</v>
      </c>
      <c r="AF361" s="132">
        <v>0</v>
      </c>
      <c r="AG361" s="7" t="s">
        <v>69</v>
      </c>
      <c r="AH361" s="95" t="str">
        <f>_xlfn.CONCAT("FeO: ", INDEX(Chemical_analyses!$A:$M, MATCH($P361, Chemical_analyses!$A:$A), 9), ", MgO: ", INDEX(Chemical_analyses!$A:$M, MATCH($P361, Chemical_analyses!$A:$A), 11), ", CaO: ", INDEX(Chemical_analyses!$A:$M, MATCH($P361, Chemical_analyses!$A:$A), 12), ", MnO: ", INDEX(Chemical_analyses!$A:$M, MATCH($P361, Chemical_analyses!$A:$A), 10), ", NaO2: ", INDEX(Chemical_analyses!$A:$M, MATCH($P361, Chemical_analyses!$A:$A), 13), ", Fe2O3: ", INDEX(Chemical_analyses!$A:$M, MATCH($P361, Chemical_analyses!$A:$A), 8), ", Al2O3: ", INDEX(Chemical_analyses!$A:$M, MATCH($P361, Chemical_analyses!$A:$A), 6))</f>
        <v>FeO: 6.29, MgO: 15.14, CaO: 20.92, MnO: 0.12, NaO2: 0.4, Fe2O3: 0, Al2O3: 6.4</v>
      </c>
      <c r="AI361" s="95"/>
      <c r="AJ361" s="95"/>
      <c r="AN361" s="37"/>
      <c r="AO361" s="37"/>
      <c r="AP361" s="37"/>
      <c r="AQ361" s="37"/>
      <c r="AW361" s="37"/>
      <c r="AX361" s="37"/>
      <c r="AY361" s="37"/>
      <c r="AZ361" s="37"/>
    </row>
    <row r="362" spans="1:52" s="7" customFormat="1">
      <c r="A362" s="7" t="s">
        <v>1206</v>
      </c>
      <c r="B362" s="91" t="s">
        <v>1207</v>
      </c>
      <c r="C362" s="92" t="s">
        <v>162</v>
      </c>
      <c r="D362" s="92" t="s">
        <v>642</v>
      </c>
      <c r="E362" s="7" t="s">
        <v>643</v>
      </c>
      <c r="G362" s="7" t="s">
        <v>755</v>
      </c>
      <c r="H362" s="7" t="s">
        <v>1183</v>
      </c>
      <c r="J362" s="7">
        <v>25</v>
      </c>
      <c r="K362" s="7">
        <v>63</v>
      </c>
      <c r="L362" s="7" t="s">
        <v>64</v>
      </c>
      <c r="M362" s="7" t="s">
        <v>26</v>
      </c>
      <c r="N362" s="7" t="s">
        <v>1190</v>
      </c>
      <c r="O362" s="7" t="s">
        <v>800</v>
      </c>
      <c r="P362" s="7">
        <v>35</v>
      </c>
      <c r="Q362" s="7" t="s">
        <v>1200</v>
      </c>
      <c r="R362" s="131">
        <v>0</v>
      </c>
      <c r="S362" s="93">
        <f t="shared" si="125"/>
        <v>0</v>
      </c>
      <c r="T362" s="93">
        <v>100</v>
      </c>
      <c r="U362" s="93">
        <v>0</v>
      </c>
      <c r="V362" s="131">
        <v>0</v>
      </c>
      <c r="W362" s="154">
        <f t="shared" si="126"/>
        <v>0</v>
      </c>
      <c r="X362" s="94">
        <v>0</v>
      </c>
      <c r="Y362" s="94">
        <f t="shared" si="127"/>
        <v>0</v>
      </c>
      <c r="Z362" s="94">
        <v>0</v>
      </c>
      <c r="AA362" s="155">
        <f>INDEX(Chemical_analyses!$A:$L, MATCH($P362, Chemical_analyses!$A:$A), 9)/$R$2/(INDEX(Chemical_analyses!$A:$L, MATCH($P362, Chemical_analyses!$A:$A), 9)/$R$2+INDEX(Chemical_analyses!$A:$L, MATCH($P362, Chemical_analyses!$A:$A), 11)/$S$2+INDEX(Chemical_analyses!$A:$L, MATCH($P362, Chemical_analyses!$A:$A), 12)/$T$2)*100</f>
        <v>10.469431997904483</v>
      </c>
      <c r="AB362" s="94">
        <f t="shared" si="128"/>
        <v>44.920098937288792</v>
      </c>
      <c r="AC362" s="132">
        <f>INDEX(Chemical_analyses!$A:$L, MATCH($P362, Chemical_analyses!$A:$A), 12)/$T$2/(INDEX(Chemical_analyses!$A:$L, MATCH($P362, Chemical_analyses!$A:$A), 9)/$R$2+INDEX(Chemical_analyses!$A:$L, MATCH($P362, Chemical_analyses!$A:$A), 11)/$S$2+INDEX(Chemical_analyses!$A:$L, MATCH($P362, Chemical_analyses!$A:$A), 12)/$T$2)*100</f>
        <v>44.610469064806729</v>
      </c>
      <c r="AD362" s="94">
        <v>0</v>
      </c>
      <c r="AE362" s="94">
        <f t="shared" si="129"/>
        <v>0</v>
      </c>
      <c r="AF362" s="132">
        <v>0</v>
      </c>
      <c r="AG362" s="7" t="s">
        <v>69</v>
      </c>
      <c r="AH362" s="95" t="str">
        <f>_xlfn.CONCAT("FeO: ", INDEX(Chemical_analyses!$A:$M, MATCH($P362, Chemical_analyses!$A:$A), 9), ", MgO: ", INDEX(Chemical_analyses!$A:$M, MATCH($P362, Chemical_analyses!$A:$A), 11), ", CaO: ", INDEX(Chemical_analyses!$A:$M, MATCH($P362, Chemical_analyses!$A:$A), 12), ", MnO: ", INDEX(Chemical_analyses!$A:$M, MATCH($P362, Chemical_analyses!$A:$A), 10), ", NaO2: ", INDEX(Chemical_analyses!$A:$M, MATCH($P362, Chemical_analyses!$A:$A), 13), ", Fe2O3: ", INDEX(Chemical_analyses!$A:$M, MATCH($P362, Chemical_analyses!$A:$A), 8), ", Al2O3: ", INDEX(Chemical_analyses!$A:$M, MATCH($P362, Chemical_analyses!$A:$A), 6))</f>
        <v>FeO: 6.29, MgO: 15.14, CaO: 20.92, MnO: 0.12, NaO2: 0.4, Fe2O3: 0, Al2O3: 6.4</v>
      </c>
      <c r="AI362" s="95"/>
      <c r="AJ362" s="95"/>
      <c r="AN362" s="37"/>
      <c r="AO362" s="37"/>
      <c r="AP362" s="37"/>
      <c r="AQ362" s="37"/>
      <c r="AW362" s="37"/>
      <c r="AX362" s="37"/>
      <c r="AY362" s="37"/>
      <c r="AZ362" s="37"/>
    </row>
    <row r="363" spans="1:52" s="7" customFormat="1">
      <c r="A363" s="7" t="s">
        <v>1208</v>
      </c>
      <c r="B363" s="91" t="s">
        <v>1209</v>
      </c>
      <c r="C363" s="92" t="s">
        <v>162</v>
      </c>
      <c r="D363" s="92" t="s">
        <v>642</v>
      </c>
      <c r="E363" s="7" t="s">
        <v>643</v>
      </c>
      <c r="G363" s="7" t="s">
        <v>755</v>
      </c>
      <c r="H363" s="7" t="s">
        <v>1183</v>
      </c>
      <c r="J363" s="7">
        <v>63</v>
      </c>
      <c r="K363" s="7">
        <v>125</v>
      </c>
      <c r="L363" s="7" t="s">
        <v>64</v>
      </c>
      <c r="M363" s="7" t="s">
        <v>26</v>
      </c>
      <c r="N363" s="7" t="s">
        <v>1190</v>
      </c>
      <c r="O363" s="7" t="s">
        <v>800</v>
      </c>
      <c r="P363" s="7">
        <v>35</v>
      </c>
      <c r="Q363" s="7" t="s">
        <v>1200</v>
      </c>
      <c r="R363" s="131">
        <v>0</v>
      </c>
      <c r="S363" s="93">
        <f t="shared" si="125"/>
        <v>0</v>
      </c>
      <c r="T363" s="93">
        <v>100</v>
      </c>
      <c r="U363" s="93">
        <v>0</v>
      </c>
      <c r="V363" s="131">
        <v>0</v>
      </c>
      <c r="W363" s="154">
        <f t="shared" si="126"/>
        <v>0</v>
      </c>
      <c r="X363" s="94">
        <v>0</v>
      </c>
      <c r="Y363" s="94">
        <f t="shared" si="127"/>
        <v>0</v>
      </c>
      <c r="Z363" s="94">
        <v>0</v>
      </c>
      <c r="AA363" s="155">
        <f>INDEX(Chemical_analyses!$A:$L, MATCH($P363, Chemical_analyses!$A:$A), 9)/$R$2/(INDEX(Chemical_analyses!$A:$L, MATCH($P363, Chemical_analyses!$A:$A), 9)/$R$2+INDEX(Chemical_analyses!$A:$L, MATCH($P363, Chemical_analyses!$A:$A), 11)/$S$2+INDEX(Chemical_analyses!$A:$L, MATCH($P363, Chemical_analyses!$A:$A), 12)/$T$2)*100</f>
        <v>10.469431997904483</v>
      </c>
      <c r="AB363" s="94">
        <f t="shared" si="128"/>
        <v>44.920098937288792</v>
      </c>
      <c r="AC363" s="132">
        <f>INDEX(Chemical_analyses!$A:$L, MATCH($P363, Chemical_analyses!$A:$A), 12)/$T$2/(INDEX(Chemical_analyses!$A:$L, MATCH($P363, Chemical_analyses!$A:$A), 9)/$R$2+INDEX(Chemical_analyses!$A:$L, MATCH($P363, Chemical_analyses!$A:$A), 11)/$S$2+INDEX(Chemical_analyses!$A:$L, MATCH($P363, Chemical_analyses!$A:$A), 12)/$T$2)*100</f>
        <v>44.610469064806729</v>
      </c>
      <c r="AD363" s="94">
        <v>0</v>
      </c>
      <c r="AE363" s="94">
        <f t="shared" si="129"/>
        <v>0</v>
      </c>
      <c r="AF363" s="132">
        <v>0</v>
      </c>
      <c r="AG363" s="7" t="s">
        <v>69</v>
      </c>
      <c r="AH363" s="95" t="str">
        <f>_xlfn.CONCAT("FeO: ", INDEX(Chemical_analyses!$A:$M, MATCH($P363, Chemical_analyses!$A:$A), 9), ", MgO: ", INDEX(Chemical_analyses!$A:$M, MATCH($P363, Chemical_analyses!$A:$A), 11), ", CaO: ", INDEX(Chemical_analyses!$A:$M, MATCH($P363, Chemical_analyses!$A:$A), 12), ", MnO: ", INDEX(Chemical_analyses!$A:$M, MATCH($P363, Chemical_analyses!$A:$A), 10), ", NaO2: ", INDEX(Chemical_analyses!$A:$M, MATCH($P363, Chemical_analyses!$A:$A), 13), ", Fe2O3: ", INDEX(Chemical_analyses!$A:$M, MATCH($P363, Chemical_analyses!$A:$A), 8), ", Al2O3: ", INDEX(Chemical_analyses!$A:$M, MATCH($P363, Chemical_analyses!$A:$A), 6))</f>
        <v>FeO: 6.29, MgO: 15.14, CaO: 20.92, MnO: 0.12, NaO2: 0.4, Fe2O3: 0, Al2O3: 6.4</v>
      </c>
      <c r="AI363" s="95"/>
      <c r="AJ363" s="95"/>
      <c r="AN363" s="37"/>
      <c r="AO363" s="37"/>
      <c r="AP363" s="37"/>
      <c r="AQ363" s="37"/>
      <c r="AW363" s="37"/>
      <c r="AX363" s="37"/>
      <c r="AY363" s="37"/>
      <c r="AZ363" s="37"/>
    </row>
    <row r="364" spans="1:52" s="7" customFormat="1">
      <c r="A364" s="7" t="s">
        <v>1210</v>
      </c>
      <c r="B364" s="91" t="s">
        <v>1211</v>
      </c>
      <c r="C364" s="92" t="s">
        <v>162</v>
      </c>
      <c r="D364" s="92" t="s">
        <v>642</v>
      </c>
      <c r="E364" s="7" t="s">
        <v>643</v>
      </c>
      <c r="G364" s="7" t="s">
        <v>755</v>
      </c>
      <c r="H364" s="7" t="s">
        <v>1183</v>
      </c>
      <c r="J364" s="7">
        <v>0</v>
      </c>
      <c r="K364" s="7">
        <v>25</v>
      </c>
      <c r="L364" s="7" t="s">
        <v>64</v>
      </c>
      <c r="M364" s="7" t="s">
        <v>26</v>
      </c>
      <c r="N364" s="7" t="s">
        <v>1190</v>
      </c>
      <c r="O364" s="7" t="s">
        <v>791</v>
      </c>
      <c r="P364" s="7">
        <v>35</v>
      </c>
      <c r="Q364" s="7" t="s">
        <v>1212</v>
      </c>
      <c r="R364" s="131">
        <v>0</v>
      </c>
      <c r="S364" s="93">
        <f t="shared" si="125"/>
        <v>0</v>
      </c>
      <c r="T364" s="93">
        <v>100</v>
      </c>
      <c r="U364" s="93">
        <v>0</v>
      </c>
      <c r="V364" s="131">
        <v>0</v>
      </c>
      <c r="W364" s="154">
        <f t="shared" si="126"/>
        <v>0</v>
      </c>
      <c r="X364" s="94">
        <v>0</v>
      </c>
      <c r="Y364" s="94">
        <f t="shared" si="127"/>
        <v>0</v>
      </c>
      <c r="Z364" s="94">
        <v>0</v>
      </c>
      <c r="AA364" s="155">
        <f>INDEX(Chemical_analyses!$A:$L, MATCH($P364, Chemical_analyses!$A:$A), 9)/$R$2/(INDEX(Chemical_analyses!$A:$L, MATCH($P364, Chemical_analyses!$A:$A), 9)/$R$2+INDEX(Chemical_analyses!$A:$L, MATCH($P364, Chemical_analyses!$A:$A), 11)/$S$2+INDEX(Chemical_analyses!$A:$L, MATCH($P364, Chemical_analyses!$A:$A), 12)/$T$2)*100</f>
        <v>10.469431997904483</v>
      </c>
      <c r="AB364" s="94">
        <f t="shared" si="128"/>
        <v>44.920098937288792</v>
      </c>
      <c r="AC364" s="132">
        <f>INDEX(Chemical_analyses!$A:$L, MATCH($P364, Chemical_analyses!$A:$A), 12)/$T$2/(INDEX(Chemical_analyses!$A:$L, MATCH($P364, Chemical_analyses!$A:$A), 9)/$R$2+INDEX(Chemical_analyses!$A:$L, MATCH($P364, Chemical_analyses!$A:$A), 11)/$S$2+INDEX(Chemical_analyses!$A:$L, MATCH($P364, Chemical_analyses!$A:$A), 12)/$T$2)*100</f>
        <v>44.610469064806729</v>
      </c>
      <c r="AD364" s="94">
        <v>0</v>
      </c>
      <c r="AE364" s="94">
        <f t="shared" si="129"/>
        <v>0</v>
      </c>
      <c r="AF364" s="132">
        <v>0</v>
      </c>
      <c r="AG364" s="7" t="s">
        <v>69</v>
      </c>
      <c r="AH364" s="95" t="str">
        <f>_xlfn.CONCAT("FeO: ", INDEX(Chemical_analyses!$A:$M, MATCH($P364, Chemical_analyses!$A:$A), 9), ", MgO: ", INDEX(Chemical_analyses!$A:$M, MATCH($P364, Chemical_analyses!$A:$A), 11), ", CaO: ", INDEX(Chemical_analyses!$A:$M, MATCH($P364, Chemical_analyses!$A:$A), 12), ", MnO: ", INDEX(Chemical_analyses!$A:$M, MATCH($P364, Chemical_analyses!$A:$A), 10), ", NaO2: ", INDEX(Chemical_analyses!$A:$M, MATCH($P364, Chemical_analyses!$A:$A), 13), ", Fe2O3: ", INDEX(Chemical_analyses!$A:$M, MATCH($P364, Chemical_analyses!$A:$A), 8), ", Al2O3: ", INDEX(Chemical_analyses!$A:$M, MATCH($P364, Chemical_analyses!$A:$A), 6))</f>
        <v>FeO: 6.29, MgO: 15.14, CaO: 20.92, MnO: 0.12, NaO2: 0.4, Fe2O3: 0, Al2O3: 6.4</v>
      </c>
      <c r="AI364" s="95"/>
      <c r="AJ364" s="95"/>
      <c r="AN364" s="37"/>
      <c r="AO364" s="37"/>
      <c r="AP364" s="37"/>
      <c r="AQ364" s="37"/>
      <c r="AW364" s="37"/>
      <c r="AX364" s="37"/>
      <c r="AY364" s="37"/>
      <c r="AZ364" s="37"/>
    </row>
    <row r="365" spans="1:52" s="7" customFormat="1">
      <c r="A365" s="7" t="s">
        <v>1213</v>
      </c>
      <c r="B365" s="91" t="s">
        <v>1214</v>
      </c>
      <c r="C365" s="92" t="s">
        <v>162</v>
      </c>
      <c r="D365" s="92" t="s">
        <v>642</v>
      </c>
      <c r="E365" s="7" t="s">
        <v>643</v>
      </c>
      <c r="G365" s="7" t="s">
        <v>755</v>
      </c>
      <c r="H365" s="7" t="s">
        <v>1183</v>
      </c>
      <c r="J365" s="7">
        <v>25</v>
      </c>
      <c r="K365" s="7">
        <v>75</v>
      </c>
      <c r="L365" s="7" t="s">
        <v>64</v>
      </c>
      <c r="M365" s="7" t="s">
        <v>26</v>
      </c>
      <c r="N365" s="7" t="s">
        <v>1190</v>
      </c>
      <c r="O365" s="7" t="s">
        <v>791</v>
      </c>
      <c r="P365" s="7">
        <v>35</v>
      </c>
      <c r="Q365" s="7" t="s">
        <v>1215</v>
      </c>
      <c r="R365" s="131">
        <v>0</v>
      </c>
      <c r="S365" s="93">
        <f t="shared" si="125"/>
        <v>0</v>
      </c>
      <c r="T365" s="93">
        <v>100</v>
      </c>
      <c r="U365" s="93">
        <v>0</v>
      </c>
      <c r="V365" s="131">
        <v>0</v>
      </c>
      <c r="W365" s="154">
        <f t="shared" si="126"/>
        <v>0</v>
      </c>
      <c r="X365" s="94">
        <v>0</v>
      </c>
      <c r="Y365" s="94">
        <f t="shared" si="127"/>
        <v>0</v>
      </c>
      <c r="Z365" s="94">
        <v>0</v>
      </c>
      <c r="AA365" s="155">
        <f>INDEX(Chemical_analyses!$A:$L, MATCH($P365, Chemical_analyses!$A:$A), 9)/$R$2/(INDEX(Chemical_analyses!$A:$L, MATCH($P365, Chemical_analyses!$A:$A), 9)/$R$2+INDEX(Chemical_analyses!$A:$L, MATCH($P365, Chemical_analyses!$A:$A), 11)/$S$2+INDEX(Chemical_analyses!$A:$L, MATCH($P365, Chemical_analyses!$A:$A), 12)/$T$2)*100</f>
        <v>10.469431997904483</v>
      </c>
      <c r="AB365" s="94">
        <f t="shared" si="128"/>
        <v>44.920098937288792</v>
      </c>
      <c r="AC365" s="132">
        <f>INDEX(Chemical_analyses!$A:$L, MATCH($P365, Chemical_analyses!$A:$A), 12)/$T$2/(INDEX(Chemical_analyses!$A:$L, MATCH($P365, Chemical_analyses!$A:$A), 9)/$R$2+INDEX(Chemical_analyses!$A:$L, MATCH($P365, Chemical_analyses!$A:$A), 11)/$S$2+INDEX(Chemical_analyses!$A:$L, MATCH($P365, Chemical_analyses!$A:$A), 12)/$T$2)*100</f>
        <v>44.610469064806729</v>
      </c>
      <c r="AD365" s="94">
        <v>0</v>
      </c>
      <c r="AE365" s="94">
        <f t="shared" si="129"/>
        <v>0</v>
      </c>
      <c r="AF365" s="132">
        <v>0</v>
      </c>
      <c r="AG365" s="7" t="s">
        <v>69</v>
      </c>
      <c r="AH365" s="95" t="str">
        <f>_xlfn.CONCAT("FeO: ", INDEX(Chemical_analyses!$A:$M, MATCH($P365, Chemical_analyses!$A:$A), 9), ", MgO: ", INDEX(Chemical_analyses!$A:$M, MATCH($P365, Chemical_analyses!$A:$A), 11), ", CaO: ", INDEX(Chemical_analyses!$A:$M, MATCH($P365, Chemical_analyses!$A:$A), 12), ", MnO: ", INDEX(Chemical_analyses!$A:$M, MATCH($P365, Chemical_analyses!$A:$A), 10), ", NaO2: ", INDEX(Chemical_analyses!$A:$M, MATCH($P365, Chemical_analyses!$A:$A), 13), ", Fe2O3: ", INDEX(Chemical_analyses!$A:$M, MATCH($P365, Chemical_analyses!$A:$A), 8), ", Al2O3: ", INDEX(Chemical_analyses!$A:$M, MATCH($P365, Chemical_analyses!$A:$A), 6))</f>
        <v>FeO: 6.29, MgO: 15.14, CaO: 20.92, MnO: 0.12, NaO2: 0.4, Fe2O3: 0, Al2O3: 6.4</v>
      </c>
      <c r="AI365" s="95"/>
      <c r="AJ365" s="95"/>
      <c r="AN365" s="37"/>
      <c r="AO365" s="37"/>
      <c r="AP365" s="37"/>
      <c r="AQ365" s="37"/>
      <c r="AW365" s="37"/>
      <c r="AX365" s="37"/>
      <c r="AY365" s="37"/>
      <c r="AZ365" s="37"/>
    </row>
    <row r="366" spans="1:52" s="7" customFormat="1">
      <c r="A366" s="7" t="s">
        <v>1216</v>
      </c>
      <c r="B366" s="91" t="s">
        <v>1217</v>
      </c>
      <c r="C366" s="92" t="s">
        <v>162</v>
      </c>
      <c r="D366" s="92" t="s">
        <v>642</v>
      </c>
      <c r="E366" s="7" t="s">
        <v>643</v>
      </c>
      <c r="G366" s="7" t="s">
        <v>755</v>
      </c>
      <c r="H366" s="7" t="s">
        <v>1183</v>
      </c>
      <c r="J366" s="7">
        <v>75</v>
      </c>
      <c r="K366" s="7">
        <v>250</v>
      </c>
      <c r="L366" s="7" t="s">
        <v>64</v>
      </c>
      <c r="M366" s="7" t="s">
        <v>26</v>
      </c>
      <c r="N366" s="7" t="s">
        <v>1190</v>
      </c>
      <c r="O366" s="7" t="s">
        <v>791</v>
      </c>
      <c r="P366" s="7">
        <v>35</v>
      </c>
      <c r="Q366" s="7" t="s">
        <v>1215</v>
      </c>
      <c r="R366" s="131">
        <v>0</v>
      </c>
      <c r="S366" s="93">
        <f t="shared" si="125"/>
        <v>0</v>
      </c>
      <c r="T366" s="93">
        <v>100</v>
      </c>
      <c r="U366" s="93">
        <v>0</v>
      </c>
      <c r="V366" s="131">
        <v>0</v>
      </c>
      <c r="W366" s="154">
        <f t="shared" si="126"/>
        <v>0</v>
      </c>
      <c r="X366" s="94">
        <v>0</v>
      </c>
      <c r="Y366" s="94">
        <f t="shared" si="127"/>
        <v>0</v>
      </c>
      <c r="Z366" s="94">
        <v>0</v>
      </c>
      <c r="AA366" s="155">
        <f>INDEX(Chemical_analyses!$A:$L, MATCH($P366, Chemical_analyses!$A:$A), 9)/$R$2/(INDEX(Chemical_analyses!$A:$L, MATCH($P366, Chemical_analyses!$A:$A), 9)/$R$2+INDEX(Chemical_analyses!$A:$L, MATCH($P366, Chemical_analyses!$A:$A), 11)/$S$2+INDEX(Chemical_analyses!$A:$L, MATCH($P366, Chemical_analyses!$A:$A), 12)/$T$2)*100</f>
        <v>10.469431997904483</v>
      </c>
      <c r="AB366" s="94">
        <f t="shared" si="128"/>
        <v>44.920098937288792</v>
      </c>
      <c r="AC366" s="132">
        <f>INDEX(Chemical_analyses!$A:$L, MATCH($P366, Chemical_analyses!$A:$A), 12)/$T$2/(INDEX(Chemical_analyses!$A:$L, MATCH($P366, Chemical_analyses!$A:$A), 9)/$R$2+INDEX(Chemical_analyses!$A:$L, MATCH($P366, Chemical_analyses!$A:$A), 11)/$S$2+INDEX(Chemical_analyses!$A:$L, MATCH($P366, Chemical_analyses!$A:$A), 12)/$T$2)*100</f>
        <v>44.610469064806729</v>
      </c>
      <c r="AD366" s="94">
        <v>0</v>
      </c>
      <c r="AE366" s="94">
        <f t="shared" si="129"/>
        <v>0</v>
      </c>
      <c r="AF366" s="132">
        <v>0</v>
      </c>
      <c r="AG366" s="7" t="s">
        <v>69</v>
      </c>
      <c r="AH366" s="95" t="str">
        <f>_xlfn.CONCAT("FeO: ", INDEX(Chemical_analyses!$A:$M, MATCH($P366, Chemical_analyses!$A:$A), 9), ", MgO: ", INDEX(Chemical_analyses!$A:$M, MATCH($P366, Chemical_analyses!$A:$A), 11), ", CaO: ", INDEX(Chemical_analyses!$A:$M, MATCH($P366, Chemical_analyses!$A:$A), 12), ", MnO: ", INDEX(Chemical_analyses!$A:$M, MATCH($P366, Chemical_analyses!$A:$A), 10), ", NaO2: ", INDEX(Chemical_analyses!$A:$M, MATCH($P366, Chemical_analyses!$A:$A), 13), ", Fe2O3: ", INDEX(Chemical_analyses!$A:$M, MATCH($P366, Chemical_analyses!$A:$A), 8), ", Al2O3: ", INDEX(Chemical_analyses!$A:$M, MATCH($P366, Chemical_analyses!$A:$A), 6))</f>
        <v>FeO: 6.29, MgO: 15.14, CaO: 20.92, MnO: 0.12, NaO2: 0.4, Fe2O3: 0, Al2O3: 6.4</v>
      </c>
      <c r="AI366" s="95"/>
      <c r="AJ366" s="95"/>
      <c r="AN366" s="37"/>
      <c r="AO366" s="37"/>
      <c r="AP366" s="37"/>
      <c r="AQ366" s="37"/>
      <c r="AW366" s="37"/>
      <c r="AX366" s="37"/>
      <c r="AY366" s="37"/>
      <c r="AZ366" s="37"/>
    </row>
    <row r="367" spans="1:52" s="7" customFormat="1">
      <c r="A367" s="7" t="s">
        <v>1218</v>
      </c>
      <c r="B367" s="91" t="s">
        <v>1219</v>
      </c>
      <c r="C367" s="92" t="s">
        <v>162</v>
      </c>
      <c r="D367" s="92" t="s">
        <v>642</v>
      </c>
      <c r="E367" s="7" t="s">
        <v>643</v>
      </c>
      <c r="G367" s="7" t="s">
        <v>755</v>
      </c>
      <c r="H367" s="7" t="s">
        <v>1183</v>
      </c>
      <c r="J367" s="7">
        <v>75</v>
      </c>
      <c r="K367" s="7">
        <v>125</v>
      </c>
      <c r="L367" s="7" t="s">
        <v>64</v>
      </c>
      <c r="M367" s="7" t="s">
        <v>26</v>
      </c>
      <c r="N367" s="7" t="s">
        <v>1190</v>
      </c>
      <c r="O367" s="7" t="s">
        <v>791</v>
      </c>
      <c r="P367" s="7">
        <v>35</v>
      </c>
      <c r="Q367" s="7" t="s">
        <v>1215</v>
      </c>
      <c r="R367" s="131">
        <v>0</v>
      </c>
      <c r="S367" s="93">
        <f t="shared" si="125"/>
        <v>0</v>
      </c>
      <c r="T367" s="93">
        <v>100</v>
      </c>
      <c r="U367" s="93">
        <v>0</v>
      </c>
      <c r="V367" s="131">
        <v>0</v>
      </c>
      <c r="W367" s="154">
        <f t="shared" si="126"/>
        <v>0</v>
      </c>
      <c r="X367" s="94">
        <v>0</v>
      </c>
      <c r="Y367" s="94">
        <f t="shared" si="127"/>
        <v>0</v>
      </c>
      <c r="Z367" s="94">
        <v>0</v>
      </c>
      <c r="AA367" s="155">
        <f>INDEX(Chemical_analyses!$A:$L, MATCH($P367, Chemical_analyses!$A:$A), 9)/$R$2/(INDEX(Chemical_analyses!$A:$L, MATCH($P367, Chemical_analyses!$A:$A), 9)/$R$2+INDEX(Chemical_analyses!$A:$L, MATCH($P367, Chemical_analyses!$A:$A), 11)/$S$2+INDEX(Chemical_analyses!$A:$L, MATCH($P367, Chemical_analyses!$A:$A), 12)/$T$2)*100</f>
        <v>10.469431997904483</v>
      </c>
      <c r="AB367" s="94">
        <f t="shared" si="128"/>
        <v>44.920098937288792</v>
      </c>
      <c r="AC367" s="132">
        <f>INDEX(Chemical_analyses!$A:$L, MATCH($P367, Chemical_analyses!$A:$A), 12)/$T$2/(INDEX(Chemical_analyses!$A:$L, MATCH($P367, Chemical_analyses!$A:$A), 9)/$R$2+INDEX(Chemical_analyses!$A:$L, MATCH($P367, Chemical_analyses!$A:$A), 11)/$S$2+INDEX(Chemical_analyses!$A:$L, MATCH($P367, Chemical_analyses!$A:$A), 12)/$T$2)*100</f>
        <v>44.610469064806729</v>
      </c>
      <c r="AD367" s="94">
        <v>0</v>
      </c>
      <c r="AE367" s="94">
        <f t="shared" si="129"/>
        <v>0</v>
      </c>
      <c r="AF367" s="132">
        <v>0</v>
      </c>
      <c r="AG367" s="7" t="s">
        <v>69</v>
      </c>
      <c r="AH367" s="95" t="str">
        <f>_xlfn.CONCAT("FeO: ", INDEX(Chemical_analyses!$A:$M, MATCH($P367, Chemical_analyses!$A:$A), 9), ", MgO: ", INDEX(Chemical_analyses!$A:$M, MATCH($P367, Chemical_analyses!$A:$A), 11), ", CaO: ", INDEX(Chemical_analyses!$A:$M, MATCH($P367, Chemical_analyses!$A:$A), 12), ", MnO: ", INDEX(Chemical_analyses!$A:$M, MATCH($P367, Chemical_analyses!$A:$A), 10), ", NaO2: ", INDEX(Chemical_analyses!$A:$M, MATCH($P367, Chemical_analyses!$A:$A), 13), ", Fe2O3: ", INDEX(Chemical_analyses!$A:$M, MATCH($P367, Chemical_analyses!$A:$A), 8), ", Al2O3: ", INDEX(Chemical_analyses!$A:$M, MATCH($P367, Chemical_analyses!$A:$A), 6))</f>
        <v>FeO: 6.29, MgO: 15.14, CaO: 20.92, MnO: 0.12, NaO2: 0.4, Fe2O3: 0, Al2O3: 6.4</v>
      </c>
      <c r="AI367" s="95"/>
      <c r="AJ367" s="95"/>
      <c r="AN367" s="37"/>
      <c r="AO367" s="37"/>
      <c r="AP367" s="37"/>
      <c r="AQ367" s="37"/>
      <c r="AW367" s="37"/>
      <c r="AX367" s="37"/>
      <c r="AY367" s="37"/>
      <c r="AZ367" s="37"/>
    </row>
    <row r="368" spans="1:52" s="7" customFormat="1">
      <c r="A368" s="7" t="s">
        <v>1220</v>
      </c>
      <c r="B368" s="91" t="s">
        <v>1221</v>
      </c>
      <c r="C368" s="92" t="s">
        <v>162</v>
      </c>
      <c r="D368" s="92" t="s">
        <v>642</v>
      </c>
      <c r="E368" s="7" t="s">
        <v>643</v>
      </c>
      <c r="G368" s="7" t="s">
        <v>755</v>
      </c>
      <c r="H368" s="7" t="s">
        <v>1183</v>
      </c>
      <c r="J368" s="7">
        <v>0</v>
      </c>
      <c r="K368" s="7">
        <v>0</v>
      </c>
      <c r="L368" s="7" t="s">
        <v>64</v>
      </c>
      <c r="M368" s="7" t="s">
        <v>26</v>
      </c>
      <c r="N368" s="7" t="s">
        <v>1190</v>
      </c>
      <c r="O368" s="7" t="s">
        <v>791</v>
      </c>
      <c r="P368" s="7">
        <v>0</v>
      </c>
      <c r="R368" s="131">
        <v>0</v>
      </c>
      <c r="S368" s="93">
        <f t="shared" si="125"/>
        <v>0</v>
      </c>
      <c r="T368" s="93">
        <v>100</v>
      </c>
      <c r="U368" s="93">
        <v>0</v>
      </c>
      <c r="V368" s="131">
        <v>0</v>
      </c>
      <c r="W368" s="154">
        <f t="shared" si="126"/>
        <v>0</v>
      </c>
      <c r="X368" s="94">
        <v>0</v>
      </c>
      <c r="Y368" s="94">
        <f t="shared" si="127"/>
        <v>0</v>
      </c>
      <c r="Z368" s="94">
        <v>0</v>
      </c>
      <c r="AA368" s="155">
        <v>10</v>
      </c>
      <c r="AB368" s="94">
        <f t="shared" si="128"/>
        <v>45</v>
      </c>
      <c r="AC368" s="132">
        <v>45</v>
      </c>
      <c r="AD368" s="94">
        <v>0</v>
      </c>
      <c r="AE368" s="94">
        <f t="shared" si="129"/>
        <v>0</v>
      </c>
      <c r="AF368" s="132">
        <v>0</v>
      </c>
      <c r="AG368" s="7" t="s">
        <v>69</v>
      </c>
      <c r="AH368" s="7" t="s">
        <v>1222</v>
      </c>
      <c r="AI368" s="95"/>
      <c r="AJ368" s="95"/>
      <c r="AN368" s="37"/>
      <c r="AO368" s="37"/>
      <c r="AP368" s="37"/>
      <c r="AQ368" s="37"/>
      <c r="AW368" s="37"/>
      <c r="AX368" s="37"/>
      <c r="AY368" s="37"/>
      <c r="AZ368" s="37"/>
    </row>
    <row r="369" spans="1:52" s="7" customFormat="1">
      <c r="A369" s="7" t="s">
        <v>1223</v>
      </c>
      <c r="B369" s="91" t="s">
        <v>1224</v>
      </c>
      <c r="C369" s="92" t="s">
        <v>162</v>
      </c>
      <c r="D369" s="92" t="s">
        <v>642</v>
      </c>
      <c r="E369" s="7" t="s">
        <v>643</v>
      </c>
      <c r="G369" s="7" t="s">
        <v>755</v>
      </c>
      <c r="H369" s="7" t="s">
        <v>1183</v>
      </c>
      <c r="J369" s="7">
        <v>0</v>
      </c>
      <c r="K369" s="7">
        <v>0</v>
      </c>
      <c r="L369" s="7" t="s">
        <v>64</v>
      </c>
      <c r="M369" s="7" t="s">
        <v>26</v>
      </c>
      <c r="N369" s="7" t="s">
        <v>1190</v>
      </c>
      <c r="O369" s="7" t="s">
        <v>791</v>
      </c>
      <c r="P369" s="7">
        <v>35</v>
      </c>
      <c r="Q369" s="7" t="s">
        <v>1215</v>
      </c>
      <c r="R369" s="131">
        <v>0</v>
      </c>
      <c r="S369" s="93">
        <f t="shared" si="125"/>
        <v>0</v>
      </c>
      <c r="T369" s="93">
        <v>100</v>
      </c>
      <c r="U369" s="93">
        <v>0</v>
      </c>
      <c r="V369" s="131">
        <v>0</v>
      </c>
      <c r="W369" s="154">
        <f t="shared" si="126"/>
        <v>0</v>
      </c>
      <c r="X369" s="94">
        <v>0</v>
      </c>
      <c r="Y369" s="94">
        <f t="shared" si="127"/>
        <v>0</v>
      </c>
      <c r="Z369" s="94">
        <v>0</v>
      </c>
      <c r="AA369" s="155">
        <f>INDEX(Chemical_analyses!$A:$L, MATCH($P369, Chemical_analyses!$A:$A), 9)/$R$2/(INDEX(Chemical_analyses!$A:$L, MATCH($P369, Chemical_analyses!$A:$A), 9)/$R$2+INDEX(Chemical_analyses!$A:$L, MATCH($P369, Chemical_analyses!$A:$A), 11)/$S$2+INDEX(Chemical_analyses!$A:$L, MATCH($P369, Chemical_analyses!$A:$A), 12)/$T$2)*100</f>
        <v>10.469431997904483</v>
      </c>
      <c r="AB369" s="94">
        <f t="shared" si="128"/>
        <v>44.920098937288792</v>
      </c>
      <c r="AC369" s="132">
        <f>INDEX(Chemical_analyses!$A:$L, MATCH($P369, Chemical_analyses!$A:$A), 12)/$T$2/(INDEX(Chemical_analyses!$A:$L, MATCH($P369, Chemical_analyses!$A:$A), 9)/$R$2+INDEX(Chemical_analyses!$A:$L, MATCH($P369, Chemical_analyses!$A:$A), 11)/$S$2+INDEX(Chemical_analyses!$A:$L, MATCH($P369, Chemical_analyses!$A:$A), 12)/$T$2)*100</f>
        <v>44.610469064806729</v>
      </c>
      <c r="AD369" s="94">
        <v>0</v>
      </c>
      <c r="AE369" s="94">
        <f t="shared" si="129"/>
        <v>0</v>
      </c>
      <c r="AF369" s="132">
        <v>0</v>
      </c>
      <c r="AG369" s="7" t="s">
        <v>69</v>
      </c>
      <c r="AH369" s="95" t="str">
        <f>_xlfn.CONCAT("FeO: ", INDEX(Chemical_analyses!$A:$M, MATCH($P369, Chemical_analyses!$A:$A), 9), ", MgO: ", INDEX(Chemical_analyses!$A:$M, MATCH($P369, Chemical_analyses!$A:$A), 11), ", CaO: ", INDEX(Chemical_analyses!$A:$M, MATCH($P369, Chemical_analyses!$A:$A), 12), ", MnO: ", INDEX(Chemical_analyses!$A:$M, MATCH($P369, Chemical_analyses!$A:$A), 10), ", NaO2: ", INDEX(Chemical_analyses!$A:$M, MATCH($P369, Chemical_analyses!$A:$A), 13), ", Fe2O3: ", INDEX(Chemical_analyses!$A:$M, MATCH($P369, Chemical_analyses!$A:$A), 8), ", Al2O3: ", INDEX(Chemical_analyses!$A:$M, MATCH($P369, Chemical_analyses!$A:$A), 6))</f>
        <v>FeO: 6.29, MgO: 15.14, CaO: 20.92, MnO: 0.12, NaO2: 0.4, Fe2O3: 0, Al2O3: 6.4</v>
      </c>
      <c r="AI369" s="95"/>
      <c r="AJ369" s="95"/>
      <c r="AN369" s="37"/>
      <c r="AO369" s="37"/>
      <c r="AP369" s="37"/>
      <c r="AQ369" s="37"/>
      <c r="AW369" s="37"/>
      <c r="AX369" s="37"/>
      <c r="AY369" s="37"/>
      <c r="AZ369" s="37"/>
    </row>
    <row r="370" spans="1:52" s="7" customFormat="1">
      <c r="A370" s="7" t="s">
        <v>1225</v>
      </c>
      <c r="B370" s="91" t="s">
        <v>1226</v>
      </c>
      <c r="C370" s="92" t="s">
        <v>162</v>
      </c>
      <c r="D370" s="92" t="s">
        <v>642</v>
      </c>
      <c r="E370" s="7" t="s">
        <v>643</v>
      </c>
      <c r="G370" s="7" t="s">
        <v>755</v>
      </c>
      <c r="H370" s="7" t="s">
        <v>1183</v>
      </c>
      <c r="J370" s="7">
        <v>0</v>
      </c>
      <c r="K370" s="7">
        <v>0</v>
      </c>
      <c r="L370" s="7" t="s">
        <v>64</v>
      </c>
      <c r="M370" s="7" t="s">
        <v>26</v>
      </c>
      <c r="N370" s="7" t="s">
        <v>1190</v>
      </c>
      <c r="O370" s="7" t="s">
        <v>791</v>
      </c>
      <c r="P370" s="7">
        <v>35</v>
      </c>
      <c r="Q370" s="7" t="s">
        <v>1215</v>
      </c>
      <c r="R370" s="131">
        <v>0</v>
      </c>
      <c r="S370" s="93">
        <f t="shared" si="125"/>
        <v>0</v>
      </c>
      <c r="T370" s="93">
        <v>100</v>
      </c>
      <c r="U370" s="93">
        <v>0</v>
      </c>
      <c r="V370" s="131">
        <v>0</v>
      </c>
      <c r="W370" s="154">
        <f t="shared" si="126"/>
        <v>0</v>
      </c>
      <c r="X370" s="94">
        <v>0</v>
      </c>
      <c r="Y370" s="94">
        <f t="shared" si="127"/>
        <v>0</v>
      </c>
      <c r="Z370" s="94">
        <v>0</v>
      </c>
      <c r="AA370" s="155">
        <f>INDEX(Chemical_analyses!$A:$L, MATCH($P370, Chemical_analyses!$A:$A), 9)/$R$2/(INDEX(Chemical_analyses!$A:$L, MATCH($P370, Chemical_analyses!$A:$A), 9)/$R$2+INDEX(Chemical_analyses!$A:$L, MATCH($P370, Chemical_analyses!$A:$A), 11)/$S$2+INDEX(Chemical_analyses!$A:$L, MATCH($P370, Chemical_analyses!$A:$A), 12)/$T$2)*100</f>
        <v>10.469431997904483</v>
      </c>
      <c r="AB370" s="94">
        <f t="shared" si="128"/>
        <v>44.920098937288792</v>
      </c>
      <c r="AC370" s="132">
        <f>INDEX(Chemical_analyses!$A:$L, MATCH($P370, Chemical_analyses!$A:$A), 12)/$T$2/(INDEX(Chemical_analyses!$A:$L, MATCH($P370, Chemical_analyses!$A:$A), 9)/$R$2+INDEX(Chemical_analyses!$A:$L, MATCH($P370, Chemical_analyses!$A:$A), 11)/$S$2+INDEX(Chemical_analyses!$A:$L, MATCH($P370, Chemical_analyses!$A:$A), 12)/$T$2)*100</f>
        <v>44.610469064806729</v>
      </c>
      <c r="AD370" s="94">
        <v>0</v>
      </c>
      <c r="AE370" s="94">
        <f t="shared" si="129"/>
        <v>0</v>
      </c>
      <c r="AF370" s="132">
        <v>0</v>
      </c>
      <c r="AG370" s="7" t="s">
        <v>69</v>
      </c>
      <c r="AH370" s="95" t="str">
        <f>_xlfn.CONCAT("FeO: ", INDEX(Chemical_analyses!$A:$M, MATCH($P370, Chemical_analyses!$A:$A), 9), ", MgO: ", INDEX(Chemical_analyses!$A:$M, MATCH($P370, Chemical_analyses!$A:$A), 11), ", CaO: ", INDEX(Chemical_analyses!$A:$M, MATCH($P370, Chemical_analyses!$A:$A), 12), ", MnO: ", INDEX(Chemical_analyses!$A:$M, MATCH($P370, Chemical_analyses!$A:$A), 10), ", NaO2: ", INDEX(Chemical_analyses!$A:$M, MATCH($P370, Chemical_analyses!$A:$A), 13), ", Fe2O3: ", INDEX(Chemical_analyses!$A:$M, MATCH($P370, Chemical_analyses!$A:$A), 8), ", Al2O3: ", INDEX(Chemical_analyses!$A:$M, MATCH($P370, Chemical_analyses!$A:$A), 6))</f>
        <v>FeO: 6.29, MgO: 15.14, CaO: 20.92, MnO: 0.12, NaO2: 0.4, Fe2O3: 0, Al2O3: 6.4</v>
      </c>
      <c r="AI370" s="95"/>
      <c r="AJ370" s="95"/>
      <c r="AN370" s="37"/>
      <c r="AO370" s="37"/>
      <c r="AP370" s="37"/>
      <c r="AQ370" s="37"/>
      <c r="AW370" s="37"/>
      <c r="AX370" s="37"/>
      <c r="AY370" s="37"/>
      <c r="AZ370" s="37"/>
    </row>
    <row r="371" spans="1:52" s="7" customFormat="1">
      <c r="A371" s="7" t="s">
        <v>1227</v>
      </c>
      <c r="B371" s="91" t="s">
        <v>1228</v>
      </c>
      <c r="C371" s="92" t="s">
        <v>890</v>
      </c>
      <c r="D371" s="92" t="s">
        <v>642</v>
      </c>
      <c r="E371" s="7" t="s">
        <v>643</v>
      </c>
      <c r="G371" s="7" t="s">
        <v>755</v>
      </c>
      <c r="H371" s="7" t="s">
        <v>1229</v>
      </c>
      <c r="J371" s="7">
        <v>45</v>
      </c>
      <c r="K371" s="7">
        <v>90</v>
      </c>
      <c r="L371" s="7" t="s">
        <v>64</v>
      </c>
      <c r="M371" s="7" t="s">
        <v>26</v>
      </c>
      <c r="O371" s="7" t="s">
        <v>957</v>
      </c>
      <c r="P371" s="7">
        <v>380</v>
      </c>
      <c r="Q371" s="7" t="s">
        <v>1230</v>
      </c>
      <c r="R371" s="131">
        <v>0</v>
      </c>
      <c r="S371" s="93">
        <f t="shared" si="125"/>
        <v>0</v>
      </c>
      <c r="T371" s="93">
        <v>100</v>
      </c>
      <c r="U371" s="93">
        <v>0</v>
      </c>
      <c r="V371" s="131">
        <v>0</v>
      </c>
      <c r="W371" s="154">
        <f t="shared" si="126"/>
        <v>0</v>
      </c>
      <c r="X371" s="94">
        <v>0</v>
      </c>
      <c r="Y371" s="94">
        <f t="shared" si="127"/>
        <v>0</v>
      </c>
      <c r="Z371" s="94">
        <v>0</v>
      </c>
      <c r="AA371" s="155">
        <f>INDEX(Chemical_analyses!$A:$L, MATCH($P371, Chemical_analyses!$A:$A), 9)/$R$2/(INDEX(Chemical_analyses!$A:$L, MATCH($P371, Chemical_analyses!$A:$A), 9)/$R$2+INDEX(Chemical_analyses!$A:$L, MATCH($P371, Chemical_analyses!$A:$A), 11)/$S$2+INDEX(Chemical_analyses!$A:$L, MATCH($P371, Chemical_analyses!$A:$A), 12)/$T$2)*100</f>
        <v>9.8966961057379947</v>
      </c>
      <c r="AB371" s="94">
        <f t="shared" si="128"/>
        <v>41.05414215907183</v>
      </c>
      <c r="AC371" s="132">
        <f>INDEX(Chemical_analyses!$A:$L, MATCH($P371, Chemical_analyses!$A:$A), 12)/$T$2/(INDEX(Chemical_analyses!$A:$L, MATCH($P371, Chemical_analyses!$A:$A), 9)/$R$2+INDEX(Chemical_analyses!$A:$L, MATCH($P371, Chemical_analyses!$A:$A), 11)/$S$2+INDEX(Chemical_analyses!$A:$L, MATCH($P371, Chemical_analyses!$A:$A), 12)/$T$2)*100</f>
        <v>49.049161735190182</v>
      </c>
      <c r="AD371" s="94">
        <v>0</v>
      </c>
      <c r="AE371" s="94">
        <f t="shared" si="129"/>
        <v>0</v>
      </c>
      <c r="AF371" s="132">
        <v>0</v>
      </c>
      <c r="AG371" s="7" t="s">
        <v>69</v>
      </c>
      <c r="AH371" s="95" t="str">
        <f>_xlfn.CONCAT("FeO: ", INDEX(Chemical_analyses!$A:$M, MATCH($P371, Chemical_analyses!$A:$A), 9), ", MgO: ", INDEX(Chemical_analyses!$A:$M, MATCH($P371, Chemical_analyses!$A:$A), 11), ", CaO: ", INDEX(Chemical_analyses!$A:$M, MATCH($P371, Chemical_analyses!$A:$A), 12), ", MnO: ", INDEX(Chemical_analyses!$A:$M, MATCH($P371, Chemical_analyses!$A:$A), 10), ", NaO2: ", INDEX(Chemical_analyses!$A:$M, MATCH($P371, Chemical_analyses!$A:$A), 13), ", Fe2O3: ", INDEX(Chemical_analyses!$A:$M, MATCH($P371, Chemical_analyses!$A:$A), 8), ", Al2O3: ", INDEX(Chemical_analyses!$A:$M, MATCH($P371, Chemical_analyses!$A:$A), 6))</f>
        <v>FeO: 5.93, MgO: 13.8, CaO: 22.94, MnO: 0.11, NaO2: 0.57, Fe2O3: 0.77, Al2O3: 4.12</v>
      </c>
      <c r="AI371" s="95"/>
      <c r="AJ371" s="95"/>
      <c r="AN371" s="37"/>
      <c r="AO371" s="37"/>
      <c r="AP371" s="37"/>
      <c r="AQ371" s="37"/>
      <c r="AW371" s="37"/>
      <c r="AX371" s="37"/>
      <c r="AY371" s="37"/>
      <c r="AZ371" s="37"/>
    </row>
    <row r="372" spans="1:52" s="7" customFormat="1">
      <c r="A372" s="7" t="s">
        <v>1231</v>
      </c>
      <c r="B372" s="91" t="s">
        <v>1232</v>
      </c>
      <c r="C372" s="92" t="s">
        <v>890</v>
      </c>
      <c r="D372" s="92" t="s">
        <v>642</v>
      </c>
      <c r="E372" s="7" t="s">
        <v>643</v>
      </c>
      <c r="G372" s="7" t="s">
        <v>755</v>
      </c>
      <c r="H372" s="7" t="s">
        <v>1183</v>
      </c>
      <c r="J372" s="7">
        <v>45</v>
      </c>
      <c r="K372" s="7">
        <v>90</v>
      </c>
      <c r="L372" s="7" t="s">
        <v>64</v>
      </c>
      <c r="M372" s="7" t="s">
        <v>26</v>
      </c>
      <c r="N372" s="7" t="s">
        <v>1233</v>
      </c>
      <c r="O372" s="7" t="s">
        <v>957</v>
      </c>
      <c r="P372" s="7">
        <v>387</v>
      </c>
      <c r="Q372" s="7" t="s">
        <v>1234</v>
      </c>
      <c r="R372" s="131">
        <v>0</v>
      </c>
      <c r="S372" s="93">
        <f t="shared" si="125"/>
        <v>0</v>
      </c>
      <c r="T372" s="93">
        <v>100</v>
      </c>
      <c r="U372" s="93">
        <v>0</v>
      </c>
      <c r="V372" s="131">
        <v>0</v>
      </c>
      <c r="W372" s="154">
        <f t="shared" si="126"/>
        <v>0</v>
      </c>
      <c r="X372" s="94">
        <v>0</v>
      </c>
      <c r="Y372" s="94">
        <f t="shared" si="127"/>
        <v>0</v>
      </c>
      <c r="Z372" s="94">
        <v>0</v>
      </c>
      <c r="AA372" s="155">
        <f>INDEX(Chemical_analyses!$A:$L, MATCH($P372, Chemical_analyses!$A:$A), 9)/$R$2/(INDEX(Chemical_analyses!$A:$L, MATCH($P372, Chemical_analyses!$A:$A), 9)/$R$2+INDEX(Chemical_analyses!$A:$L, MATCH($P372, Chemical_analyses!$A:$A), 11)/$S$2+INDEX(Chemical_analyses!$A:$L, MATCH($P372, Chemical_analyses!$A:$A), 12)/$T$2)*100</f>
        <v>8.1060281836634598</v>
      </c>
      <c r="AB372" s="94">
        <f t="shared" si="128"/>
        <v>47.523200193260919</v>
      </c>
      <c r="AC372" s="132">
        <f>INDEX(Chemical_analyses!$A:$L, MATCH($P372, Chemical_analyses!$A:$A), 12)/$T$2/(INDEX(Chemical_analyses!$A:$L, MATCH($P372, Chemical_analyses!$A:$A), 9)/$R$2+INDEX(Chemical_analyses!$A:$L, MATCH($P372, Chemical_analyses!$A:$A), 11)/$S$2+INDEX(Chemical_analyses!$A:$L, MATCH($P372, Chemical_analyses!$A:$A), 12)/$T$2)*100</f>
        <v>44.370771623075626</v>
      </c>
      <c r="AD372" s="94">
        <v>0</v>
      </c>
      <c r="AE372" s="94">
        <f t="shared" si="129"/>
        <v>0</v>
      </c>
      <c r="AF372" s="132">
        <v>0</v>
      </c>
      <c r="AG372" s="7" t="s">
        <v>69</v>
      </c>
      <c r="AH372" s="95" t="str">
        <f>_xlfn.CONCAT("FeO: ", INDEX(Chemical_analyses!$A:$M, MATCH($P372, Chemical_analyses!$A:$A), 9), ", MgO: ", INDEX(Chemical_analyses!$A:$M, MATCH($P372, Chemical_analyses!$A:$A), 11), ", CaO: ", INDEX(Chemical_analyses!$A:$M, MATCH($P372, Chemical_analyses!$A:$A), 12), ", MnO: ", INDEX(Chemical_analyses!$A:$M, MATCH($P372, Chemical_analyses!$A:$A), 10), ", NaO2: ", INDEX(Chemical_analyses!$A:$M, MATCH($P372, Chemical_analyses!$A:$A), 13), ", Fe2O3: ", INDEX(Chemical_analyses!$A:$M, MATCH($P372, Chemical_analyses!$A:$A), 8), ", Al2O3: ", INDEX(Chemical_analyses!$A:$M, MATCH($P372, Chemical_analyses!$A:$A), 6))</f>
        <v>FeO: 4.88, MgO: 16.05, CaO: 20.85, MnO: 0.13, NaO2: 0.32, Fe2O3: 1.25, Al2O3: 4.09</v>
      </c>
      <c r="AI372" s="95"/>
      <c r="AJ372" s="95"/>
      <c r="AN372" s="37"/>
      <c r="AO372" s="37"/>
      <c r="AP372" s="37"/>
      <c r="AQ372" s="37"/>
      <c r="AW372" s="37"/>
      <c r="AX372" s="37"/>
      <c r="AY372" s="37"/>
      <c r="AZ372" s="37"/>
    </row>
    <row r="373" spans="1:52" s="7" customFormat="1">
      <c r="A373" s="7" t="s">
        <v>1235</v>
      </c>
      <c r="B373" s="91" t="s">
        <v>1236</v>
      </c>
      <c r="C373" s="92" t="s">
        <v>890</v>
      </c>
      <c r="D373" s="92" t="s">
        <v>642</v>
      </c>
      <c r="E373" s="7" t="s">
        <v>643</v>
      </c>
      <c r="G373" s="7" t="s">
        <v>755</v>
      </c>
      <c r="H373" s="7" t="s">
        <v>997</v>
      </c>
      <c r="J373" s="7">
        <v>45</v>
      </c>
      <c r="K373" s="7">
        <v>90</v>
      </c>
      <c r="L373" s="7" t="s">
        <v>64</v>
      </c>
      <c r="M373" s="7" t="s">
        <v>26</v>
      </c>
      <c r="N373" s="7" t="s">
        <v>1237</v>
      </c>
      <c r="O373" s="7" t="s">
        <v>957</v>
      </c>
      <c r="P373" s="7">
        <v>386</v>
      </c>
      <c r="R373" s="131">
        <v>0</v>
      </c>
      <c r="S373" s="93">
        <f t="shared" si="125"/>
        <v>0</v>
      </c>
      <c r="T373" s="93">
        <v>100</v>
      </c>
      <c r="U373" s="93">
        <v>0</v>
      </c>
      <c r="V373" s="131">
        <v>0</v>
      </c>
      <c r="W373" s="154">
        <f t="shared" si="126"/>
        <v>0</v>
      </c>
      <c r="X373" s="94">
        <v>0</v>
      </c>
      <c r="Y373" s="94">
        <f t="shared" si="127"/>
        <v>0</v>
      </c>
      <c r="Z373" s="94">
        <v>0</v>
      </c>
      <c r="AA373" s="155">
        <f>INDEX(Chemical_analyses!$A:$L, MATCH($P373, Chemical_analyses!$A:$A), 9)/$R$2/(INDEX(Chemical_analyses!$A:$L, MATCH($P373, Chemical_analyses!$A:$A), 9)/$R$2+INDEX(Chemical_analyses!$A:$L, MATCH($P373, Chemical_analyses!$A:$A), 11)/$S$2+INDEX(Chemical_analyses!$A:$L, MATCH($P373, Chemical_analyses!$A:$A), 12)/$T$2)*100</f>
        <v>2.5828030326232545</v>
      </c>
      <c r="AB373" s="94">
        <f t="shared" si="128"/>
        <v>48.546132487334269</v>
      </c>
      <c r="AC373" s="132">
        <f>INDEX(Chemical_analyses!$A:$L, MATCH($P373, Chemical_analyses!$A:$A), 12)/$T$2/(INDEX(Chemical_analyses!$A:$L, MATCH($P373, Chemical_analyses!$A:$A), 9)/$R$2+INDEX(Chemical_analyses!$A:$L, MATCH($P373, Chemical_analyses!$A:$A), 11)/$S$2+INDEX(Chemical_analyses!$A:$L, MATCH($P373, Chemical_analyses!$A:$A), 12)/$T$2)*100</f>
        <v>48.87106448004247</v>
      </c>
      <c r="AD373" s="94">
        <v>0</v>
      </c>
      <c r="AE373" s="94">
        <f t="shared" si="129"/>
        <v>0</v>
      </c>
      <c r="AF373" s="132">
        <v>0</v>
      </c>
      <c r="AG373" s="7" t="s">
        <v>69</v>
      </c>
      <c r="AH373" s="95" t="str">
        <f>_xlfn.CONCAT("FeO: ", INDEX(Chemical_analyses!$A:$M, MATCH($P373, Chemical_analyses!$A:$A), 9), ", MgO: ", INDEX(Chemical_analyses!$A:$M, MATCH($P373, Chemical_analyses!$A:$A), 11), ", CaO: ", INDEX(Chemical_analyses!$A:$M, MATCH($P373, Chemical_analyses!$A:$A), 12), ", MnO: ", INDEX(Chemical_analyses!$A:$M, MATCH($P373, Chemical_analyses!$A:$A), 10), ", NaO2: ", INDEX(Chemical_analyses!$A:$M, MATCH($P373, Chemical_analyses!$A:$A), 13), ", Fe2O3: ", INDEX(Chemical_analyses!$A:$M, MATCH($P373, Chemical_analyses!$A:$A), 8), ", Al2O3: ", INDEX(Chemical_analyses!$A:$M, MATCH($P373, Chemical_analyses!$A:$A), 6))</f>
        <v>FeO: 1.69, MgO: 17.82, CaO: 24.96, MnO: 0.07, NaO2: 0.13, Fe2O3: 0.1, Al2O3: 0.23</v>
      </c>
      <c r="AN373" s="37"/>
      <c r="AO373" s="37"/>
      <c r="AP373" s="37"/>
      <c r="AQ373" s="37"/>
      <c r="AW373" s="37"/>
      <c r="AX373" s="37"/>
      <c r="AY373" s="37"/>
      <c r="AZ373" s="37"/>
    </row>
    <row r="374" spans="1:52" s="7" customFormat="1">
      <c r="A374" s="7" t="s">
        <v>1238</v>
      </c>
      <c r="B374" s="91" t="s">
        <v>1239</v>
      </c>
      <c r="C374" s="92" t="s">
        <v>890</v>
      </c>
      <c r="D374" s="92" t="s">
        <v>642</v>
      </c>
      <c r="E374" s="7" t="s">
        <v>643</v>
      </c>
      <c r="G374" s="7" t="s">
        <v>755</v>
      </c>
      <c r="H374" s="7" t="s">
        <v>1240</v>
      </c>
      <c r="J374" s="7">
        <v>0</v>
      </c>
      <c r="K374" s="7">
        <v>45</v>
      </c>
      <c r="L374" s="7" t="s">
        <v>64</v>
      </c>
      <c r="M374" s="7" t="s">
        <v>26</v>
      </c>
      <c r="N374" s="7" t="s">
        <v>1241</v>
      </c>
      <c r="O374" s="7" t="s">
        <v>957</v>
      </c>
      <c r="P374" s="7">
        <v>12</v>
      </c>
      <c r="Q374" s="7" t="s">
        <v>1242</v>
      </c>
      <c r="R374" s="131">
        <v>0</v>
      </c>
      <c r="S374" s="93">
        <f t="shared" si="125"/>
        <v>0</v>
      </c>
      <c r="T374" s="93">
        <v>100</v>
      </c>
      <c r="U374" s="93">
        <v>0</v>
      </c>
      <c r="V374" s="131">
        <v>0</v>
      </c>
      <c r="W374" s="154">
        <f t="shared" si="126"/>
        <v>0</v>
      </c>
      <c r="X374" s="94">
        <v>0</v>
      </c>
      <c r="Y374" s="94">
        <f t="shared" si="127"/>
        <v>0</v>
      </c>
      <c r="Z374" s="94">
        <v>0</v>
      </c>
      <c r="AA374" s="155">
        <f>INDEX(Chemical_analyses!$A:$L, MATCH($P374, Chemical_analyses!$A:$A), 9)/$R$2/(INDEX(Chemical_analyses!$A:$L, MATCH($P374, Chemical_analyses!$A:$A), 9)/$R$2+INDEX(Chemical_analyses!$A:$L, MATCH($P374, Chemical_analyses!$A:$A), 11)/$S$2+INDEX(Chemical_analyses!$A:$L, MATCH($P374, Chemical_analyses!$A:$A), 12)/$T$2)*100</f>
        <v>26.952875718283213</v>
      </c>
      <c r="AB374" s="94">
        <f t="shared" si="128"/>
        <v>64.727182131467814</v>
      </c>
      <c r="AC374" s="132">
        <f>INDEX(Chemical_analyses!$A:$L, MATCH($P374, Chemical_analyses!$A:$A), 12)/$T$2/(INDEX(Chemical_analyses!$A:$L, MATCH($P374, Chemical_analyses!$A:$A), 9)/$R$2+INDEX(Chemical_analyses!$A:$L, MATCH($P374, Chemical_analyses!$A:$A), 11)/$S$2+INDEX(Chemical_analyses!$A:$L, MATCH($P374, Chemical_analyses!$A:$A), 12)/$T$2)*100</f>
        <v>8.3199421502489717</v>
      </c>
      <c r="AD374" s="94">
        <v>0</v>
      </c>
      <c r="AE374" s="94">
        <f t="shared" si="129"/>
        <v>0</v>
      </c>
      <c r="AF374" s="132">
        <v>0</v>
      </c>
      <c r="AG374" s="95" t="s">
        <v>1243</v>
      </c>
      <c r="AH374" s="95" t="str">
        <f>_xlfn.CONCAT("FeO: ", INDEX(Chemical_analyses!$A:$M, MATCH($P374, Chemical_analyses!$A:$A), 9), ", MgO: ", INDEX(Chemical_analyses!$A:$M, MATCH($P374, Chemical_analyses!$A:$A), 11), ", CaO: ", INDEX(Chemical_analyses!$A:$M, MATCH($P374, Chemical_analyses!$A:$A), 12), ", MnO: ", INDEX(Chemical_analyses!$A:$M, MATCH($P374, Chemical_analyses!$A:$A), 10), ", NaO2: ", INDEX(Chemical_analyses!$A:$M, MATCH($P374, Chemical_analyses!$A:$A), 13), ", Fe2O3: ", INDEX(Chemical_analyses!$A:$M, MATCH($P374, Chemical_analyses!$A:$A), 8), ", Al2O3: ", INDEX(Chemical_analyses!$A:$M, MATCH($P374, Chemical_analyses!$A:$A), 6))</f>
        <v>FeO: 16.56, MgO: 22.31, CaO: 3.99, MnO: 0.26, NaO2: 0.06, Fe2O3: 0.58, Al2O3: 6.21</v>
      </c>
      <c r="AN374" s="37"/>
      <c r="AO374" s="37"/>
      <c r="AP374" s="37"/>
      <c r="AQ374" s="37"/>
      <c r="AW374" s="37"/>
      <c r="AX374" s="37"/>
      <c r="AY374" s="37"/>
      <c r="AZ374" s="37"/>
    </row>
    <row r="375" spans="1:52" s="7" customFormat="1">
      <c r="A375" s="7" t="s">
        <v>1244</v>
      </c>
      <c r="B375" s="91" t="s">
        <v>1245</v>
      </c>
      <c r="C375" s="92" t="s">
        <v>890</v>
      </c>
      <c r="D375" s="92" t="s">
        <v>642</v>
      </c>
      <c r="E375" s="7" t="s">
        <v>643</v>
      </c>
      <c r="G375" s="7" t="s">
        <v>755</v>
      </c>
      <c r="H375" s="7" t="s">
        <v>1246</v>
      </c>
      <c r="J375" s="7">
        <v>0</v>
      </c>
      <c r="K375" s="7">
        <v>45</v>
      </c>
      <c r="L375" s="7" t="s">
        <v>64</v>
      </c>
      <c r="M375" s="7" t="s">
        <v>26</v>
      </c>
      <c r="N375" s="7" t="s">
        <v>1247</v>
      </c>
      <c r="O375" s="7" t="s">
        <v>957</v>
      </c>
      <c r="P375" s="7">
        <v>14</v>
      </c>
      <c r="Q375" s="7" t="s">
        <v>1248</v>
      </c>
      <c r="R375" s="131">
        <v>0</v>
      </c>
      <c r="S375" s="93">
        <f t="shared" si="125"/>
        <v>0</v>
      </c>
      <c r="T375" s="93">
        <v>100</v>
      </c>
      <c r="U375" s="93">
        <v>0</v>
      </c>
      <c r="V375" s="131">
        <v>0</v>
      </c>
      <c r="W375" s="154">
        <f t="shared" si="126"/>
        <v>0</v>
      </c>
      <c r="X375" s="94">
        <v>0</v>
      </c>
      <c r="Y375" s="94">
        <f t="shared" si="127"/>
        <v>0</v>
      </c>
      <c r="Z375" s="94">
        <v>0</v>
      </c>
      <c r="AA375" s="155">
        <f>INDEX(Chemical_analyses!$A:$L, MATCH($P375, Chemical_analyses!$A:$A), 9)/$R$2/(INDEX(Chemical_analyses!$A:$L, MATCH($P375, Chemical_analyses!$A:$A), 9)/$R$2+INDEX(Chemical_analyses!$A:$L, MATCH($P375, Chemical_analyses!$A:$A), 11)/$S$2+INDEX(Chemical_analyses!$A:$L, MATCH($P375, Chemical_analyses!$A:$A), 12)/$T$2)*100</f>
        <v>5.6671200889458424</v>
      </c>
      <c r="AB375" s="94">
        <f t="shared" si="128"/>
        <v>51.038107403007118</v>
      </c>
      <c r="AC375" s="132">
        <f>INDEX(Chemical_analyses!$A:$L, MATCH($P375, Chemical_analyses!$A:$A), 12)/$T$2/(INDEX(Chemical_analyses!$A:$L, MATCH($P375, Chemical_analyses!$A:$A), 9)/$R$2+INDEX(Chemical_analyses!$A:$L, MATCH($P375, Chemical_analyses!$A:$A), 11)/$S$2+INDEX(Chemical_analyses!$A:$L, MATCH($P375, Chemical_analyses!$A:$A), 12)/$T$2)*100</f>
        <v>43.294772508047046</v>
      </c>
      <c r="AD375" s="94">
        <v>0</v>
      </c>
      <c r="AE375" s="94">
        <f t="shared" si="129"/>
        <v>0</v>
      </c>
      <c r="AF375" s="132">
        <v>0</v>
      </c>
      <c r="AG375" s="7" t="s">
        <v>1243</v>
      </c>
      <c r="AH375" s="95" t="str">
        <f>_xlfn.CONCAT("FeO: ", INDEX(Chemical_analyses!$A:$M, MATCH($P375, Chemical_analyses!$A:$A), 9), ", MgO: ", INDEX(Chemical_analyses!$A:$M, MATCH($P375, Chemical_analyses!$A:$A), 11), ", CaO: ", INDEX(Chemical_analyses!$A:$M, MATCH($P375, Chemical_analyses!$A:$A), 12), ", MnO: ", INDEX(Chemical_analyses!$A:$M, MATCH($P375, Chemical_analyses!$A:$A), 10), ", NaO2: ", INDEX(Chemical_analyses!$A:$M, MATCH($P375, Chemical_analyses!$A:$A), 13), ", Fe2O3: ", INDEX(Chemical_analyses!$A:$M, MATCH($P375, Chemical_analyses!$A:$A), 8), ", Al2O3: ", INDEX(Chemical_analyses!$A:$M, MATCH($P375, Chemical_analyses!$A:$A), 6))</f>
        <v>FeO: 3.25, MgO: 16.42, CaO: 19.38, MnO: 0.1, NaO2: 1.31, Fe2O3: 0.01, Al2O3: 6.34</v>
      </c>
      <c r="AI375" s="95"/>
      <c r="AJ375" s="95"/>
      <c r="AN375" s="37"/>
      <c r="AO375" s="37"/>
      <c r="AP375" s="37"/>
      <c r="AQ375" s="37"/>
      <c r="AW375" s="37"/>
      <c r="AX375" s="37"/>
      <c r="AY375" s="37"/>
      <c r="AZ375" s="37"/>
    </row>
    <row r="376" spans="1:52" s="7" customFormat="1">
      <c r="A376" s="7" t="s">
        <v>1249</v>
      </c>
      <c r="B376" s="91" t="s">
        <v>1250</v>
      </c>
      <c r="C376" s="92" t="s">
        <v>890</v>
      </c>
      <c r="D376" s="92" t="s">
        <v>642</v>
      </c>
      <c r="E376" s="7" t="s">
        <v>643</v>
      </c>
      <c r="G376" s="7" t="s">
        <v>755</v>
      </c>
      <c r="H376" s="7" t="s">
        <v>1142</v>
      </c>
      <c r="J376" s="7">
        <v>0</v>
      </c>
      <c r="K376" s="7">
        <v>45</v>
      </c>
      <c r="L376" s="7" t="s">
        <v>64</v>
      </c>
      <c r="M376" s="7" t="s">
        <v>26</v>
      </c>
      <c r="N376" s="7" t="s">
        <v>1251</v>
      </c>
      <c r="O376" s="7" t="s">
        <v>957</v>
      </c>
      <c r="P376" s="7">
        <v>15</v>
      </c>
      <c r="Q376" s="7" t="s">
        <v>1252</v>
      </c>
      <c r="R376" s="131">
        <v>0</v>
      </c>
      <c r="S376" s="93">
        <f t="shared" si="125"/>
        <v>0</v>
      </c>
      <c r="T376" s="93">
        <v>100</v>
      </c>
      <c r="U376" s="93">
        <v>0</v>
      </c>
      <c r="V376" s="131">
        <v>0</v>
      </c>
      <c r="W376" s="154">
        <f t="shared" si="126"/>
        <v>0</v>
      </c>
      <c r="X376" s="94">
        <v>0</v>
      </c>
      <c r="Y376" s="94">
        <f t="shared" si="127"/>
        <v>0</v>
      </c>
      <c r="Z376" s="94">
        <v>0</v>
      </c>
      <c r="AA376" s="155">
        <f>INDEX(Chemical_analyses!$A:$L, MATCH($P376, Chemical_analyses!$A:$A), 9)/$R$2/(INDEX(Chemical_analyses!$A:$L, MATCH($P376, Chemical_analyses!$A:$A), 9)/$R$2+INDEX(Chemical_analyses!$A:$L, MATCH($P376, Chemical_analyses!$A:$A), 11)/$S$2+INDEX(Chemical_analyses!$A:$L, MATCH($P376, Chemical_analyses!$A:$A), 12)/$T$2)*100</f>
        <v>18.654639233045433</v>
      </c>
      <c r="AB376" s="94">
        <f t="shared" si="128"/>
        <v>40.791752581048506</v>
      </c>
      <c r="AC376" s="132">
        <f>INDEX(Chemical_analyses!$A:$L, MATCH($P376, Chemical_analyses!$A:$A), 12)/$T$2/(INDEX(Chemical_analyses!$A:$L, MATCH($P376, Chemical_analyses!$A:$A), 9)/$R$2+INDEX(Chemical_analyses!$A:$L, MATCH($P376, Chemical_analyses!$A:$A), 11)/$S$2+INDEX(Chemical_analyses!$A:$L, MATCH($P376, Chemical_analyses!$A:$A), 12)/$T$2)*100</f>
        <v>40.553608185906064</v>
      </c>
      <c r="AD376" s="94">
        <v>0</v>
      </c>
      <c r="AE376" s="94">
        <f t="shared" si="129"/>
        <v>0</v>
      </c>
      <c r="AF376" s="132">
        <v>0</v>
      </c>
      <c r="AG376" s="7" t="s">
        <v>69</v>
      </c>
      <c r="AH376" s="95" t="str">
        <f>_xlfn.CONCAT("FeO: ", INDEX(Chemical_analyses!$A:$M, MATCH($P376, Chemical_analyses!$A:$A), 9), ", MgO: ", INDEX(Chemical_analyses!$A:$M, MATCH($P376, Chemical_analyses!$A:$A), 11), ", CaO: ", INDEX(Chemical_analyses!$A:$M, MATCH($P376, Chemical_analyses!$A:$A), 12), ", MnO: ", INDEX(Chemical_analyses!$A:$M, MATCH($P376, Chemical_analyses!$A:$A), 10), ", NaO2: ", INDEX(Chemical_analyses!$A:$M, MATCH($P376, Chemical_analyses!$A:$A), 13), ", Fe2O3: ", INDEX(Chemical_analyses!$A:$M, MATCH($P376, Chemical_analyses!$A:$A), 8), ", Al2O3: ", INDEX(Chemical_analyses!$A:$M, MATCH($P376, Chemical_analyses!$A:$A), 6))</f>
        <v>FeO: 11.38, MgO: 13.96, CaO: 19.31, MnO: 0.29, NaO2: 0.22, Fe2O3: 1.32, Al2O3: 0.98</v>
      </c>
      <c r="AI376" s="95"/>
      <c r="AJ376" s="95"/>
      <c r="AN376" s="37"/>
      <c r="AO376" s="37"/>
      <c r="AP376" s="37"/>
      <c r="AQ376" s="37"/>
      <c r="AW376" s="37"/>
      <c r="AX376" s="37"/>
      <c r="AY376" s="37"/>
      <c r="AZ376" s="37"/>
    </row>
    <row r="377" spans="1:52" s="7" customFormat="1">
      <c r="A377" s="7" t="s">
        <v>1253</v>
      </c>
      <c r="B377" s="91" t="s">
        <v>1254</v>
      </c>
      <c r="C377" s="92" t="s">
        <v>890</v>
      </c>
      <c r="D377" s="92" t="s">
        <v>642</v>
      </c>
      <c r="E377" s="7" t="s">
        <v>643</v>
      </c>
      <c r="G377" s="7" t="s">
        <v>755</v>
      </c>
      <c r="H377" s="7" t="s">
        <v>1142</v>
      </c>
      <c r="J377" s="7">
        <v>45</v>
      </c>
      <c r="K377" s="7">
        <v>90</v>
      </c>
      <c r="L377" s="7" t="s">
        <v>64</v>
      </c>
      <c r="M377" s="7" t="s">
        <v>26</v>
      </c>
      <c r="N377" s="7" t="s">
        <v>1255</v>
      </c>
      <c r="O377" s="7" t="s">
        <v>957</v>
      </c>
      <c r="P377" s="7">
        <v>406</v>
      </c>
      <c r="Q377" s="7" t="s">
        <v>1256</v>
      </c>
      <c r="R377" s="131">
        <v>0</v>
      </c>
      <c r="S377" s="93">
        <f t="shared" si="125"/>
        <v>0</v>
      </c>
      <c r="T377" s="93">
        <v>100</v>
      </c>
      <c r="U377" s="93">
        <v>0</v>
      </c>
      <c r="V377" s="131">
        <v>0</v>
      </c>
      <c r="W377" s="154">
        <f t="shared" si="126"/>
        <v>0</v>
      </c>
      <c r="X377" s="94">
        <v>0</v>
      </c>
      <c r="Y377" s="94">
        <f t="shared" si="127"/>
        <v>0</v>
      </c>
      <c r="Z377" s="94">
        <v>0</v>
      </c>
      <c r="AA377" s="155">
        <f>INDEX(Chemical_analyses!$A:$L, MATCH($P377, Chemical_analyses!$A:$A), 9)/$R$2/(INDEX(Chemical_analyses!$A:$L, MATCH($P377, Chemical_analyses!$A:$A), 9)/$R$2+INDEX(Chemical_analyses!$A:$L, MATCH($P377, Chemical_analyses!$A:$A), 11)/$S$2+INDEX(Chemical_analyses!$A:$L, MATCH($P377, Chemical_analyses!$A:$A), 12)/$T$2)*100</f>
        <v>18.660247523903216</v>
      </c>
      <c r="AB377" s="94">
        <f t="shared" si="128"/>
        <v>42.443894939821234</v>
      </c>
      <c r="AC377" s="132">
        <f>INDEX(Chemical_analyses!$A:$L, MATCH($P377, Chemical_analyses!$A:$A), 12)/$T$2/(INDEX(Chemical_analyses!$A:$L, MATCH($P377, Chemical_analyses!$A:$A), 9)/$R$2+INDEX(Chemical_analyses!$A:$L, MATCH($P377, Chemical_analyses!$A:$A), 11)/$S$2+INDEX(Chemical_analyses!$A:$L, MATCH($P377, Chemical_analyses!$A:$A), 12)/$T$2)*100</f>
        <v>38.895857536275543</v>
      </c>
      <c r="AD377" s="94">
        <v>0</v>
      </c>
      <c r="AE377" s="94">
        <f t="shared" si="129"/>
        <v>0</v>
      </c>
      <c r="AF377" s="132">
        <v>0</v>
      </c>
      <c r="AG377" s="95" t="s">
        <v>69</v>
      </c>
      <c r="AH377" s="95" t="str">
        <f>_xlfn.CONCAT("FeO: ", INDEX(Chemical_analyses!$A:$M, MATCH($P377, Chemical_analyses!$A:$A), 9), ", MgO: ", INDEX(Chemical_analyses!$A:$M, MATCH($P377, Chemical_analyses!$A:$A), 11), ", CaO: ", INDEX(Chemical_analyses!$A:$M, MATCH($P377, Chemical_analyses!$A:$A), 12), ", MnO: ", INDEX(Chemical_analyses!$A:$M, MATCH($P377, Chemical_analyses!$A:$A), 10), ", NaO2: ", INDEX(Chemical_analyses!$A:$M, MATCH($P377, Chemical_analyses!$A:$A), 13), ", Fe2O3: ", INDEX(Chemical_analyses!$A:$M, MATCH($P377, Chemical_analyses!$A:$A), 8), ", Al2O3: ", INDEX(Chemical_analyses!$A:$M, MATCH($P377, Chemical_analyses!$A:$A), 6))</f>
        <v>FeO: 11.34, MgO: 14.47, CaO: 18.45, MnO: 0.28, NaO2: 0.23, Fe2O3: 0.57, Al2O3: 1.91</v>
      </c>
      <c r="AJ377" s="95"/>
      <c r="AN377" s="37"/>
      <c r="AO377" s="37"/>
      <c r="AP377" s="37"/>
      <c r="AQ377" s="37"/>
      <c r="AW377" s="37"/>
      <c r="AX377" s="37"/>
      <c r="AY377" s="37"/>
      <c r="AZ377" s="37"/>
    </row>
    <row r="378" spans="1:52" s="7" customFormat="1">
      <c r="A378" s="7" t="s">
        <v>1257</v>
      </c>
      <c r="B378" s="91" t="s">
        <v>1258</v>
      </c>
      <c r="C378" s="92" t="s">
        <v>890</v>
      </c>
      <c r="D378" s="92" t="s">
        <v>642</v>
      </c>
      <c r="E378" s="7" t="s">
        <v>643</v>
      </c>
      <c r="G378" s="7" t="s">
        <v>755</v>
      </c>
      <c r="H378" s="7" t="s">
        <v>1142</v>
      </c>
      <c r="J378" s="7">
        <v>0</v>
      </c>
      <c r="K378" s="7">
        <v>45</v>
      </c>
      <c r="L378" s="7" t="s">
        <v>64</v>
      </c>
      <c r="M378" s="7" t="s">
        <v>26</v>
      </c>
      <c r="N378" s="7" t="s">
        <v>1255</v>
      </c>
      <c r="O378" s="7" t="s">
        <v>957</v>
      </c>
      <c r="P378" s="7">
        <v>16</v>
      </c>
      <c r="Q378" s="7" t="s">
        <v>1259</v>
      </c>
      <c r="R378" s="131">
        <v>0</v>
      </c>
      <c r="S378" s="93">
        <f t="shared" si="125"/>
        <v>0</v>
      </c>
      <c r="T378" s="93">
        <v>100</v>
      </c>
      <c r="U378" s="93">
        <v>0</v>
      </c>
      <c r="V378" s="131">
        <v>0</v>
      </c>
      <c r="W378" s="154">
        <f t="shared" si="126"/>
        <v>0</v>
      </c>
      <c r="X378" s="94">
        <v>0</v>
      </c>
      <c r="Y378" s="94">
        <f t="shared" si="127"/>
        <v>0</v>
      </c>
      <c r="Z378" s="94">
        <v>0</v>
      </c>
      <c r="AA378" s="155">
        <f>INDEX(Chemical_analyses!$A:$L, MATCH($P378, Chemical_analyses!$A:$A), 9)/$R$2/(INDEX(Chemical_analyses!$A:$L, MATCH($P378, Chemical_analyses!$A:$A), 9)/$R$2+INDEX(Chemical_analyses!$A:$L, MATCH($P378, Chemical_analyses!$A:$A), 11)/$S$2+INDEX(Chemical_analyses!$A:$L, MATCH($P378, Chemical_analyses!$A:$A), 12)/$T$2)*100</f>
        <v>16.840279153383996</v>
      </c>
      <c r="AB378" s="94">
        <f t="shared" si="128"/>
        <v>46.032474343534417</v>
      </c>
      <c r="AC378" s="132">
        <f>INDEX(Chemical_analyses!$A:$L, MATCH($P378, Chemical_analyses!$A:$A), 12)/$T$2/(INDEX(Chemical_analyses!$A:$L, MATCH($P378, Chemical_analyses!$A:$A), 9)/$R$2+INDEX(Chemical_analyses!$A:$L, MATCH($P378, Chemical_analyses!$A:$A), 11)/$S$2+INDEX(Chemical_analyses!$A:$L, MATCH($P378, Chemical_analyses!$A:$A), 12)/$T$2)*100</f>
        <v>37.127246503081594</v>
      </c>
      <c r="AD378" s="94">
        <v>0</v>
      </c>
      <c r="AE378" s="94">
        <f t="shared" si="129"/>
        <v>0</v>
      </c>
      <c r="AF378" s="132">
        <v>0</v>
      </c>
      <c r="AG378" s="95" t="s">
        <v>69</v>
      </c>
      <c r="AH378" s="95" t="str">
        <f>_xlfn.CONCAT("FeO: ", INDEX(Chemical_analyses!$A:$M, MATCH($P378, Chemical_analyses!$A:$A), 9), ", MgO: ", INDEX(Chemical_analyses!$A:$M, MATCH($P378, Chemical_analyses!$A:$A), 11), ", CaO: ", INDEX(Chemical_analyses!$A:$M, MATCH($P378, Chemical_analyses!$A:$A), 12), ", MnO: ", INDEX(Chemical_analyses!$A:$M, MATCH($P378, Chemical_analyses!$A:$A), 10), ", NaO2: ", INDEX(Chemical_analyses!$A:$M, MATCH($P378, Chemical_analyses!$A:$A), 13), ", Fe2O3: ", INDEX(Chemical_analyses!$A:$M, MATCH($P378, Chemical_analyses!$A:$A), 8), ", Al2O3: ", INDEX(Chemical_analyses!$A:$M, MATCH($P378, Chemical_analyses!$A:$A), 6))</f>
        <v>FeO: 10.46, MgO: 16.04, CaO: 18, MnO: 0.24, NaO2: 0.19, Fe2O3: 0.22, Al2O3: 1.96</v>
      </c>
      <c r="AJ378" s="95"/>
      <c r="AN378" s="37"/>
      <c r="AO378" s="37"/>
      <c r="AP378" s="37"/>
      <c r="AQ378" s="37"/>
      <c r="AW378" s="37"/>
      <c r="AX378" s="37"/>
      <c r="AY378" s="37"/>
      <c r="AZ378" s="37"/>
    </row>
    <row r="379" spans="1:52" s="7" customFormat="1">
      <c r="A379" s="7" t="s">
        <v>1260</v>
      </c>
      <c r="B379" s="91" t="s">
        <v>1261</v>
      </c>
      <c r="C379" s="92" t="s">
        <v>890</v>
      </c>
      <c r="D379" s="92" t="s">
        <v>642</v>
      </c>
      <c r="E379" s="7" t="s">
        <v>643</v>
      </c>
      <c r="G379" s="7" t="s">
        <v>1195</v>
      </c>
      <c r="H379" s="7" t="s">
        <v>1183</v>
      </c>
      <c r="J379" s="7">
        <v>0</v>
      </c>
      <c r="K379" s="7">
        <v>45</v>
      </c>
      <c r="L379" s="7" t="s">
        <v>64</v>
      </c>
      <c r="M379" s="7" t="s">
        <v>26</v>
      </c>
      <c r="N379" s="7" t="s">
        <v>1251</v>
      </c>
      <c r="O379" s="7" t="s">
        <v>957</v>
      </c>
      <c r="P379" s="7">
        <v>18</v>
      </c>
      <c r="Q379" s="7" t="s">
        <v>1262</v>
      </c>
      <c r="R379" s="131">
        <v>0</v>
      </c>
      <c r="S379" s="93">
        <f t="shared" si="125"/>
        <v>0</v>
      </c>
      <c r="T379" s="93">
        <v>100</v>
      </c>
      <c r="U379" s="93">
        <v>0</v>
      </c>
      <c r="V379" s="131">
        <v>0</v>
      </c>
      <c r="W379" s="154">
        <f t="shared" si="126"/>
        <v>0</v>
      </c>
      <c r="X379" s="94">
        <v>0</v>
      </c>
      <c r="Y379" s="94">
        <f t="shared" si="127"/>
        <v>0</v>
      </c>
      <c r="Z379" s="94">
        <v>0</v>
      </c>
      <c r="AA379" s="155">
        <f>INDEX(Chemical_analyses!$A:$L, MATCH($P379, Chemical_analyses!$A:$A), 9)/$R$2/(INDEX(Chemical_analyses!$A:$L, MATCH($P379, Chemical_analyses!$A:$A), 9)/$R$2+INDEX(Chemical_analyses!$A:$L, MATCH($P379, Chemical_analyses!$A:$A), 11)/$S$2+INDEX(Chemical_analyses!$A:$L, MATCH($P379, Chemical_analyses!$A:$A), 12)/$T$2)*100</f>
        <v>8.8927648690450418</v>
      </c>
      <c r="AB379" s="94">
        <f t="shared" si="128"/>
        <v>44.56028866089585</v>
      </c>
      <c r="AC379" s="132">
        <f>INDEX(Chemical_analyses!$A:$L, MATCH($P379, Chemical_analyses!$A:$A), 12)/$T$2/(INDEX(Chemical_analyses!$A:$L, MATCH($P379, Chemical_analyses!$A:$A), 9)/$R$2+INDEX(Chemical_analyses!$A:$L, MATCH($P379, Chemical_analyses!$A:$A), 11)/$S$2+INDEX(Chemical_analyses!$A:$L, MATCH($P379, Chemical_analyses!$A:$A), 12)/$T$2)*100</f>
        <v>46.546946470059112</v>
      </c>
      <c r="AD379" s="94">
        <v>0</v>
      </c>
      <c r="AE379" s="94">
        <f t="shared" si="129"/>
        <v>0</v>
      </c>
      <c r="AF379" s="132">
        <v>0</v>
      </c>
      <c r="AG379" s="7" t="s">
        <v>69</v>
      </c>
      <c r="AH379" s="95" t="str">
        <f>_xlfn.CONCAT("FeO: ", INDEX(Chemical_analyses!$A:$M, MATCH($P379, Chemical_analyses!$A:$A), 9), ", MgO: ", INDEX(Chemical_analyses!$A:$M, MATCH($P379, Chemical_analyses!$A:$A), 11), ", CaO: ", INDEX(Chemical_analyses!$A:$M, MATCH($P379, Chemical_analyses!$A:$A), 12), ", MnO: ", INDEX(Chemical_analyses!$A:$M, MATCH($P379, Chemical_analyses!$A:$A), 10), ", NaO2: ", INDEX(Chemical_analyses!$A:$M, MATCH($P379, Chemical_analyses!$A:$A), 13), ", Fe2O3: ", INDEX(Chemical_analyses!$A:$M, MATCH($P379, Chemical_analyses!$A:$A), 8), ", Al2O3: ", INDEX(Chemical_analyses!$A:$M, MATCH($P379, Chemical_analyses!$A:$A), 6))</f>
        <v>FeO: 5.61, MgO: 15.77, CaO: 22.92, MnO: 0.17, NaO2: 0.14, Fe2O3: 0, Al2O3: 2.52</v>
      </c>
      <c r="AI379" s="95"/>
      <c r="AJ379" s="95"/>
      <c r="AN379" s="37"/>
      <c r="AO379" s="37"/>
      <c r="AP379" s="37"/>
      <c r="AQ379" s="37"/>
      <c r="AW379" s="37"/>
      <c r="AX379" s="37"/>
      <c r="AY379" s="37"/>
      <c r="AZ379" s="37"/>
    </row>
    <row r="380" spans="1:52" s="7" customFormat="1">
      <c r="A380" s="7" t="s">
        <v>1263</v>
      </c>
      <c r="B380" s="91" t="s">
        <v>1264</v>
      </c>
      <c r="C380" s="92" t="s">
        <v>890</v>
      </c>
      <c r="D380" s="92" t="s">
        <v>642</v>
      </c>
      <c r="E380" s="7" t="s">
        <v>643</v>
      </c>
      <c r="G380" s="7" t="s">
        <v>1195</v>
      </c>
      <c r="H380" s="7" t="s">
        <v>1183</v>
      </c>
      <c r="J380" s="7">
        <v>0</v>
      </c>
      <c r="K380" s="7">
        <v>45</v>
      </c>
      <c r="L380" s="7" t="s">
        <v>64</v>
      </c>
      <c r="M380" s="7" t="s">
        <v>26</v>
      </c>
      <c r="N380" s="7" t="s">
        <v>1265</v>
      </c>
      <c r="O380" s="7" t="s">
        <v>957</v>
      </c>
      <c r="P380" s="7">
        <v>426</v>
      </c>
      <c r="Q380" s="7" t="s">
        <v>1266</v>
      </c>
      <c r="R380" s="131">
        <v>0</v>
      </c>
      <c r="S380" s="93">
        <f t="shared" si="125"/>
        <v>0</v>
      </c>
      <c r="T380" s="93">
        <v>100</v>
      </c>
      <c r="U380" s="93">
        <v>0</v>
      </c>
      <c r="V380" s="131">
        <v>0</v>
      </c>
      <c r="W380" s="154">
        <f t="shared" si="126"/>
        <v>0</v>
      </c>
      <c r="X380" s="94">
        <v>0</v>
      </c>
      <c r="Y380" s="94">
        <f t="shared" si="127"/>
        <v>0</v>
      </c>
      <c r="Z380" s="94">
        <v>0</v>
      </c>
      <c r="AA380" s="155">
        <f>INDEX(Chemical_analyses!$A:$L, MATCH($P380, Chemical_analyses!$A:$A), 9)/$R$2/(INDEX(Chemical_analyses!$A:$L, MATCH($P380, Chemical_analyses!$A:$A), 9)/$R$2+INDEX(Chemical_analyses!$A:$L, MATCH($P380, Chemical_analyses!$A:$A), 11)/$S$2+INDEX(Chemical_analyses!$A:$L, MATCH($P380, Chemical_analyses!$A:$A), 12)/$T$2)*100</f>
        <v>1.6122475475031151</v>
      </c>
      <c r="AB380" s="94">
        <f t="shared" si="128"/>
        <v>48.493845717038447</v>
      </c>
      <c r="AC380" s="132">
        <f>INDEX(Chemical_analyses!$A:$L, MATCH($P380, Chemical_analyses!$A:$A), 12)/$T$2/(INDEX(Chemical_analyses!$A:$L, MATCH($P380, Chemical_analyses!$A:$A), 9)/$R$2+INDEX(Chemical_analyses!$A:$L, MATCH($P380, Chemical_analyses!$A:$A), 11)/$S$2+INDEX(Chemical_analyses!$A:$L, MATCH($P380, Chemical_analyses!$A:$A), 12)/$T$2)*100</f>
        <v>49.893906735458437</v>
      </c>
      <c r="AD380" s="94">
        <v>0</v>
      </c>
      <c r="AE380" s="94">
        <f t="shared" si="129"/>
        <v>0</v>
      </c>
      <c r="AF380" s="132">
        <v>0</v>
      </c>
      <c r="AG380" s="97" t="s">
        <v>262</v>
      </c>
      <c r="AH380" s="95" t="str">
        <f>_xlfn.CONCAT("FeO: ", INDEX(Chemical_analyses!$A:$M, MATCH($P380, Chemical_analyses!$A:$A), 9), ", MgO: ", INDEX(Chemical_analyses!$A:$M, MATCH($P380, Chemical_analyses!$A:$A), 11), ", CaO: ", INDEX(Chemical_analyses!$A:$M, MATCH($P380, Chemical_analyses!$A:$A), 12), ", MnO: ", INDEX(Chemical_analyses!$A:$M, MATCH($P380, Chemical_analyses!$A:$A), 10), ", NaO2: ", INDEX(Chemical_analyses!$A:$M, MATCH($P380, Chemical_analyses!$A:$A), 13), ", Fe2O3: ", INDEX(Chemical_analyses!$A:$M, MATCH($P380, Chemical_analyses!$A:$A), 8), ", Al2O3: ", INDEX(Chemical_analyses!$A:$M, MATCH($P380, Chemical_analyses!$A:$A), 6))</f>
        <v>FeO: 1.03, MgO: 17.38, CaO: 24.88, MnO: 0.05, NaO2: 0.35, Fe2O3: 0, Al2O3: 0.54</v>
      </c>
      <c r="AI380" s="95"/>
      <c r="AJ380" s="95"/>
      <c r="AN380" s="37"/>
      <c r="AO380" s="37"/>
      <c r="AP380" s="37"/>
      <c r="AQ380" s="37"/>
      <c r="AW380" s="37"/>
      <c r="AX380" s="37"/>
      <c r="AY380" s="37"/>
      <c r="AZ380" s="37"/>
    </row>
    <row r="381" spans="1:52" s="7" customFormat="1">
      <c r="A381" s="7" t="s">
        <v>1267</v>
      </c>
      <c r="B381" s="91" t="s">
        <v>1268</v>
      </c>
      <c r="C381" s="92" t="s">
        <v>890</v>
      </c>
      <c r="D381" s="92" t="s">
        <v>642</v>
      </c>
      <c r="E381" s="7" t="s">
        <v>643</v>
      </c>
      <c r="G381" s="7" t="s">
        <v>1195</v>
      </c>
      <c r="H381" s="7" t="s">
        <v>1269</v>
      </c>
      <c r="J381" s="7">
        <v>0</v>
      </c>
      <c r="K381" s="7">
        <v>45</v>
      </c>
      <c r="L381" s="7" t="s">
        <v>64</v>
      </c>
      <c r="M381" s="7" t="s">
        <v>26</v>
      </c>
      <c r="N381" s="7" t="s">
        <v>1270</v>
      </c>
      <c r="O381" s="7" t="s">
        <v>957</v>
      </c>
      <c r="P381" s="7">
        <v>27</v>
      </c>
      <c r="Q381" s="7" t="s">
        <v>1271</v>
      </c>
      <c r="R381" s="131">
        <v>0</v>
      </c>
      <c r="S381" s="93">
        <f t="shared" si="125"/>
        <v>0</v>
      </c>
      <c r="T381" s="93">
        <v>100</v>
      </c>
      <c r="U381" s="93">
        <v>0</v>
      </c>
      <c r="V381" s="131">
        <v>0</v>
      </c>
      <c r="W381" s="154">
        <f t="shared" si="126"/>
        <v>0</v>
      </c>
      <c r="X381" s="94">
        <v>0</v>
      </c>
      <c r="Y381" s="94">
        <f t="shared" si="127"/>
        <v>0</v>
      </c>
      <c r="Z381" s="94">
        <v>0</v>
      </c>
      <c r="AA381" s="155">
        <f>INDEX(Chemical_analyses!$A:$L, MATCH($P381, Chemical_analyses!$A:$A), 9)/$R$2/(INDEX(Chemical_analyses!$A:$L, MATCH($P381, Chemical_analyses!$A:$A), 9)/$R$2+INDEX(Chemical_analyses!$A:$L, MATCH($P381, Chemical_analyses!$A:$A), 11)/$S$2+INDEX(Chemical_analyses!$A:$L, MATCH($P381, Chemical_analyses!$A:$A), 12)/$T$2)*100</f>
        <v>4.1534243905736972</v>
      </c>
      <c r="AB381" s="94">
        <f t="shared" si="128"/>
        <v>46.00274930744218</v>
      </c>
      <c r="AC381" s="132">
        <f>INDEX(Chemical_analyses!$A:$L, MATCH($P381, Chemical_analyses!$A:$A), 12)/$T$2/(INDEX(Chemical_analyses!$A:$L, MATCH($P381, Chemical_analyses!$A:$A), 9)/$R$2+INDEX(Chemical_analyses!$A:$L, MATCH($P381, Chemical_analyses!$A:$A), 11)/$S$2+INDEX(Chemical_analyses!$A:$L, MATCH($P381, Chemical_analyses!$A:$A), 12)/$T$2)*100</f>
        <v>49.84382630198413</v>
      </c>
      <c r="AD381" s="94">
        <v>0</v>
      </c>
      <c r="AE381" s="94">
        <f t="shared" si="129"/>
        <v>0</v>
      </c>
      <c r="AF381" s="132">
        <v>0</v>
      </c>
      <c r="AG381" s="97" t="s">
        <v>262</v>
      </c>
      <c r="AH381" s="95" t="str">
        <f>_xlfn.CONCAT("FeO: ", INDEX(Chemical_analyses!$A:$M, MATCH($P381, Chemical_analyses!$A:$A), 9), ", MgO: ", INDEX(Chemical_analyses!$A:$M, MATCH($P381, Chemical_analyses!$A:$A), 11), ", CaO: ", INDEX(Chemical_analyses!$A:$M, MATCH($P381, Chemical_analyses!$A:$A), 12), ", MnO: ", INDEX(Chemical_analyses!$A:$M, MATCH($P381, Chemical_analyses!$A:$A), 10), ", NaO2: ", INDEX(Chemical_analyses!$A:$M, MATCH($P381, Chemical_analyses!$A:$A), 13), ", Fe2O3: ", INDEX(Chemical_analyses!$A:$M, MATCH($P381, Chemical_analyses!$A:$A), 8), ", Al2O3: ", INDEX(Chemical_analyses!$A:$M, MATCH($P381, Chemical_analyses!$A:$A), 6))</f>
        <v>FeO: 2.67, MgO: 16.59, CaO: 25.01, MnO: 0.15, NaO2: 0.4, Fe2O3: 0, Al2O3: 0.72</v>
      </c>
      <c r="AI381" s="95"/>
      <c r="AJ381" s="95"/>
      <c r="AN381" s="37"/>
      <c r="AO381" s="37"/>
      <c r="AP381" s="37"/>
      <c r="AQ381" s="37"/>
      <c r="AW381" s="37"/>
      <c r="AX381" s="37"/>
      <c r="AY381" s="37"/>
      <c r="AZ381" s="37"/>
    </row>
    <row r="382" spans="1:52" s="7" customFormat="1">
      <c r="A382" s="7" t="s">
        <v>1272</v>
      </c>
      <c r="B382" s="91" t="s">
        <v>1273</v>
      </c>
      <c r="C382" s="92" t="s">
        <v>890</v>
      </c>
      <c r="D382" s="92" t="s">
        <v>642</v>
      </c>
      <c r="E382" s="7" t="s">
        <v>643</v>
      </c>
      <c r="G382" s="7" t="s">
        <v>755</v>
      </c>
      <c r="H382" s="7" t="s">
        <v>1274</v>
      </c>
      <c r="J382" s="7">
        <v>0</v>
      </c>
      <c r="K382" s="7">
        <v>45</v>
      </c>
      <c r="L382" s="7" t="s">
        <v>64</v>
      </c>
      <c r="M382" s="7" t="s">
        <v>26</v>
      </c>
      <c r="N382" s="7" t="s">
        <v>1275</v>
      </c>
      <c r="O382" s="7" t="s">
        <v>1276</v>
      </c>
      <c r="P382" s="7">
        <v>462</v>
      </c>
      <c r="Q382" s="7" t="s">
        <v>1277</v>
      </c>
      <c r="R382" s="131">
        <v>0</v>
      </c>
      <c r="S382" s="93">
        <f t="shared" si="125"/>
        <v>0</v>
      </c>
      <c r="T382" s="93">
        <v>100</v>
      </c>
      <c r="U382" s="93">
        <v>0</v>
      </c>
      <c r="V382" s="131">
        <v>0</v>
      </c>
      <c r="W382" s="154">
        <f t="shared" si="126"/>
        <v>0</v>
      </c>
      <c r="X382" s="94">
        <v>0</v>
      </c>
      <c r="Y382" s="94">
        <f t="shared" si="127"/>
        <v>0</v>
      </c>
      <c r="Z382" s="94">
        <v>0</v>
      </c>
      <c r="AA382" s="155">
        <f>INDEX(Chemical_analyses!$A:$L, MATCH($P382, Chemical_analyses!$A:$A), 9)/$R$2/(INDEX(Chemical_analyses!$A:$L, MATCH($P382, Chemical_analyses!$A:$A), 9)/$R$2+INDEX(Chemical_analyses!$A:$L, MATCH($P382, Chemical_analyses!$A:$A), 11)/$S$2+INDEX(Chemical_analyses!$A:$L, MATCH($P382, Chemical_analyses!$A:$A), 12)/$T$2)*100</f>
        <v>25.741973840224436</v>
      </c>
      <c r="AB382" s="94">
        <f t="shared" si="128"/>
        <v>52.425656778438345</v>
      </c>
      <c r="AC382" s="132">
        <f>INDEX(Chemical_analyses!$A:$L, MATCH($P382, Chemical_analyses!$A:$A), 12)/$T$2/(INDEX(Chemical_analyses!$A:$L, MATCH($P382, Chemical_analyses!$A:$A), 9)/$R$2+INDEX(Chemical_analyses!$A:$L, MATCH($P382, Chemical_analyses!$A:$A), 11)/$S$2+INDEX(Chemical_analyses!$A:$L, MATCH($P382, Chemical_analyses!$A:$A), 12)/$T$2)*100</f>
        <v>21.832369381337223</v>
      </c>
      <c r="AD382" s="94">
        <v>0</v>
      </c>
      <c r="AE382" s="94">
        <f t="shared" si="129"/>
        <v>0</v>
      </c>
      <c r="AF382" s="132">
        <v>0</v>
      </c>
      <c r="AG382" s="7" t="s">
        <v>69</v>
      </c>
      <c r="AH382" s="95" t="str">
        <f>_xlfn.CONCAT("FeO: ", INDEX(Chemical_analyses!$A:$M, MATCH($P382, Chemical_analyses!$A:$A), 9), ", MgO: ", INDEX(Chemical_analyses!$A:$M, MATCH($P382, Chemical_analyses!$A:$A), 11), ", CaO: ", INDEX(Chemical_analyses!$A:$M, MATCH($P382, Chemical_analyses!$A:$A), 12), ", MnO: ", INDEX(Chemical_analyses!$A:$M, MATCH($P382, Chemical_analyses!$A:$A), 10), ", NaO2: ", INDEX(Chemical_analyses!$A:$M, MATCH($P382, Chemical_analyses!$A:$A), 13), ", Fe2O3: ", INDEX(Chemical_analyses!$A:$M, MATCH($P382, Chemical_analyses!$A:$A), 8), ", Al2O3: ", INDEX(Chemical_analyses!$A:$M, MATCH($P382, Chemical_analyses!$A:$A), 6))</f>
        <v>FeO: 16.42, MgO: 18.76, CaO: 10.87, MnO: 0.35, NaO2: 0, Fe2O3: 0, Al2O3: 0.54</v>
      </c>
      <c r="AI382" s="95"/>
      <c r="AJ382" s="95"/>
      <c r="AN382" s="37"/>
      <c r="AO382" s="37"/>
      <c r="AP382" s="37"/>
      <c r="AQ382" s="37"/>
      <c r="AW382" s="37"/>
      <c r="AX382" s="37"/>
      <c r="AY382" s="37"/>
      <c r="AZ382" s="37"/>
    </row>
    <row r="383" spans="1:52" s="7" customFormat="1">
      <c r="A383" s="7" t="s">
        <v>1278</v>
      </c>
      <c r="B383" s="91" t="s">
        <v>1279</v>
      </c>
      <c r="C383" s="92" t="s">
        <v>890</v>
      </c>
      <c r="D383" s="92" t="s">
        <v>642</v>
      </c>
      <c r="E383" s="7" t="s">
        <v>643</v>
      </c>
      <c r="G383" s="7" t="s">
        <v>755</v>
      </c>
      <c r="H383" s="7" t="s">
        <v>997</v>
      </c>
      <c r="J383" s="7">
        <v>0</v>
      </c>
      <c r="K383" s="7">
        <v>45</v>
      </c>
      <c r="L383" s="7" t="s">
        <v>64</v>
      </c>
      <c r="M383" s="7" t="s">
        <v>26</v>
      </c>
      <c r="N383" s="7" t="s">
        <v>1280</v>
      </c>
      <c r="O383" s="7" t="s">
        <v>1276</v>
      </c>
      <c r="P383" s="7">
        <v>460</v>
      </c>
      <c r="Q383" s="7" t="s">
        <v>1281</v>
      </c>
      <c r="R383" s="131">
        <v>0</v>
      </c>
      <c r="S383" s="93">
        <f t="shared" si="125"/>
        <v>0</v>
      </c>
      <c r="T383" s="93">
        <v>100</v>
      </c>
      <c r="U383" s="93">
        <v>0</v>
      </c>
      <c r="V383" s="131">
        <v>0</v>
      </c>
      <c r="W383" s="154">
        <f t="shared" si="126"/>
        <v>0</v>
      </c>
      <c r="X383" s="94">
        <v>0</v>
      </c>
      <c r="Y383" s="94">
        <f t="shared" si="127"/>
        <v>0</v>
      </c>
      <c r="Z383" s="94">
        <v>0</v>
      </c>
      <c r="AA383" s="155">
        <f>INDEX(Chemical_analyses!$A:$L, MATCH($P383, Chemical_analyses!$A:$A), 9)/$R$2/(INDEX(Chemical_analyses!$A:$L, MATCH($P383, Chemical_analyses!$A:$A), 9)/$R$2+INDEX(Chemical_analyses!$A:$L, MATCH($P383, Chemical_analyses!$A:$A), 11)/$S$2+INDEX(Chemical_analyses!$A:$L, MATCH($P383, Chemical_analyses!$A:$A), 12)/$T$2)*100</f>
        <v>3.0568924570376068</v>
      </c>
      <c r="AB383" s="94">
        <f t="shared" si="128"/>
        <v>42.303545093691675</v>
      </c>
      <c r="AC383" s="132">
        <f>INDEX(Chemical_analyses!$A:$L, MATCH($P383, Chemical_analyses!$A:$A), 12)/$T$2/(INDEX(Chemical_analyses!$A:$L, MATCH($P383, Chemical_analyses!$A:$A), 9)/$R$2+INDEX(Chemical_analyses!$A:$L, MATCH($P383, Chemical_analyses!$A:$A), 11)/$S$2+INDEX(Chemical_analyses!$A:$L, MATCH($P383, Chemical_analyses!$A:$A), 12)/$T$2)*100</f>
        <v>54.63956244927072</v>
      </c>
      <c r="AD383" s="94">
        <v>0</v>
      </c>
      <c r="AE383" s="94">
        <f t="shared" si="129"/>
        <v>0</v>
      </c>
      <c r="AF383" s="132">
        <v>0</v>
      </c>
      <c r="AG383" s="7" t="s">
        <v>69</v>
      </c>
      <c r="AH383" s="95" t="str">
        <f>_xlfn.CONCAT("FeO: ", INDEX(Chemical_analyses!$A:$M, MATCH($P383, Chemical_analyses!$A:$A), 9), ", MgO: ", INDEX(Chemical_analyses!$A:$M, MATCH($P383, Chemical_analyses!$A:$A), 11), ", CaO: ", INDEX(Chemical_analyses!$A:$M, MATCH($P383, Chemical_analyses!$A:$A), 12), ", MnO: ", INDEX(Chemical_analyses!$A:$M, MATCH($P383, Chemical_analyses!$A:$A), 10), ", NaO2: ", INDEX(Chemical_analyses!$A:$M, MATCH($P383, Chemical_analyses!$A:$A), 13), ", Fe2O3: ", INDEX(Chemical_analyses!$A:$M, MATCH($P383, Chemical_analyses!$A:$A), 8), ", Al2O3: ", INDEX(Chemical_analyses!$A:$M, MATCH($P383, Chemical_analyses!$A:$A), 6))</f>
        <v>FeO: 1.86, MgO: 14.44, CaO: 25.95, MnO: 0, NaO2: 0, Fe2O3: 0, Al2O3: 7.92</v>
      </c>
      <c r="AN383" s="37"/>
      <c r="AO383" s="37"/>
      <c r="AP383" s="37"/>
      <c r="AQ383" s="37"/>
      <c r="AW383" s="37"/>
      <c r="AX383" s="37"/>
      <c r="AY383" s="37"/>
      <c r="AZ383" s="37"/>
    </row>
    <row r="384" spans="1:52" s="7" customFormat="1">
      <c r="A384" s="7" t="s">
        <v>1282</v>
      </c>
      <c r="B384" s="7" t="s">
        <v>1283</v>
      </c>
      <c r="C384" s="92" t="s">
        <v>1284</v>
      </c>
      <c r="D384" s="92" t="s">
        <v>642</v>
      </c>
      <c r="E384" s="7" t="s">
        <v>643</v>
      </c>
      <c r="G384" s="7" t="s">
        <v>755</v>
      </c>
      <c r="H384" s="7" t="s">
        <v>1123</v>
      </c>
      <c r="J384" s="7">
        <v>50</v>
      </c>
      <c r="K384" s="7">
        <v>100</v>
      </c>
      <c r="L384" s="7" t="s">
        <v>64</v>
      </c>
      <c r="M384" s="7" t="s">
        <v>108</v>
      </c>
      <c r="N384" s="7" t="s">
        <v>1285</v>
      </c>
      <c r="O384" s="7" t="s">
        <v>1286</v>
      </c>
      <c r="P384" s="7">
        <v>721</v>
      </c>
      <c r="Q384" s="7" t="s">
        <v>1287</v>
      </c>
      <c r="R384" s="131">
        <v>0</v>
      </c>
      <c r="S384" s="93">
        <f t="shared" si="125"/>
        <v>0</v>
      </c>
      <c r="T384" s="93">
        <v>100</v>
      </c>
      <c r="U384" s="93">
        <v>0</v>
      </c>
      <c r="V384" s="131">
        <v>0</v>
      </c>
      <c r="W384" s="154">
        <f t="shared" si="126"/>
        <v>0</v>
      </c>
      <c r="X384" s="94">
        <v>0</v>
      </c>
      <c r="Y384" s="94">
        <f t="shared" si="127"/>
        <v>0</v>
      </c>
      <c r="Z384" s="94">
        <v>0</v>
      </c>
      <c r="AA384" s="155">
        <f>INDEX(Chemical_analyses!$A:$L, MATCH($P384, Chemical_analyses!$A:$A), 9)/$R$2/(INDEX(Chemical_analyses!$A:$L, MATCH($P384, Chemical_analyses!$A:$A), 9)/$R$2+INDEX(Chemical_analyses!$A:$L, MATCH($P384, Chemical_analyses!$A:$A), 11)/$S$2+INDEX(Chemical_analyses!$A:$L, MATCH($P384, Chemical_analyses!$A:$A), 12)/$T$2)*100</f>
        <v>38.045190148714291</v>
      </c>
      <c r="AB384" s="94">
        <f t="shared" si="128"/>
        <v>47.123979166204876</v>
      </c>
      <c r="AC384" s="132">
        <f>INDEX(Chemical_analyses!$A:$L, MATCH($P384, Chemical_analyses!$A:$A), 12)/$T$2/(INDEX(Chemical_analyses!$A:$L, MATCH($P384, Chemical_analyses!$A:$A), 9)/$R$2+INDEX(Chemical_analyses!$A:$L, MATCH($P384, Chemical_analyses!$A:$A), 11)/$S$2+INDEX(Chemical_analyses!$A:$L, MATCH($P384, Chemical_analyses!$A:$A), 12)/$T$2)*100</f>
        <v>14.830830685080832</v>
      </c>
      <c r="AD384" s="94">
        <v>0</v>
      </c>
      <c r="AE384" s="94">
        <f t="shared" si="129"/>
        <v>0</v>
      </c>
      <c r="AF384" s="132">
        <v>0</v>
      </c>
      <c r="AG384" s="7" t="s">
        <v>69</v>
      </c>
      <c r="AH384" s="95" t="str">
        <f>_xlfn.CONCAT("FeO: ", INDEX(Chemical_analyses!$A:$M, MATCH($P384, Chemical_analyses!$A:$A), 9), ", MgO: ", INDEX(Chemical_analyses!$A:$M, MATCH($P384, Chemical_analyses!$A:$A), 11), ", CaO: ", INDEX(Chemical_analyses!$A:$M, MATCH($P384, Chemical_analyses!$A:$A), 12), ", MnO: ", INDEX(Chemical_analyses!$A:$M, MATCH($P384, Chemical_analyses!$A:$A), 10), ", NaO2: ", INDEX(Chemical_analyses!$A:$M, MATCH($P384, Chemical_analyses!$A:$A), 13), ", Fe2O3: ", INDEX(Chemical_analyses!$A:$M, MATCH($P384, Chemical_analyses!$A:$A), 8), ", Al2O3: ", INDEX(Chemical_analyses!$A:$M, MATCH($P384, Chemical_analyses!$A:$A), 6))</f>
        <v>FeO: 23.17, MgO: 16.1, CaO: 7.05, MnO: 0, NaO2: 0.26, Fe2O3: 0.12, Al2O3: 1.41</v>
      </c>
      <c r="AI384" s="95"/>
      <c r="AJ384" s="95"/>
      <c r="AN384" s="37"/>
      <c r="AO384" s="37"/>
      <c r="AP384" s="37"/>
      <c r="AQ384" s="37"/>
      <c r="AW384" s="37"/>
      <c r="AX384" s="37"/>
      <c r="AY384" s="37"/>
      <c r="AZ384" s="37"/>
    </row>
    <row r="385" spans="1:52" s="7" customFormat="1">
      <c r="A385" s="7" t="s">
        <v>1288</v>
      </c>
      <c r="B385" s="7" t="s">
        <v>1289</v>
      </c>
      <c r="C385" s="92" t="s">
        <v>1284</v>
      </c>
      <c r="D385" s="92" t="s">
        <v>642</v>
      </c>
      <c r="E385" s="7" t="s">
        <v>643</v>
      </c>
      <c r="G385" s="7" t="s">
        <v>755</v>
      </c>
      <c r="H385" s="7" t="s">
        <v>1123</v>
      </c>
      <c r="I385" s="7" t="s">
        <v>64</v>
      </c>
      <c r="J385" s="7">
        <v>50</v>
      </c>
      <c r="K385" s="7">
        <v>100</v>
      </c>
      <c r="L385" s="7" t="s">
        <v>64</v>
      </c>
      <c r="M385" s="7" t="s">
        <v>108</v>
      </c>
      <c r="N385" s="7" t="s">
        <v>1285</v>
      </c>
      <c r="O385" s="7" t="s">
        <v>1286</v>
      </c>
      <c r="P385" s="7">
        <v>721</v>
      </c>
      <c r="Q385" s="7" t="s">
        <v>1287</v>
      </c>
      <c r="R385" s="131">
        <v>0</v>
      </c>
      <c r="S385" s="93">
        <f t="shared" si="125"/>
        <v>0</v>
      </c>
      <c r="T385" s="93">
        <v>100</v>
      </c>
      <c r="U385" s="93">
        <v>0</v>
      </c>
      <c r="V385" s="131">
        <v>0</v>
      </c>
      <c r="W385" s="154">
        <f t="shared" si="126"/>
        <v>0</v>
      </c>
      <c r="X385" s="94">
        <v>0</v>
      </c>
      <c r="Y385" s="94">
        <f t="shared" si="127"/>
        <v>0</v>
      </c>
      <c r="Z385" s="94">
        <v>0</v>
      </c>
      <c r="AA385" s="155">
        <f>INDEX(Chemical_analyses!$A:$L, MATCH($P385, Chemical_analyses!$A:$A), 9)/$R$2/(INDEX(Chemical_analyses!$A:$L, MATCH($P385, Chemical_analyses!$A:$A), 9)/$R$2+INDEX(Chemical_analyses!$A:$L, MATCH($P385, Chemical_analyses!$A:$A), 11)/$S$2+INDEX(Chemical_analyses!$A:$L, MATCH($P385, Chemical_analyses!$A:$A), 12)/$T$2)*100</f>
        <v>38.045190148714291</v>
      </c>
      <c r="AB385" s="94">
        <f t="shared" si="128"/>
        <v>47.123979166204876</v>
      </c>
      <c r="AC385" s="132">
        <f>INDEX(Chemical_analyses!$A:$L, MATCH($P385, Chemical_analyses!$A:$A), 12)/$T$2/(INDEX(Chemical_analyses!$A:$L, MATCH($P385, Chemical_analyses!$A:$A), 9)/$R$2+INDEX(Chemical_analyses!$A:$L, MATCH($P385, Chemical_analyses!$A:$A), 11)/$S$2+INDEX(Chemical_analyses!$A:$L, MATCH($P385, Chemical_analyses!$A:$A), 12)/$T$2)*100</f>
        <v>14.830830685080832</v>
      </c>
      <c r="AD385" s="94">
        <v>0</v>
      </c>
      <c r="AE385" s="94">
        <f t="shared" si="129"/>
        <v>0</v>
      </c>
      <c r="AF385" s="132">
        <v>0</v>
      </c>
      <c r="AG385" s="7" t="s">
        <v>69</v>
      </c>
      <c r="AH385" s="95" t="str">
        <f>_xlfn.CONCAT("FeO: ", INDEX(Chemical_analyses!$A:$M, MATCH($P385, Chemical_analyses!$A:$A), 9), ", MgO: ", INDEX(Chemical_analyses!$A:$M, MATCH($P385, Chemical_analyses!$A:$A), 11), ", CaO: ", INDEX(Chemical_analyses!$A:$M, MATCH($P385, Chemical_analyses!$A:$A), 12), ", MnO: ", INDEX(Chemical_analyses!$A:$M, MATCH($P385, Chemical_analyses!$A:$A), 10), ", NaO2: ", INDEX(Chemical_analyses!$A:$M, MATCH($P385, Chemical_analyses!$A:$A), 13), ", Fe2O3: ", INDEX(Chemical_analyses!$A:$M, MATCH($P385, Chemical_analyses!$A:$A), 8), ", Al2O3: ", INDEX(Chemical_analyses!$A:$M, MATCH($P385, Chemical_analyses!$A:$A), 6))</f>
        <v>FeO: 23.17, MgO: 16.1, CaO: 7.05, MnO: 0, NaO2: 0.26, Fe2O3: 0.12, Al2O3: 1.41</v>
      </c>
      <c r="AI385" s="95"/>
      <c r="AJ385" s="95"/>
      <c r="AN385" s="37"/>
      <c r="AO385" s="37"/>
      <c r="AP385" s="37"/>
      <c r="AQ385" s="37"/>
      <c r="AW385" s="37"/>
      <c r="AX385" s="37"/>
      <c r="AY385" s="37"/>
      <c r="AZ385" s="37"/>
    </row>
    <row r="386" spans="1:52" s="7" customFormat="1">
      <c r="A386" s="7" t="s">
        <v>1290</v>
      </c>
      <c r="B386" s="7" t="s">
        <v>1291</v>
      </c>
      <c r="C386" s="92" t="s">
        <v>890</v>
      </c>
      <c r="D386" s="92" t="s">
        <v>642</v>
      </c>
      <c r="E386" s="7" t="s">
        <v>643</v>
      </c>
      <c r="G386" s="7" t="s">
        <v>755</v>
      </c>
      <c r="H386" s="7" t="s">
        <v>997</v>
      </c>
      <c r="J386" s="7">
        <v>0</v>
      </c>
      <c r="K386" s="7">
        <v>45</v>
      </c>
      <c r="L386" s="7" t="s">
        <v>64</v>
      </c>
      <c r="M386" s="7" t="s">
        <v>108</v>
      </c>
      <c r="N386" s="7" t="s">
        <v>1292</v>
      </c>
      <c r="O386" s="7" t="s">
        <v>892</v>
      </c>
      <c r="P386" s="7">
        <v>0</v>
      </c>
      <c r="R386" s="131">
        <v>0</v>
      </c>
      <c r="S386" s="93">
        <f t="shared" si="125"/>
        <v>0</v>
      </c>
      <c r="T386" s="93">
        <v>100</v>
      </c>
      <c r="U386" s="93">
        <v>0</v>
      </c>
      <c r="V386" s="131">
        <v>0</v>
      </c>
      <c r="W386" s="154">
        <f t="shared" si="126"/>
        <v>0</v>
      </c>
      <c r="X386" s="94">
        <v>0</v>
      </c>
      <c r="Y386" s="94">
        <f t="shared" si="127"/>
        <v>0</v>
      </c>
      <c r="Z386" s="94">
        <v>0</v>
      </c>
      <c r="AA386" s="131">
        <f>8.98/$R$2/(8.98/$R$2 + 17.54/$S$2 + 7.33/$T$2)*100</f>
        <v>18.091394363689059</v>
      </c>
      <c r="AB386" s="94">
        <f t="shared" si="128"/>
        <v>62.98942545866872</v>
      </c>
      <c r="AC386" s="154">
        <f>7.33/$T$2/(8.98/$R$2 + 17.54/$S$2 + 7.33/$T$2)*100</f>
        <v>18.919180177642215</v>
      </c>
      <c r="AD386" s="94">
        <v>0</v>
      </c>
      <c r="AE386" s="94">
        <f t="shared" si="129"/>
        <v>0</v>
      </c>
      <c r="AF386" s="132">
        <v>0</v>
      </c>
      <c r="AG386" s="7" t="s">
        <v>1243</v>
      </c>
      <c r="AH386" s="28" t="s">
        <v>1293</v>
      </c>
      <c r="AI386" s="7" t="s">
        <v>1294</v>
      </c>
      <c r="AJ386" s="95"/>
      <c r="AN386" s="37"/>
      <c r="AO386" s="37"/>
      <c r="AP386" s="37"/>
      <c r="AQ386" s="37"/>
      <c r="AW386" s="37"/>
      <c r="AX386" s="37"/>
      <c r="AY386" s="37"/>
      <c r="AZ386" s="37"/>
    </row>
    <row r="387" spans="1:52" s="7" customFormat="1">
      <c r="A387" s="7" t="s">
        <v>1295</v>
      </c>
      <c r="B387" s="91" t="s">
        <v>1296</v>
      </c>
      <c r="C387" s="92" t="s">
        <v>753</v>
      </c>
      <c r="D387" s="92" t="s">
        <v>754</v>
      </c>
      <c r="E387" s="7" t="s">
        <v>643</v>
      </c>
      <c r="G387" s="7" t="s">
        <v>755</v>
      </c>
      <c r="H387" s="7" t="s">
        <v>1297</v>
      </c>
      <c r="J387" s="7">
        <v>0</v>
      </c>
      <c r="K387" s="7">
        <v>25</v>
      </c>
      <c r="L387" s="7" t="s">
        <v>64</v>
      </c>
      <c r="M387" s="7" t="s">
        <v>757</v>
      </c>
      <c r="N387" s="7" t="s">
        <v>758</v>
      </c>
      <c r="O387" s="7" t="s">
        <v>355</v>
      </c>
      <c r="P387" s="7">
        <v>0</v>
      </c>
      <c r="R387" s="131">
        <v>0</v>
      </c>
      <c r="S387" s="93">
        <f t="shared" si="125"/>
        <v>0</v>
      </c>
      <c r="T387" s="93">
        <v>100</v>
      </c>
      <c r="U387" s="93">
        <v>0</v>
      </c>
      <c r="V387" s="131">
        <v>0</v>
      </c>
      <c r="W387" s="154">
        <f t="shared" si="126"/>
        <v>0</v>
      </c>
      <c r="X387" s="94">
        <v>0</v>
      </c>
      <c r="Y387" s="94">
        <f t="shared" si="127"/>
        <v>0</v>
      </c>
      <c r="Z387" s="94">
        <v>0</v>
      </c>
      <c r="AA387" s="155">
        <v>33</v>
      </c>
      <c r="AB387" s="94">
        <f t="shared" si="128"/>
        <v>29.4</v>
      </c>
      <c r="AC387" s="132">
        <v>37.6</v>
      </c>
      <c r="AD387" s="94">
        <v>0</v>
      </c>
      <c r="AE387" s="94">
        <f t="shared" si="129"/>
        <v>0</v>
      </c>
      <c r="AF387" s="132">
        <v>0</v>
      </c>
      <c r="AG387" s="7" t="s">
        <v>69</v>
      </c>
      <c r="AH387" s="7" t="s">
        <v>1298</v>
      </c>
      <c r="AI387" s="95"/>
      <c r="AJ387" s="95"/>
      <c r="AN387" s="37"/>
      <c r="AO387" s="37"/>
      <c r="AP387" s="37"/>
      <c r="AQ387" s="37"/>
      <c r="AW387" s="37"/>
      <c r="AX387" s="37"/>
      <c r="AY387" s="37"/>
      <c r="AZ387" s="37"/>
    </row>
    <row r="388" spans="1:52" s="7" customFormat="1">
      <c r="A388" s="7" t="s">
        <v>1299</v>
      </c>
      <c r="B388" s="91" t="s">
        <v>1300</v>
      </c>
      <c r="C388" s="92" t="s">
        <v>1301</v>
      </c>
      <c r="D388" s="92" t="s">
        <v>642</v>
      </c>
      <c r="E388" s="7" t="s">
        <v>643</v>
      </c>
      <c r="G388" s="7" t="s">
        <v>1122</v>
      </c>
      <c r="H388" s="7" t="s">
        <v>1302</v>
      </c>
      <c r="J388" s="7">
        <v>0</v>
      </c>
      <c r="K388" s="7">
        <v>0</v>
      </c>
      <c r="O388" s="7" t="s">
        <v>1303</v>
      </c>
      <c r="P388" s="7">
        <v>287</v>
      </c>
      <c r="Q388" s="7" t="s">
        <v>1304</v>
      </c>
      <c r="R388" s="131">
        <v>0</v>
      </c>
      <c r="S388" s="93">
        <f t="shared" si="125"/>
        <v>0</v>
      </c>
      <c r="T388" s="93">
        <v>100</v>
      </c>
      <c r="U388" s="93">
        <v>0</v>
      </c>
      <c r="V388" s="131">
        <v>0</v>
      </c>
      <c r="W388" s="154">
        <f t="shared" si="126"/>
        <v>0</v>
      </c>
      <c r="X388" s="94">
        <v>0</v>
      </c>
      <c r="Y388" s="94">
        <f t="shared" si="127"/>
        <v>0</v>
      </c>
      <c r="Z388" s="94">
        <v>0</v>
      </c>
      <c r="AA388" s="155">
        <f>INDEX(Chemical_analyses!$A:$L, MATCH($P388, Chemical_analyses!$A:$A), 9)/$R$2/(INDEX(Chemical_analyses!$A:$L, MATCH($P388, Chemical_analyses!$A:$A), 9)/$R$2+INDEX(Chemical_analyses!$A:$L, MATCH($P388, Chemical_analyses!$A:$A), 11)/$S$2+INDEX(Chemical_analyses!$A:$L, MATCH($P388, Chemical_analyses!$A:$A), 12)/$T$2)*100</f>
        <v>38.045190148714291</v>
      </c>
      <c r="AB388" s="94">
        <f t="shared" si="128"/>
        <v>47.123979166204876</v>
      </c>
      <c r="AC388" s="132">
        <f>INDEX(Chemical_analyses!$A:$L, MATCH($P388, Chemical_analyses!$A:$A), 12)/$T$2/(INDEX(Chemical_analyses!$A:$L, MATCH($P388, Chemical_analyses!$A:$A), 9)/$R$2+INDEX(Chemical_analyses!$A:$L, MATCH($P388, Chemical_analyses!$A:$A), 11)/$S$2+INDEX(Chemical_analyses!$A:$L, MATCH($P388, Chemical_analyses!$A:$A), 12)/$T$2)*100</f>
        <v>14.830830685080832</v>
      </c>
      <c r="AD388" s="94">
        <v>0</v>
      </c>
      <c r="AE388" s="94">
        <f t="shared" si="129"/>
        <v>0</v>
      </c>
      <c r="AF388" s="132">
        <v>0</v>
      </c>
      <c r="AG388" s="7" t="s">
        <v>1305</v>
      </c>
      <c r="AH388" s="95" t="str">
        <f>_xlfn.CONCAT("FeO: ", INDEX(Chemical_analyses!$A:$M, MATCH($P388, Chemical_analyses!$A:$A), 9), ", MgO: ", INDEX(Chemical_analyses!$A:$M, MATCH($P388, Chemical_analyses!$A:$A), 11), ", CaO: ", INDEX(Chemical_analyses!$A:$M, MATCH($P388, Chemical_analyses!$A:$A), 12), ", MnO: ", INDEX(Chemical_analyses!$A:$M, MATCH($P388, Chemical_analyses!$A:$A), 10), ", NaO2: ", INDEX(Chemical_analyses!$A:$M, MATCH($P388, Chemical_analyses!$A:$A), 13), ", Fe2O3: ", INDEX(Chemical_analyses!$A:$M, MATCH($P388, Chemical_analyses!$A:$A), 8), ", Al2O3: ", INDEX(Chemical_analyses!$A:$M, MATCH($P388, Chemical_analyses!$A:$A), 6))</f>
        <v>FeO: 23.17, MgO: 16.1, CaO: 7.05, MnO: 0.54, NaO2: 0.26, Fe2O3: 0.12, Al2O3: 1.41</v>
      </c>
      <c r="AI388" s="95"/>
      <c r="AJ388" s="95"/>
      <c r="AN388" s="37"/>
      <c r="AO388" s="37"/>
      <c r="AP388" s="37"/>
      <c r="AQ388" s="37"/>
      <c r="AW388" s="37"/>
      <c r="AX388" s="37"/>
      <c r="AY388" s="37"/>
      <c r="AZ388" s="37"/>
    </row>
    <row r="389" spans="1:52" s="9" customFormat="1">
      <c r="A389" s="9" t="s">
        <v>1306</v>
      </c>
      <c r="B389" s="98" t="s">
        <v>1307</v>
      </c>
      <c r="C389" s="99" t="s">
        <v>106</v>
      </c>
      <c r="D389" s="99" t="s">
        <v>60</v>
      </c>
      <c r="E389" s="9" t="s">
        <v>643</v>
      </c>
      <c r="G389" s="9" t="s">
        <v>755</v>
      </c>
      <c r="H389" s="9" t="s">
        <v>1308</v>
      </c>
      <c r="J389" s="9">
        <v>0</v>
      </c>
      <c r="K389" s="9">
        <v>45</v>
      </c>
      <c r="L389" s="9" t="s">
        <v>64</v>
      </c>
      <c r="M389" s="9" t="s">
        <v>65</v>
      </c>
      <c r="N389" s="9" t="s">
        <v>1309</v>
      </c>
      <c r="O389" s="9" t="s">
        <v>646</v>
      </c>
      <c r="P389" s="9">
        <v>635</v>
      </c>
      <c r="Q389" s="9" t="s">
        <v>647</v>
      </c>
      <c r="R389" s="133">
        <v>0</v>
      </c>
      <c r="S389" s="100">
        <f t="shared" si="125"/>
        <v>100</v>
      </c>
      <c r="T389" s="100">
        <v>0</v>
      </c>
      <c r="U389" s="100">
        <v>0</v>
      </c>
      <c r="V389" s="133">
        <v>0</v>
      </c>
      <c r="W389" s="134">
        <f t="shared" si="126"/>
        <v>0</v>
      </c>
      <c r="X389" s="101">
        <f>INDEX(Chemical_analyses!$A:$L, MATCH($P389, Chemical_analyses!$A:$A), 9)/$R$2/(INDEX(Chemical_analyses!$A:$L, MATCH($P389, Chemical_analyses!$A:$A), 9)/$R$2+INDEX(Chemical_analyses!$A:$L, MATCH($P389, Chemical_analyses!$A:$A), 11)/$S$2+INDEX(Chemical_analyses!$A:$L, MATCH($P389, Chemical_analyses!$A:$A), 12)/$T$2)*100</f>
        <v>23.443537035920759</v>
      </c>
      <c r="Y389" s="101">
        <f t="shared" si="127"/>
        <v>73.5569226280479</v>
      </c>
      <c r="Z389" s="101">
        <f>INDEX(Chemical_analyses!$A:$L, MATCH($P389, Chemical_analyses!$A:$A), 12)/$T$2/(INDEX(Chemical_analyses!$A:$L, MATCH($P389, Chemical_analyses!$A:$A), 9)/$R$2+INDEX(Chemical_analyses!$A:$L, MATCH($P389, Chemical_analyses!$A:$A), 11)/$S$2+INDEX(Chemical_analyses!$A:$L, MATCH($P389, Chemical_analyses!$A:$A), 12)/$T$2)*100</f>
        <v>2.9995403360313451</v>
      </c>
      <c r="AA389" s="133">
        <v>0</v>
      </c>
      <c r="AB389" s="101">
        <f t="shared" si="128"/>
        <v>0</v>
      </c>
      <c r="AC389" s="134">
        <v>0</v>
      </c>
      <c r="AD389" s="101">
        <v>0</v>
      </c>
      <c r="AE389" s="101">
        <f t="shared" si="129"/>
        <v>0</v>
      </c>
      <c r="AF389" s="134">
        <v>0</v>
      </c>
      <c r="AG389" s="9" t="s">
        <v>69</v>
      </c>
      <c r="AH389" s="102" t="str">
        <f>_xlfn.CONCAT("FeO: ", INDEX(Chemical_analyses!$A:$M, MATCH($P389, Chemical_analyses!$A:$A), 9), ", MgO: ", INDEX(Chemical_analyses!$A:$M, MATCH($P389, Chemical_analyses!$A:$A), 11), ", CaO: ", INDEX(Chemical_analyses!$A:$M, MATCH($P389, Chemical_analyses!$A:$A), 12), ", MnO: ", INDEX(Chemical_analyses!$A:$M, MATCH($P389, Chemical_analyses!$A:$A), 10), ", NaO2: ", INDEX(Chemical_analyses!$A:$M, MATCH($P389, Chemical_analyses!$A:$A), 13), ", Fe2O3: ", INDEX(Chemical_analyses!$A:$M, MATCH($P389, Chemical_analyses!$A:$A), 8), ", Al2O3: ", INDEX(Chemical_analyses!$A:$M, MATCH($P389, Chemical_analyses!$A:$A), 6))</f>
        <v>FeO: 15.22, MgO: 26.79, CaO: 1.52, MnO: 0.49, NaO2: 0.05, Fe2O3: 0, Al2O3: 1.23</v>
      </c>
      <c r="AN389" s="32"/>
      <c r="AO389" s="32"/>
      <c r="AP389" s="32"/>
      <c r="AQ389" s="32"/>
      <c r="AW389" s="32"/>
      <c r="AX389" s="32"/>
      <c r="AY389" s="32"/>
      <c r="AZ389" s="32"/>
    </row>
    <row r="390" spans="1:52" s="9" customFormat="1">
      <c r="A390" s="9" t="s">
        <v>1310</v>
      </c>
      <c r="B390" s="98" t="s">
        <v>1311</v>
      </c>
      <c r="C390" s="99" t="s">
        <v>989</v>
      </c>
      <c r="D390" s="99" t="s">
        <v>255</v>
      </c>
      <c r="E390" s="9" t="s">
        <v>643</v>
      </c>
      <c r="G390" s="9" t="s">
        <v>755</v>
      </c>
      <c r="H390" s="9" t="s">
        <v>1049</v>
      </c>
      <c r="J390" s="9">
        <v>0</v>
      </c>
      <c r="K390" s="9">
        <v>50</v>
      </c>
      <c r="L390" s="9" t="s">
        <v>64</v>
      </c>
      <c r="M390" s="9" t="s">
        <v>387</v>
      </c>
      <c r="N390" s="9" t="s">
        <v>339</v>
      </c>
      <c r="O390" s="9" t="s">
        <v>1004</v>
      </c>
      <c r="P390" s="9">
        <v>0</v>
      </c>
      <c r="Q390" s="9" t="s">
        <v>992</v>
      </c>
      <c r="R390" s="133">
        <v>0</v>
      </c>
      <c r="S390" s="100">
        <f t="shared" si="125"/>
        <v>100</v>
      </c>
      <c r="T390" s="100">
        <v>0</v>
      </c>
      <c r="U390" s="100">
        <v>0</v>
      </c>
      <c r="V390" s="133">
        <v>0</v>
      </c>
      <c r="W390" s="134">
        <f t="shared" si="126"/>
        <v>0</v>
      </c>
      <c r="X390" s="101">
        <v>27</v>
      </c>
      <c r="Y390" s="101">
        <f t="shared" si="127"/>
        <v>70</v>
      </c>
      <c r="Z390" s="101">
        <v>3</v>
      </c>
      <c r="AA390" s="164">
        <v>0</v>
      </c>
      <c r="AB390" s="101">
        <f t="shared" si="128"/>
        <v>0</v>
      </c>
      <c r="AC390" s="135">
        <v>0</v>
      </c>
      <c r="AD390" s="101">
        <v>0</v>
      </c>
      <c r="AE390" s="101">
        <f t="shared" si="129"/>
        <v>0</v>
      </c>
      <c r="AF390" s="135">
        <v>0</v>
      </c>
      <c r="AG390" s="9" t="s">
        <v>69</v>
      </c>
      <c r="AH390" s="29" t="s">
        <v>1312</v>
      </c>
      <c r="AI390" s="9" t="s">
        <v>1313</v>
      </c>
      <c r="AN390" s="32"/>
      <c r="AO390" s="32"/>
      <c r="AP390" s="32"/>
      <c r="AQ390" s="32"/>
      <c r="AW390" s="32"/>
      <c r="AX390" s="32"/>
      <c r="AY390" s="32"/>
      <c r="AZ390" s="32"/>
    </row>
    <row r="391" spans="1:52" s="9" customFormat="1">
      <c r="A391" s="9" t="s">
        <v>1314</v>
      </c>
      <c r="B391" s="98" t="s">
        <v>1315</v>
      </c>
      <c r="C391" s="99" t="s">
        <v>162</v>
      </c>
      <c r="D391" s="99" t="s">
        <v>754</v>
      </c>
      <c r="E391" s="9" t="s">
        <v>643</v>
      </c>
      <c r="G391" s="9" t="s">
        <v>755</v>
      </c>
      <c r="H391" s="9" t="s">
        <v>1049</v>
      </c>
      <c r="J391" s="9">
        <v>0</v>
      </c>
      <c r="K391" s="9">
        <v>100</v>
      </c>
      <c r="L391" s="9" t="s">
        <v>64</v>
      </c>
      <c r="M391" s="9" t="s">
        <v>387</v>
      </c>
      <c r="N391" s="9" t="s">
        <v>1012</v>
      </c>
      <c r="P391" s="9">
        <v>0</v>
      </c>
      <c r="Q391" s="9" t="s">
        <v>1316</v>
      </c>
      <c r="R391" s="133">
        <v>0</v>
      </c>
      <c r="S391" s="100">
        <f t="shared" si="125"/>
        <v>100</v>
      </c>
      <c r="T391" s="100">
        <v>0</v>
      </c>
      <c r="U391" s="100">
        <v>0</v>
      </c>
      <c r="V391" s="133">
        <v>0</v>
      </c>
      <c r="W391" s="134">
        <f t="shared" si="126"/>
        <v>0</v>
      </c>
      <c r="X391" s="101">
        <v>0</v>
      </c>
      <c r="Y391" s="101">
        <f t="shared" si="127"/>
        <v>100</v>
      </c>
      <c r="Z391" s="101">
        <v>0</v>
      </c>
      <c r="AA391" s="133">
        <v>0</v>
      </c>
      <c r="AB391" s="101">
        <f t="shared" si="128"/>
        <v>0</v>
      </c>
      <c r="AC391" s="134">
        <v>0</v>
      </c>
      <c r="AD391" s="101">
        <v>0</v>
      </c>
      <c r="AE391" s="101">
        <f t="shared" si="129"/>
        <v>0</v>
      </c>
      <c r="AF391" s="134">
        <v>0</v>
      </c>
      <c r="AG391" s="9" t="s">
        <v>69</v>
      </c>
      <c r="AH391" s="9" t="s">
        <v>1014</v>
      </c>
      <c r="AJ391" s="102"/>
      <c r="AN391" s="32"/>
      <c r="AO391" s="32"/>
      <c r="AP391" s="32"/>
      <c r="AQ391" s="32"/>
      <c r="AW391" s="32"/>
      <c r="AX391" s="32"/>
      <c r="AY391" s="32"/>
      <c r="AZ391" s="32"/>
    </row>
    <row r="392" spans="1:52" s="9" customFormat="1">
      <c r="A392" s="9" t="s">
        <v>1317</v>
      </c>
      <c r="B392" s="98" t="s">
        <v>1318</v>
      </c>
      <c r="C392" s="99" t="s">
        <v>162</v>
      </c>
      <c r="D392" s="99" t="s">
        <v>754</v>
      </c>
      <c r="E392" s="9" t="s">
        <v>643</v>
      </c>
      <c r="G392" s="9" t="s">
        <v>755</v>
      </c>
      <c r="H392" s="9" t="s">
        <v>1049</v>
      </c>
      <c r="J392" s="9">
        <v>0</v>
      </c>
      <c r="K392" s="9">
        <v>100</v>
      </c>
      <c r="L392" s="9" t="s">
        <v>64</v>
      </c>
      <c r="M392" s="9" t="s">
        <v>387</v>
      </c>
      <c r="N392" s="9" t="s">
        <v>1012</v>
      </c>
      <c r="P392" s="9">
        <v>0</v>
      </c>
      <c r="Q392" s="9" t="s">
        <v>1319</v>
      </c>
      <c r="R392" s="133">
        <v>0</v>
      </c>
      <c r="S392" s="100">
        <f t="shared" si="125"/>
        <v>100</v>
      </c>
      <c r="T392" s="100">
        <v>0</v>
      </c>
      <c r="U392" s="100">
        <v>0</v>
      </c>
      <c r="V392" s="133">
        <v>0</v>
      </c>
      <c r="W392" s="134">
        <f t="shared" si="126"/>
        <v>0</v>
      </c>
      <c r="X392" s="101">
        <v>0</v>
      </c>
      <c r="Y392" s="101">
        <f t="shared" si="127"/>
        <v>100</v>
      </c>
      <c r="Z392" s="101">
        <v>0</v>
      </c>
      <c r="AA392" s="164">
        <v>0</v>
      </c>
      <c r="AB392" s="101">
        <f t="shared" si="128"/>
        <v>0</v>
      </c>
      <c r="AC392" s="135">
        <v>0</v>
      </c>
      <c r="AD392" s="101">
        <v>0</v>
      </c>
      <c r="AE392" s="101">
        <f t="shared" si="129"/>
        <v>0</v>
      </c>
      <c r="AF392" s="135">
        <v>0</v>
      </c>
      <c r="AG392" s="9" t="s">
        <v>69</v>
      </c>
      <c r="AH392" s="9" t="s">
        <v>1014</v>
      </c>
      <c r="AJ392" s="102"/>
      <c r="AN392" s="32"/>
      <c r="AO392" s="32"/>
      <c r="AP392" s="32"/>
      <c r="AQ392" s="32"/>
      <c r="AW392" s="32"/>
      <c r="AX392" s="32"/>
      <c r="AY392" s="32"/>
      <c r="AZ392" s="32"/>
    </row>
    <row r="393" spans="1:52" s="9" customFormat="1">
      <c r="A393" s="9" t="s">
        <v>1320</v>
      </c>
      <c r="B393" s="98" t="s">
        <v>1321</v>
      </c>
      <c r="C393" s="99" t="s">
        <v>162</v>
      </c>
      <c r="D393" s="99" t="s">
        <v>754</v>
      </c>
      <c r="E393" s="9" t="s">
        <v>643</v>
      </c>
      <c r="G393" s="9" t="s">
        <v>755</v>
      </c>
      <c r="H393" s="9" t="s">
        <v>1049</v>
      </c>
      <c r="J393" s="9">
        <v>0</v>
      </c>
      <c r="K393" s="9">
        <v>100</v>
      </c>
      <c r="L393" s="9" t="s">
        <v>64</v>
      </c>
      <c r="M393" s="9" t="s">
        <v>387</v>
      </c>
      <c r="N393" s="9" t="s">
        <v>1012</v>
      </c>
      <c r="P393" s="9">
        <v>0</v>
      </c>
      <c r="Q393" s="9" t="s">
        <v>1316</v>
      </c>
      <c r="R393" s="133">
        <v>0</v>
      </c>
      <c r="S393" s="100">
        <f t="shared" si="125"/>
        <v>100</v>
      </c>
      <c r="T393" s="100">
        <v>0</v>
      </c>
      <c r="U393" s="100">
        <v>0</v>
      </c>
      <c r="V393" s="133">
        <v>0</v>
      </c>
      <c r="W393" s="134">
        <f t="shared" si="126"/>
        <v>0</v>
      </c>
      <c r="X393" s="101">
        <v>20</v>
      </c>
      <c r="Y393" s="101">
        <f t="shared" si="127"/>
        <v>80</v>
      </c>
      <c r="Z393" s="101">
        <v>0</v>
      </c>
      <c r="AA393" s="164">
        <v>0</v>
      </c>
      <c r="AB393" s="101">
        <f t="shared" si="128"/>
        <v>0</v>
      </c>
      <c r="AC393" s="135">
        <v>0</v>
      </c>
      <c r="AD393" s="101">
        <v>0</v>
      </c>
      <c r="AE393" s="101">
        <f t="shared" si="129"/>
        <v>0</v>
      </c>
      <c r="AF393" s="135">
        <v>0</v>
      </c>
      <c r="AG393" s="9" t="s">
        <v>69</v>
      </c>
      <c r="AH393" s="9" t="s">
        <v>1014</v>
      </c>
      <c r="AJ393" s="102"/>
      <c r="AN393" s="32"/>
      <c r="AO393" s="32"/>
      <c r="AP393" s="32"/>
      <c r="AQ393" s="32"/>
      <c r="AW393" s="32"/>
      <c r="AX393" s="32"/>
      <c r="AY393" s="32"/>
      <c r="AZ393" s="32"/>
    </row>
    <row r="394" spans="1:52" s="9" customFormat="1">
      <c r="A394" s="9" t="s">
        <v>1322</v>
      </c>
      <c r="B394" s="98" t="s">
        <v>1323</v>
      </c>
      <c r="C394" s="99" t="s">
        <v>162</v>
      </c>
      <c r="D394" s="99" t="s">
        <v>754</v>
      </c>
      <c r="E394" s="9" t="s">
        <v>643</v>
      </c>
      <c r="G394" s="9" t="s">
        <v>755</v>
      </c>
      <c r="H394" s="9" t="s">
        <v>1049</v>
      </c>
      <c r="J394" s="9">
        <v>0</v>
      </c>
      <c r="K394" s="9">
        <v>100</v>
      </c>
      <c r="L394" s="9" t="s">
        <v>64</v>
      </c>
      <c r="M394" s="9" t="s">
        <v>387</v>
      </c>
      <c r="N394" s="9" t="s">
        <v>1012</v>
      </c>
      <c r="P394" s="9">
        <v>0</v>
      </c>
      <c r="Q394" s="9" t="s">
        <v>1319</v>
      </c>
      <c r="R394" s="133">
        <v>0</v>
      </c>
      <c r="S394" s="100">
        <f t="shared" si="125"/>
        <v>100</v>
      </c>
      <c r="T394" s="100">
        <v>0</v>
      </c>
      <c r="U394" s="100">
        <v>0</v>
      </c>
      <c r="V394" s="133">
        <v>0</v>
      </c>
      <c r="W394" s="134">
        <f t="shared" si="126"/>
        <v>0</v>
      </c>
      <c r="X394" s="101">
        <v>20</v>
      </c>
      <c r="Y394" s="101">
        <f t="shared" si="127"/>
        <v>80</v>
      </c>
      <c r="Z394" s="101">
        <v>0</v>
      </c>
      <c r="AA394" s="133">
        <v>0</v>
      </c>
      <c r="AB394" s="101">
        <f t="shared" si="128"/>
        <v>0</v>
      </c>
      <c r="AC394" s="134">
        <v>0</v>
      </c>
      <c r="AD394" s="101">
        <v>0</v>
      </c>
      <c r="AE394" s="101">
        <f t="shared" si="129"/>
        <v>0</v>
      </c>
      <c r="AF394" s="134">
        <v>0</v>
      </c>
      <c r="AG394" s="9" t="s">
        <v>69</v>
      </c>
      <c r="AH394" s="9" t="s">
        <v>1014</v>
      </c>
      <c r="AJ394" s="102"/>
      <c r="AN394" s="32"/>
      <c r="AO394" s="32"/>
      <c r="AP394" s="32"/>
      <c r="AQ394" s="32"/>
      <c r="AW394" s="32"/>
      <c r="AX394" s="32"/>
      <c r="AY394" s="32"/>
      <c r="AZ394" s="32"/>
    </row>
    <row r="395" spans="1:52" s="9" customFormat="1">
      <c r="A395" s="9" t="s">
        <v>1324</v>
      </c>
      <c r="B395" s="98" t="s">
        <v>1325</v>
      </c>
      <c r="C395" s="99" t="s">
        <v>162</v>
      </c>
      <c r="D395" s="99" t="s">
        <v>754</v>
      </c>
      <c r="E395" s="9" t="s">
        <v>643</v>
      </c>
      <c r="G395" s="9" t="s">
        <v>755</v>
      </c>
      <c r="H395" s="9" t="s">
        <v>1049</v>
      </c>
      <c r="J395" s="9">
        <v>0</v>
      </c>
      <c r="K395" s="9">
        <v>100</v>
      </c>
      <c r="L395" s="9" t="s">
        <v>64</v>
      </c>
      <c r="M395" s="9" t="s">
        <v>387</v>
      </c>
      <c r="N395" s="9" t="s">
        <v>1012</v>
      </c>
      <c r="P395" s="9">
        <v>0</v>
      </c>
      <c r="Q395" s="9" t="s">
        <v>1316</v>
      </c>
      <c r="R395" s="133">
        <v>0</v>
      </c>
      <c r="S395" s="100">
        <f t="shared" si="125"/>
        <v>100</v>
      </c>
      <c r="T395" s="100">
        <v>0</v>
      </c>
      <c r="U395" s="100">
        <v>0</v>
      </c>
      <c r="V395" s="133">
        <v>0</v>
      </c>
      <c r="W395" s="134">
        <f t="shared" si="126"/>
        <v>0</v>
      </c>
      <c r="X395" s="101">
        <v>25</v>
      </c>
      <c r="Y395" s="101">
        <f t="shared" si="127"/>
        <v>75</v>
      </c>
      <c r="Z395" s="101">
        <v>0</v>
      </c>
      <c r="AA395" s="164">
        <v>0</v>
      </c>
      <c r="AB395" s="101">
        <f t="shared" si="128"/>
        <v>0</v>
      </c>
      <c r="AC395" s="135">
        <v>0</v>
      </c>
      <c r="AD395" s="101">
        <v>0</v>
      </c>
      <c r="AE395" s="101">
        <f t="shared" si="129"/>
        <v>0</v>
      </c>
      <c r="AF395" s="135">
        <v>0</v>
      </c>
      <c r="AG395" s="9" t="s">
        <v>69</v>
      </c>
      <c r="AH395" s="9" t="s">
        <v>1014</v>
      </c>
      <c r="AJ395" s="102"/>
      <c r="AN395" s="32"/>
      <c r="AO395" s="32"/>
      <c r="AP395" s="32"/>
      <c r="AQ395" s="32"/>
      <c r="AW395" s="32"/>
      <c r="AX395" s="32"/>
      <c r="AY395" s="32"/>
      <c r="AZ395" s="32"/>
    </row>
    <row r="396" spans="1:52" s="9" customFormat="1">
      <c r="A396" s="9" t="s">
        <v>1326</v>
      </c>
      <c r="B396" s="98" t="s">
        <v>1327</v>
      </c>
      <c r="C396" s="99" t="s">
        <v>162</v>
      </c>
      <c r="D396" s="99" t="s">
        <v>754</v>
      </c>
      <c r="E396" s="9" t="s">
        <v>643</v>
      </c>
      <c r="G396" s="9" t="s">
        <v>755</v>
      </c>
      <c r="H396" s="9" t="s">
        <v>1049</v>
      </c>
      <c r="J396" s="9">
        <v>0</v>
      </c>
      <c r="K396" s="9">
        <v>100</v>
      </c>
      <c r="L396" s="9" t="s">
        <v>64</v>
      </c>
      <c r="M396" s="9" t="s">
        <v>387</v>
      </c>
      <c r="N396" s="9" t="s">
        <v>1012</v>
      </c>
      <c r="P396" s="9">
        <v>0</v>
      </c>
      <c r="Q396" s="9" t="s">
        <v>1319</v>
      </c>
      <c r="R396" s="133">
        <v>0</v>
      </c>
      <c r="S396" s="100">
        <f t="shared" si="125"/>
        <v>100</v>
      </c>
      <c r="T396" s="100">
        <v>0</v>
      </c>
      <c r="U396" s="100">
        <v>0</v>
      </c>
      <c r="V396" s="133">
        <v>0</v>
      </c>
      <c r="W396" s="134">
        <f t="shared" si="126"/>
        <v>0</v>
      </c>
      <c r="X396" s="101">
        <v>25</v>
      </c>
      <c r="Y396" s="101">
        <f t="shared" si="127"/>
        <v>75</v>
      </c>
      <c r="Z396" s="101">
        <v>0</v>
      </c>
      <c r="AA396" s="133">
        <v>0</v>
      </c>
      <c r="AB396" s="101">
        <f t="shared" si="128"/>
        <v>0</v>
      </c>
      <c r="AC396" s="134">
        <v>0</v>
      </c>
      <c r="AD396" s="101">
        <v>0</v>
      </c>
      <c r="AE396" s="101">
        <f t="shared" si="129"/>
        <v>0</v>
      </c>
      <c r="AF396" s="134">
        <v>0</v>
      </c>
      <c r="AG396" s="9" t="s">
        <v>69</v>
      </c>
      <c r="AH396" s="9" t="s">
        <v>1014</v>
      </c>
      <c r="AJ396" s="102"/>
      <c r="AN396" s="32"/>
      <c r="AO396" s="32"/>
      <c r="AP396" s="32"/>
      <c r="AQ396" s="32"/>
      <c r="AW396" s="32"/>
      <c r="AX396" s="32"/>
      <c r="AY396" s="32"/>
      <c r="AZ396" s="32"/>
    </row>
    <row r="397" spans="1:52" s="9" customFormat="1">
      <c r="A397" s="9" t="s">
        <v>1328</v>
      </c>
      <c r="B397" s="98" t="s">
        <v>1329</v>
      </c>
      <c r="C397" s="99" t="s">
        <v>162</v>
      </c>
      <c r="D397" s="99" t="s">
        <v>754</v>
      </c>
      <c r="E397" s="9" t="s">
        <v>643</v>
      </c>
      <c r="G397" s="9" t="s">
        <v>755</v>
      </c>
      <c r="H397" s="9" t="s">
        <v>1049</v>
      </c>
      <c r="J397" s="9">
        <v>0</v>
      </c>
      <c r="K397" s="9">
        <v>100</v>
      </c>
      <c r="L397" s="9" t="s">
        <v>64</v>
      </c>
      <c r="M397" s="9" t="s">
        <v>387</v>
      </c>
      <c r="N397" s="9" t="s">
        <v>1012</v>
      </c>
      <c r="P397" s="9">
        <v>0</v>
      </c>
      <c r="Q397" s="9" t="s">
        <v>1330</v>
      </c>
      <c r="R397" s="133">
        <v>0</v>
      </c>
      <c r="S397" s="100">
        <f t="shared" si="125"/>
        <v>100</v>
      </c>
      <c r="T397" s="100">
        <v>0</v>
      </c>
      <c r="U397" s="100">
        <v>0</v>
      </c>
      <c r="V397" s="133">
        <v>0</v>
      </c>
      <c r="W397" s="134">
        <f t="shared" si="126"/>
        <v>0</v>
      </c>
      <c r="X397" s="100">
        <v>50</v>
      </c>
      <c r="Y397" s="101">
        <f t="shared" si="127"/>
        <v>50</v>
      </c>
      <c r="Z397" s="100">
        <v>0</v>
      </c>
      <c r="AA397" s="133">
        <v>0</v>
      </c>
      <c r="AB397" s="101">
        <f t="shared" si="128"/>
        <v>0</v>
      </c>
      <c r="AC397" s="134">
        <v>0</v>
      </c>
      <c r="AD397" s="101">
        <v>0</v>
      </c>
      <c r="AE397" s="101">
        <f t="shared" si="129"/>
        <v>0</v>
      </c>
      <c r="AF397" s="134">
        <v>0</v>
      </c>
      <c r="AG397" s="9" t="s">
        <v>69</v>
      </c>
      <c r="AH397" s="9" t="s">
        <v>1014</v>
      </c>
      <c r="AJ397" s="102"/>
      <c r="AN397" s="32"/>
      <c r="AO397" s="32"/>
      <c r="AP397" s="32"/>
      <c r="AQ397" s="32"/>
      <c r="AW397" s="32"/>
      <c r="AX397" s="32"/>
      <c r="AY397" s="32"/>
      <c r="AZ397" s="32"/>
    </row>
    <row r="398" spans="1:52" s="9" customFormat="1">
      <c r="A398" s="9" t="s">
        <v>1331</v>
      </c>
      <c r="B398" s="98" t="s">
        <v>1332</v>
      </c>
      <c r="C398" s="99" t="s">
        <v>162</v>
      </c>
      <c r="D398" s="99" t="s">
        <v>754</v>
      </c>
      <c r="E398" s="9" t="s">
        <v>643</v>
      </c>
      <c r="G398" s="9" t="s">
        <v>755</v>
      </c>
      <c r="H398" s="9" t="s">
        <v>1049</v>
      </c>
      <c r="J398" s="9">
        <v>0</v>
      </c>
      <c r="K398" s="9">
        <v>100</v>
      </c>
      <c r="L398" s="9" t="s">
        <v>64</v>
      </c>
      <c r="M398" s="9" t="s">
        <v>387</v>
      </c>
      <c r="N398" s="9" t="s">
        <v>1012</v>
      </c>
      <c r="P398" s="9">
        <v>0</v>
      </c>
      <c r="Q398" s="9" t="s">
        <v>1039</v>
      </c>
      <c r="R398" s="133">
        <v>0</v>
      </c>
      <c r="S398" s="100">
        <f t="shared" si="125"/>
        <v>100</v>
      </c>
      <c r="T398" s="100">
        <v>0</v>
      </c>
      <c r="U398" s="100">
        <v>0</v>
      </c>
      <c r="V398" s="133">
        <v>0</v>
      </c>
      <c r="W398" s="134">
        <f t="shared" si="126"/>
        <v>0</v>
      </c>
      <c r="X398" s="101">
        <v>50</v>
      </c>
      <c r="Y398" s="101">
        <f t="shared" si="127"/>
        <v>50</v>
      </c>
      <c r="Z398" s="101">
        <v>0</v>
      </c>
      <c r="AA398" s="133">
        <v>0</v>
      </c>
      <c r="AB398" s="101">
        <f t="shared" si="128"/>
        <v>0</v>
      </c>
      <c r="AC398" s="134">
        <v>0</v>
      </c>
      <c r="AD398" s="101">
        <v>0</v>
      </c>
      <c r="AE398" s="101">
        <f t="shared" si="129"/>
        <v>0</v>
      </c>
      <c r="AF398" s="134">
        <v>0</v>
      </c>
      <c r="AG398" s="9" t="s">
        <v>69</v>
      </c>
      <c r="AH398" s="9" t="s">
        <v>1014</v>
      </c>
      <c r="AJ398" s="102"/>
      <c r="AN398" s="32"/>
      <c r="AO398" s="32"/>
      <c r="AP398" s="32"/>
      <c r="AQ398" s="32"/>
      <c r="AW398" s="32"/>
      <c r="AX398" s="32"/>
      <c r="AY398" s="32"/>
      <c r="AZ398" s="32"/>
    </row>
    <row r="399" spans="1:52" s="9" customFormat="1">
      <c r="A399" s="9" t="s">
        <v>1333</v>
      </c>
      <c r="B399" s="98" t="s">
        <v>1334</v>
      </c>
      <c r="C399" s="99" t="s">
        <v>162</v>
      </c>
      <c r="D399" s="99" t="s">
        <v>754</v>
      </c>
      <c r="E399" s="9" t="s">
        <v>643</v>
      </c>
      <c r="G399" s="9" t="s">
        <v>755</v>
      </c>
      <c r="H399" s="9" t="s">
        <v>1011</v>
      </c>
      <c r="J399" s="9">
        <v>0</v>
      </c>
      <c r="K399" s="9">
        <v>100</v>
      </c>
      <c r="L399" s="9" t="s">
        <v>64</v>
      </c>
      <c r="M399" s="9" t="s">
        <v>387</v>
      </c>
      <c r="N399" s="9" t="s">
        <v>1012</v>
      </c>
      <c r="P399" s="9">
        <v>0</v>
      </c>
      <c r="Q399" s="9" t="s">
        <v>1330</v>
      </c>
      <c r="R399" s="133">
        <v>0</v>
      </c>
      <c r="S399" s="100">
        <f t="shared" si="125"/>
        <v>100</v>
      </c>
      <c r="T399" s="100">
        <v>0</v>
      </c>
      <c r="U399" s="100">
        <v>0</v>
      </c>
      <c r="V399" s="133">
        <v>0</v>
      </c>
      <c r="W399" s="134">
        <f t="shared" si="126"/>
        <v>0</v>
      </c>
      <c r="X399" s="101">
        <v>60</v>
      </c>
      <c r="Y399" s="101">
        <f t="shared" si="127"/>
        <v>40</v>
      </c>
      <c r="Z399" s="101">
        <v>0</v>
      </c>
      <c r="AA399" s="133">
        <v>0</v>
      </c>
      <c r="AB399" s="101">
        <f t="shared" si="128"/>
        <v>0</v>
      </c>
      <c r="AC399" s="134">
        <v>0</v>
      </c>
      <c r="AD399" s="101">
        <v>0</v>
      </c>
      <c r="AE399" s="101">
        <f t="shared" si="129"/>
        <v>0</v>
      </c>
      <c r="AF399" s="134">
        <v>0</v>
      </c>
      <c r="AG399" s="9" t="s">
        <v>69</v>
      </c>
      <c r="AH399" s="9" t="s">
        <v>1014</v>
      </c>
      <c r="AJ399" s="102"/>
      <c r="AN399" s="32"/>
      <c r="AO399" s="32"/>
      <c r="AP399" s="32"/>
      <c r="AQ399" s="32"/>
      <c r="AW399" s="32"/>
      <c r="AX399" s="32"/>
      <c r="AY399" s="32"/>
      <c r="AZ399" s="32"/>
    </row>
    <row r="400" spans="1:52" s="9" customFormat="1">
      <c r="A400" s="9" t="s">
        <v>1335</v>
      </c>
      <c r="B400" s="98" t="s">
        <v>1336</v>
      </c>
      <c r="C400" s="99" t="s">
        <v>162</v>
      </c>
      <c r="D400" s="99" t="s">
        <v>754</v>
      </c>
      <c r="E400" s="9" t="s">
        <v>643</v>
      </c>
      <c r="G400" s="9" t="s">
        <v>755</v>
      </c>
      <c r="H400" s="9" t="s">
        <v>1011</v>
      </c>
      <c r="J400" s="9">
        <v>0</v>
      </c>
      <c r="K400" s="9">
        <v>100</v>
      </c>
      <c r="L400" s="9" t="s">
        <v>64</v>
      </c>
      <c r="M400" s="9" t="s">
        <v>387</v>
      </c>
      <c r="N400" s="9" t="s">
        <v>1012</v>
      </c>
      <c r="P400" s="9">
        <v>0</v>
      </c>
      <c r="Q400" s="9" t="s">
        <v>1039</v>
      </c>
      <c r="R400" s="133">
        <v>0</v>
      </c>
      <c r="S400" s="100">
        <f t="shared" si="125"/>
        <v>100</v>
      </c>
      <c r="T400" s="100">
        <v>0</v>
      </c>
      <c r="U400" s="100">
        <v>0</v>
      </c>
      <c r="V400" s="133">
        <v>0</v>
      </c>
      <c r="W400" s="134">
        <f t="shared" si="126"/>
        <v>0</v>
      </c>
      <c r="X400" s="101">
        <v>60</v>
      </c>
      <c r="Y400" s="101">
        <f t="shared" si="127"/>
        <v>40</v>
      </c>
      <c r="Z400" s="101">
        <v>0</v>
      </c>
      <c r="AA400" s="164">
        <v>0</v>
      </c>
      <c r="AB400" s="101">
        <f t="shared" si="128"/>
        <v>0</v>
      </c>
      <c r="AC400" s="135">
        <v>0</v>
      </c>
      <c r="AD400" s="101">
        <v>0</v>
      </c>
      <c r="AE400" s="101">
        <f t="shared" si="129"/>
        <v>0</v>
      </c>
      <c r="AF400" s="135">
        <v>0</v>
      </c>
      <c r="AG400" s="9" t="s">
        <v>69</v>
      </c>
      <c r="AH400" s="9" t="s">
        <v>1014</v>
      </c>
      <c r="AJ400" s="102"/>
      <c r="AN400" s="32"/>
      <c r="AO400" s="32"/>
      <c r="AP400" s="32"/>
      <c r="AQ400" s="32"/>
      <c r="AW400" s="32"/>
      <c r="AX400" s="32"/>
      <c r="AY400" s="32"/>
      <c r="AZ400" s="32"/>
    </row>
    <row r="401" spans="1:52" s="9" customFormat="1">
      <c r="A401" s="9" t="s">
        <v>1337</v>
      </c>
      <c r="B401" s="98" t="s">
        <v>1338</v>
      </c>
      <c r="C401" s="99" t="s">
        <v>162</v>
      </c>
      <c r="D401" s="99" t="s">
        <v>754</v>
      </c>
      <c r="E401" s="9" t="s">
        <v>643</v>
      </c>
      <c r="G401" s="9" t="s">
        <v>755</v>
      </c>
      <c r="H401" s="9" t="s">
        <v>1049</v>
      </c>
      <c r="J401" s="9">
        <v>0</v>
      </c>
      <c r="K401" s="9">
        <v>100</v>
      </c>
      <c r="L401" s="9" t="s">
        <v>64</v>
      </c>
      <c r="M401" s="9" t="s">
        <v>387</v>
      </c>
      <c r="N401" s="9" t="s">
        <v>1012</v>
      </c>
      <c r="P401" s="9">
        <v>0</v>
      </c>
      <c r="Q401" s="9" t="s">
        <v>1330</v>
      </c>
      <c r="R401" s="133">
        <v>0</v>
      </c>
      <c r="S401" s="100">
        <f t="shared" si="125"/>
        <v>100</v>
      </c>
      <c r="T401" s="100">
        <v>0</v>
      </c>
      <c r="U401" s="100">
        <v>0</v>
      </c>
      <c r="V401" s="133">
        <v>0</v>
      </c>
      <c r="W401" s="134">
        <f t="shared" si="126"/>
        <v>0</v>
      </c>
      <c r="X401" s="101">
        <v>75</v>
      </c>
      <c r="Y401" s="101">
        <f t="shared" si="127"/>
        <v>25</v>
      </c>
      <c r="Z401" s="101">
        <v>0</v>
      </c>
      <c r="AA401" s="164">
        <v>0</v>
      </c>
      <c r="AB401" s="101">
        <f t="shared" si="128"/>
        <v>0</v>
      </c>
      <c r="AC401" s="135">
        <v>0</v>
      </c>
      <c r="AD401" s="101">
        <v>0</v>
      </c>
      <c r="AE401" s="101">
        <f t="shared" si="129"/>
        <v>0</v>
      </c>
      <c r="AF401" s="135">
        <v>0</v>
      </c>
      <c r="AG401" s="9" t="s">
        <v>69</v>
      </c>
      <c r="AH401" s="9" t="s">
        <v>1014</v>
      </c>
      <c r="AJ401" s="102"/>
      <c r="AN401" s="32"/>
      <c r="AO401" s="32"/>
      <c r="AP401" s="32"/>
      <c r="AQ401" s="32"/>
      <c r="AW401" s="32"/>
      <c r="AX401" s="32"/>
      <c r="AY401" s="32"/>
      <c r="AZ401" s="32"/>
    </row>
    <row r="402" spans="1:52" s="9" customFormat="1">
      <c r="A402" s="9" t="s">
        <v>1339</v>
      </c>
      <c r="B402" s="98" t="s">
        <v>1340</v>
      </c>
      <c r="C402" s="99" t="s">
        <v>162</v>
      </c>
      <c r="D402" s="99" t="s">
        <v>754</v>
      </c>
      <c r="E402" s="9" t="s">
        <v>643</v>
      </c>
      <c r="G402" s="9" t="s">
        <v>755</v>
      </c>
      <c r="H402" s="9" t="s">
        <v>1049</v>
      </c>
      <c r="J402" s="9">
        <v>0</v>
      </c>
      <c r="K402" s="9">
        <v>100</v>
      </c>
      <c r="L402" s="9" t="s">
        <v>64</v>
      </c>
      <c r="M402" s="9" t="s">
        <v>387</v>
      </c>
      <c r="N402" s="9" t="s">
        <v>1012</v>
      </c>
      <c r="P402" s="9">
        <v>0</v>
      </c>
      <c r="Q402" s="9" t="s">
        <v>1039</v>
      </c>
      <c r="R402" s="133">
        <v>0</v>
      </c>
      <c r="S402" s="100">
        <f t="shared" si="125"/>
        <v>100</v>
      </c>
      <c r="T402" s="100">
        <v>0</v>
      </c>
      <c r="U402" s="100">
        <v>0</v>
      </c>
      <c r="V402" s="133">
        <v>0</v>
      </c>
      <c r="W402" s="134">
        <f t="shared" si="126"/>
        <v>0</v>
      </c>
      <c r="X402" s="101">
        <v>75</v>
      </c>
      <c r="Y402" s="101">
        <f t="shared" si="127"/>
        <v>25</v>
      </c>
      <c r="Z402" s="101">
        <v>0</v>
      </c>
      <c r="AA402" s="164">
        <v>0</v>
      </c>
      <c r="AB402" s="101">
        <f t="shared" si="128"/>
        <v>0</v>
      </c>
      <c r="AC402" s="135">
        <v>0</v>
      </c>
      <c r="AD402" s="101">
        <v>0</v>
      </c>
      <c r="AE402" s="101">
        <f t="shared" si="129"/>
        <v>0</v>
      </c>
      <c r="AF402" s="135">
        <v>0</v>
      </c>
      <c r="AG402" s="9" t="s">
        <v>69</v>
      </c>
      <c r="AH402" s="9" t="s">
        <v>1014</v>
      </c>
      <c r="AJ402" s="102"/>
      <c r="AN402" s="32"/>
      <c r="AO402" s="32"/>
      <c r="AP402" s="32"/>
      <c r="AQ402" s="32"/>
      <c r="AW402" s="32"/>
      <c r="AX402" s="32"/>
      <c r="AY402" s="32"/>
      <c r="AZ402" s="32"/>
    </row>
    <row r="403" spans="1:52" s="9" customFormat="1">
      <c r="A403" s="9" t="s">
        <v>1341</v>
      </c>
      <c r="B403" s="98" t="s">
        <v>1342</v>
      </c>
      <c r="C403" s="99" t="s">
        <v>162</v>
      </c>
      <c r="D403" s="99" t="s">
        <v>754</v>
      </c>
      <c r="E403" s="9" t="s">
        <v>643</v>
      </c>
      <c r="G403" s="9" t="s">
        <v>755</v>
      </c>
      <c r="H403" s="9" t="s">
        <v>1123</v>
      </c>
      <c r="J403" s="9">
        <v>0</v>
      </c>
      <c r="K403" s="9">
        <v>100</v>
      </c>
      <c r="L403" s="9" t="s">
        <v>64</v>
      </c>
      <c r="M403" s="9" t="s">
        <v>387</v>
      </c>
      <c r="N403" s="9" t="s">
        <v>1012</v>
      </c>
      <c r="P403" s="9">
        <v>0</v>
      </c>
      <c r="Q403" s="9" t="s">
        <v>1013</v>
      </c>
      <c r="R403" s="133">
        <v>0</v>
      </c>
      <c r="S403" s="100">
        <f t="shared" si="125"/>
        <v>100</v>
      </c>
      <c r="T403" s="100">
        <v>0</v>
      </c>
      <c r="U403" s="100">
        <v>0</v>
      </c>
      <c r="V403" s="133">
        <v>0</v>
      </c>
      <c r="W403" s="134">
        <f t="shared" si="126"/>
        <v>0</v>
      </c>
      <c r="X403" s="101">
        <v>57</v>
      </c>
      <c r="Y403" s="101">
        <f t="shared" si="127"/>
        <v>38</v>
      </c>
      <c r="Z403" s="101">
        <v>5</v>
      </c>
      <c r="AA403" s="164">
        <v>0</v>
      </c>
      <c r="AB403" s="101">
        <f t="shared" si="128"/>
        <v>0</v>
      </c>
      <c r="AC403" s="135">
        <v>0</v>
      </c>
      <c r="AD403" s="101">
        <v>0</v>
      </c>
      <c r="AE403" s="101">
        <f t="shared" si="129"/>
        <v>0</v>
      </c>
      <c r="AF403" s="135">
        <v>0</v>
      </c>
      <c r="AG403" s="9" t="s">
        <v>69</v>
      </c>
      <c r="AH403" s="9" t="s">
        <v>1014</v>
      </c>
      <c r="AI403" s="102"/>
      <c r="AJ403" s="102"/>
      <c r="AN403" s="32"/>
      <c r="AO403" s="32"/>
      <c r="AP403" s="32"/>
      <c r="AQ403" s="32"/>
      <c r="AW403" s="32"/>
      <c r="AX403" s="32"/>
      <c r="AY403" s="32"/>
      <c r="AZ403" s="32"/>
    </row>
    <row r="404" spans="1:52" s="9" customFormat="1">
      <c r="A404" s="9" t="s">
        <v>1343</v>
      </c>
      <c r="B404" s="98" t="s">
        <v>1344</v>
      </c>
      <c r="C404" s="99" t="s">
        <v>162</v>
      </c>
      <c r="D404" s="99" t="s">
        <v>754</v>
      </c>
      <c r="E404" s="9" t="s">
        <v>643</v>
      </c>
      <c r="G404" s="9" t="s">
        <v>755</v>
      </c>
      <c r="H404" s="9" t="s">
        <v>1123</v>
      </c>
      <c r="J404" s="9">
        <v>0</v>
      </c>
      <c r="K404" s="9">
        <v>45</v>
      </c>
      <c r="L404" s="9" t="s">
        <v>64</v>
      </c>
      <c r="M404" s="9" t="s">
        <v>65</v>
      </c>
      <c r="N404" s="9" t="s">
        <v>1012</v>
      </c>
      <c r="P404" s="9">
        <v>0</v>
      </c>
      <c r="Q404" s="9" t="s">
        <v>1017</v>
      </c>
      <c r="R404" s="133">
        <v>0</v>
      </c>
      <c r="S404" s="100">
        <f t="shared" si="125"/>
        <v>100</v>
      </c>
      <c r="T404" s="100">
        <v>0</v>
      </c>
      <c r="U404" s="100">
        <v>0</v>
      </c>
      <c r="V404" s="133">
        <v>0</v>
      </c>
      <c r="W404" s="134">
        <f t="shared" si="126"/>
        <v>0</v>
      </c>
      <c r="X404" s="101">
        <v>57</v>
      </c>
      <c r="Y404" s="101">
        <f t="shared" si="127"/>
        <v>38</v>
      </c>
      <c r="Z404" s="101">
        <v>5</v>
      </c>
      <c r="AA404" s="164">
        <v>0</v>
      </c>
      <c r="AB404" s="101">
        <f t="shared" si="128"/>
        <v>0</v>
      </c>
      <c r="AC404" s="135">
        <v>0</v>
      </c>
      <c r="AD404" s="101">
        <v>0</v>
      </c>
      <c r="AE404" s="101">
        <f t="shared" si="129"/>
        <v>0</v>
      </c>
      <c r="AF404" s="135">
        <v>0</v>
      </c>
      <c r="AG404" s="9" t="s">
        <v>69</v>
      </c>
      <c r="AH404" s="9" t="s">
        <v>1014</v>
      </c>
      <c r="AI404" s="102"/>
      <c r="AJ404" s="102"/>
      <c r="AN404" s="32"/>
      <c r="AO404" s="32"/>
      <c r="AP404" s="32"/>
      <c r="AQ404" s="32"/>
      <c r="AW404" s="32"/>
      <c r="AX404" s="32"/>
      <c r="AY404" s="32"/>
      <c r="AZ404" s="32"/>
    </row>
    <row r="405" spans="1:52" s="9" customFormat="1">
      <c r="A405" s="9" t="s">
        <v>1345</v>
      </c>
      <c r="B405" s="98" t="s">
        <v>1346</v>
      </c>
      <c r="C405" s="99" t="s">
        <v>162</v>
      </c>
      <c r="D405" s="99" t="s">
        <v>754</v>
      </c>
      <c r="E405" s="9" t="s">
        <v>643</v>
      </c>
      <c r="G405" s="9" t="s">
        <v>755</v>
      </c>
      <c r="H405" s="9" t="s">
        <v>1011</v>
      </c>
      <c r="J405" s="9">
        <v>0</v>
      </c>
      <c r="K405" s="9">
        <v>100</v>
      </c>
      <c r="L405" s="9" t="s">
        <v>64</v>
      </c>
      <c r="M405" s="9" t="s">
        <v>387</v>
      </c>
      <c r="N405" s="9" t="s">
        <v>1012</v>
      </c>
      <c r="P405" s="9">
        <v>0</v>
      </c>
      <c r="Q405" s="9" t="s">
        <v>1013</v>
      </c>
      <c r="R405" s="133">
        <v>0</v>
      </c>
      <c r="S405" s="100">
        <f t="shared" si="125"/>
        <v>100</v>
      </c>
      <c r="T405" s="100">
        <v>0</v>
      </c>
      <c r="U405" s="100">
        <v>0</v>
      </c>
      <c r="V405" s="133">
        <v>0</v>
      </c>
      <c r="W405" s="134">
        <f t="shared" si="126"/>
        <v>0</v>
      </c>
      <c r="X405" s="101">
        <v>47.5</v>
      </c>
      <c r="Y405" s="101">
        <f t="shared" si="127"/>
        <v>47.5</v>
      </c>
      <c r="Z405" s="101">
        <v>5</v>
      </c>
      <c r="AA405" s="164">
        <v>0</v>
      </c>
      <c r="AB405" s="101">
        <f t="shared" si="128"/>
        <v>0</v>
      </c>
      <c r="AC405" s="135">
        <v>0</v>
      </c>
      <c r="AD405" s="101">
        <v>0</v>
      </c>
      <c r="AE405" s="101">
        <f t="shared" si="129"/>
        <v>0</v>
      </c>
      <c r="AF405" s="135">
        <v>0</v>
      </c>
      <c r="AG405" s="9" t="s">
        <v>69</v>
      </c>
      <c r="AH405" s="9" t="s">
        <v>1014</v>
      </c>
      <c r="AI405" s="102"/>
      <c r="AJ405" s="102"/>
      <c r="AN405" s="32"/>
      <c r="AO405" s="32"/>
      <c r="AP405" s="32"/>
      <c r="AQ405" s="32"/>
      <c r="AW405" s="32"/>
      <c r="AX405" s="32"/>
      <c r="AY405" s="32"/>
      <c r="AZ405" s="32"/>
    </row>
    <row r="406" spans="1:52" s="9" customFormat="1">
      <c r="A406" s="9" t="s">
        <v>1347</v>
      </c>
      <c r="B406" s="98" t="s">
        <v>1348</v>
      </c>
      <c r="C406" s="99" t="s">
        <v>162</v>
      </c>
      <c r="D406" s="99" t="s">
        <v>754</v>
      </c>
      <c r="E406" s="9" t="s">
        <v>643</v>
      </c>
      <c r="G406" s="9" t="s">
        <v>755</v>
      </c>
      <c r="H406" s="9" t="s">
        <v>1011</v>
      </c>
      <c r="J406" s="9">
        <v>0</v>
      </c>
      <c r="K406" s="9">
        <v>45</v>
      </c>
      <c r="L406" s="9" t="s">
        <v>64</v>
      </c>
      <c r="M406" s="9" t="s">
        <v>65</v>
      </c>
      <c r="N406" s="9" t="s">
        <v>1012</v>
      </c>
      <c r="P406" s="9">
        <v>0</v>
      </c>
      <c r="Q406" s="9" t="s">
        <v>1030</v>
      </c>
      <c r="R406" s="133">
        <v>0</v>
      </c>
      <c r="S406" s="100">
        <f t="shared" si="125"/>
        <v>100</v>
      </c>
      <c r="T406" s="100">
        <v>0</v>
      </c>
      <c r="U406" s="100">
        <v>0</v>
      </c>
      <c r="V406" s="133">
        <v>0</v>
      </c>
      <c r="W406" s="134">
        <f t="shared" si="126"/>
        <v>0</v>
      </c>
      <c r="X406" s="101">
        <v>47.5</v>
      </c>
      <c r="Y406" s="101">
        <f t="shared" si="127"/>
        <v>47.5</v>
      </c>
      <c r="Z406" s="101">
        <v>5</v>
      </c>
      <c r="AA406" s="164">
        <v>0</v>
      </c>
      <c r="AB406" s="101">
        <f t="shared" si="128"/>
        <v>0</v>
      </c>
      <c r="AC406" s="135">
        <v>0</v>
      </c>
      <c r="AD406" s="101">
        <v>0</v>
      </c>
      <c r="AE406" s="101">
        <f t="shared" si="129"/>
        <v>0</v>
      </c>
      <c r="AF406" s="135">
        <v>0</v>
      </c>
      <c r="AG406" s="9" t="s">
        <v>69</v>
      </c>
      <c r="AH406" s="9" t="s">
        <v>1014</v>
      </c>
      <c r="AI406" s="102"/>
      <c r="AJ406" s="102"/>
      <c r="AN406" s="32"/>
      <c r="AO406" s="32"/>
      <c r="AP406" s="32"/>
      <c r="AQ406" s="32"/>
      <c r="AW406" s="32"/>
      <c r="AX406" s="32"/>
      <c r="AY406" s="32"/>
      <c r="AZ406" s="32"/>
    </row>
    <row r="407" spans="1:52" s="9" customFormat="1">
      <c r="A407" s="9" t="s">
        <v>1349</v>
      </c>
      <c r="B407" s="98" t="s">
        <v>1350</v>
      </c>
      <c r="C407" s="99" t="s">
        <v>162</v>
      </c>
      <c r="D407" s="99" t="s">
        <v>754</v>
      </c>
      <c r="E407" s="9" t="s">
        <v>643</v>
      </c>
      <c r="G407" s="9" t="s">
        <v>755</v>
      </c>
      <c r="H407" s="9" t="s">
        <v>1049</v>
      </c>
      <c r="J407" s="9">
        <v>0</v>
      </c>
      <c r="K407" s="9">
        <v>100</v>
      </c>
      <c r="L407" s="9" t="s">
        <v>64</v>
      </c>
      <c r="M407" s="9" t="s">
        <v>387</v>
      </c>
      <c r="N407" s="9" t="s">
        <v>1012</v>
      </c>
      <c r="P407" s="9">
        <v>0</v>
      </c>
      <c r="Q407" s="9" t="s">
        <v>1013</v>
      </c>
      <c r="R407" s="133">
        <v>0</v>
      </c>
      <c r="S407" s="100">
        <f t="shared" si="125"/>
        <v>100</v>
      </c>
      <c r="T407" s="100">
        <v>0</v>
      </c>
      <c r="U407" s="100">
        <v>0</v>
      </c>
      <c r="V407" s="133">
        <v>0</v>
      </c>
      <c r="W407" s="134">
        <f t="shared" si="126"/>
        <v>0</v>
      </c>
      <c r="X407" s="101">
        <v>58.5</v>
      </c>
      <c r="Y407" s="101">
        <f t="shared" si="127"/>
        <v>39</v>
      </c>
      <c r="Z407" s="101">
        <v>2.5</v>
      </c>
      <c r="AA407" s="133">
        <v>0</v>
      </c>
      <c r="AB407" s="101">
        <f t="shared" si="128"/>
        <v>0</v>
      </c>
      <c r="AC407" s="134">
        <v>0</v>
      </c>
      <c r="AD407" s="101">
        <v>0</v>
      </c>
      <c r="AE407" s="101">
        <f t="shared" si="129"/>
        <v>0</v>
      </c>
      <c r="AF407" s="134">
        <v>0</v>
      </c>
      <c r="AG407" s="9" t="s">
        <v>69</v>
      </c>
      <c r="AH407" s="9" t="s">
        <v>1014</v>
      </c>
      <c r="AI407" s="102"/>
      <c r="AJ407" s="102"/>
      <c r="AN407" s="32"/>
      <c r="AO407" s="32"/>
      <c r="AP407" s="32"/>
      <c r="AQ407" s="32"/>
      <c r="AW407" s="32"/>
      <c r="AX407" s="32"/>
      <c r="AY407" s="32"/>
      <c r="AZ407" s="32"/>
    </row>
    <row r="408" spans="1:52" s="9" customFormat="1">
      <c r="A408" s="9" t="s">
        <v>1351</v>
      </c>
      <c r="B408" s="98" t="s">
        <v>1352</v>
      </c>
      <c r="C408" s="99" t="s">
        <v>162</v>
      </c>
      <c r="D408" s="99" t="s">
        <v>754</v>
      </c>
      <c r="E408" s="9" t="s">
        <v>643</v>
      </c>
      <c r="G408" s="9" t="s">
        <v>755</v>
      </c>
      <c r="H408" s="9" t="s">
        <v>1049</v>
      </c>
      <c r="J408" s="9">
        <v>0</v>
      </c>
      <c r="K408" s="9">
        <v>45</v>
      </c>
      <c r="L408" s="9" t="s">
        <v>64</v>
      </c>
      <c r="M408" s="9" t="s">
        <v>65</v>
      </c>
      <c r="N408" s="9" t="s">
        <v>1012</v>
      </c>
      <c r="P408" s="9">
        <v>0</v>
      </c>
      <c r="Q408" s="9" t="s">
        <v>1013</v>
      </c>
      <c r="R408" s="133">
        <v>0</v>
      </c>
      <c r="S408" s="100">
        <f t="shared" si="125"/>
        <v>100</v>
      </c>
      <c r="T408" s="100">
        <v>0</v>
      </c>
      <c r="U408" s="100">
        <v>0</v>
      </c>
      <c r="V408" s="133">
        <v>0</v>
      </c>
      <c r="W408" s="134">
        <f t="shared" si="126"/>
        <v>0</v>
      </c>
      <c r="X408" s="101">
        <v>58.5</v>
      </c>
      <c r="Y408" s="101">
        <f t="shared" si="127"/>
        <v>39</v>
      </c>
      <c r="Z408" s="101">
        <v>2.5</v>
      </c>
      <c r="AA408" s="164">
        <v>0</v>
      </c>
      <c r="AB408" s="101">
        <f t="shared" si="128"/>
        <v>0</v>
      </c>
      <c r="AC408" s="135">
        <v>0</v>
      </c>
      <c r="AD408" s="101">
        <v>0</v>
      </c>
      <c r="AE408" s="101">
        <f t="shared" si="129"/>
        <v>0</v>
      </c>
      <c r="AF408" s="135">
        <v>0</v>
      </c>
      <c r="AG408" s="9" t="s">
        <v>69</v>
      </c>
      <c r="AH408" s="9" t="s">
        <v>1014</v>
      </c>
      <c r="AI408" s="102"/>
      <c r="AJ408" s="102"/>
      <c r="AN408" s="32"/>
      <c r="AO408" s="32"/>
      <c r="AP408" s="32"/>
      <c r="AQ408" s="32"/>
      <c r="AW408" s="32"/>
      <c r="AX408" s="32"/>
      <c r="AY408" s="32"/>
      <c r="AZ408" s="32"/>
    </row>
    <row r="409" spans="1:52" s="9" customFormat="1">
      <c r="A409" s="9" t="s">
        <v>1353</v>
      </c>
      <c r="B409" s="98" t="s">
        <v>1354</v>
      </c>
      <c r="C409" s="99" t="s">
        <v>162</v>
      </c>
      <c r="D409" s="99" t="s">
        <v>754</v>
      </c>
      <c r="E409" s="9" t="s">
        <v>643</v>
      </c>
      <c r="G409" s="9" t="s">
        <v>755</v>
      </c>
      <c r="H409" s="9" t="s">
        <v>1011</v>
      </c>
      <c r="J409" s="9">
        <v>0</v>
      </c>
      <c r="K409" s="9">
        <v>100</v>
      </c>
      <c r="L409" s="9" t="s">
        <v>64</v>
      </c>
      <c r="M409" s="9" t="s">
        <v>387</v>
      </c>
      <c r="N409" s="9" t="s">
        <v>1012</v>
      </c>
      <c r="P409" s="9">
        <v>0</v>
      </c>
      <c r="Q409" s="9" t="s">
        <v>1013</v>
      </c>
      <c r="R409" s="133">
        <v>0</v>
      </c>
      <c r="S409" s="100">
        <f t="shared" si="125"/>
        <v>100</v>
      </c>
      <c r="T409" s="100">
        <v>0</v>
      </c>
      <c r="U409" s="100">
        <v>0</v>
      </c>
      <c r="V409" s="133">
        <v>0</v>
      </c>
      <c r="W409" s="134">
        <f t="shared" si="126"/>
        <v>0</v>
      </c>
      <c r="X409" s="101">
        <v>28.5</v>
      </c>
      <c r="Y409" s="101">
        <f t="shared" si="127"/>
        <v>66.5</v>
      </c>
      <c r="Z409" s="101">
        <v>5</v>
      </c>
      <c r="AA409" s="164">
        <v>0</v>
      </c>
      <c r="AB409" s="101">
        <f t="shared" si="128"/>
        <v>0</v>
      </c>
      <c r="AC409" s="135">
        <v>0</v>
      </c>
      <c r="AD409" s="101">
        <v>0</v>
      </c>
      <c r="AE409" s="101">
        <f t="shared" si="129"/>
        <v>0</v>
      </c>
      <c r="AF409" s="135">
        <v>0</v>
      </c>
      <c r="AG409" s="9" t="s">
        <v>69</v>
      </c>
      <c r="AH409" s="9" t="s">
        <v>1014</v>
      </c>
      <c r="AI409" s="102"/>
      <c r="AJ409" s="102"/>
      <c r="AN409" s="32"/>
      <c r="AO409" s="32"/>
      <c r="AP409" s="32"/>
      <c r="AQ409" s="32"/>
      <c r="AW409" s="32"/>
      <c r="AX409" s="32"/>
      <c r="AY409" s="32"/>
      <c r="AZ409" s="32"/>
    </row>
    <row r="410" spans="1:52" s="9" customFormat="1">
      <c r="A410" s="9" t="s">
        <v>1355</v>
      </c>
      <c r="B410" s="98" t="s">
        <v>1356</v>
      </c>
      <c r="C410" s="99" t="s">
        <v>162</v>
      </c>
      <c r="D410" s="99" t="s">
        <v>754</v>
      </c>
      <c r="E410" s="9" t="s">
        <v>643</v>
      </c>
      <c r="G410" s="9" t="s">
        <v>755</v>
      </c>
      <c r="H410" s="9" t="s">
        <v>1011</v>
      </c>
      <c r="J410" s="9">
        <v>0</v>
      </c>
      <c r="K410" s="9">
        <v>45</v>
      </c>
      <c r="L410" s="9" t="s">
        <v>64</v>
      </c>
      <c r="M410" s="9" t="s">
        <v>65</v>
      </c>
      <c r="N410" s="9" t="s">
        <v>1012</v>
      </c>
      <c r="P410" s="9">
        <v>0</v>
      </c>
      <c r="Q410" s="9" t="s">
        <v>1030</v>
      </c>
      <c r="R410" s="133">
        <v>0</v>
      </c>
      <c r="S410" s="100">
        <f t="shared" si="125"/>
        <v>100</v>
      </c>
      <c r="T410" s="100">
        <v>0</v>
      </c>
      <c r="U410" s="100">
        <v>0</v>
      </c>
      <c r="V410" s="133">
        <v>0</v>
      </c>
      <c r="W410" s="134">
        <f t="shared" si="126"/>
        <v>0</v>
      </c>
      <c r="X410" s="101">
        <v>28.5</v>
      </c>
      <c r="Y410" s="101">
        <f t="shared" si="127"/>
        <v>66.5</v>
      </c>
      <c r="Z410" s="101">
        <v>5</v>
      </c>
      <c r="AA410" s="164">
        <v>0</v>
      </c>
      <c r="AB410" s="101">
        <f t="shared" si="128"/>
        <v>0</v>
      </c>
      <c r="AC410" s="135">
        <v>0</v>
      </c>
      <c r="AD410" s="101">
        <v>0</v>
      </c>
      <c r="AE410" s="101">
        <f t="shared" si="129"/>
        <v>0</v>
      </c>
      <c r="AF410" s="135">
        <v>0</v>
      </c>
      <c r="AG410" s="9" t="s">
        <v>69</v>
      </c>
      <c r="AH410" s="9" t="s">
        <v>1014</v>
      </c>
      <c r="AI410" s="102"/>
      <c r="AJ410" s="102"/>
      <c r="AN410" s="32"/>
      <c r="AO410" s="32"/>
      <c r="AP410" s="32"/>
      <c r="AQ410" s="32"/>
      <c r="AW410" s="32"/>
      <c r="AX410" s="32"/>
      <c r="AY410" s="32"/>
      <c r="AZ410" s="32"/>
    </row>
    <row r="411" spans="1:52" s="9" customFormat="1">
      <c r="A411" s="9" t="s">
        <v>1357</v>
      </c>
      <c r="B411" s="98" t="s">
        <v>1358</v>
      </c>
      <c r="C411" s="99" t="s">
        <v>162</v>
      </c>
      <c r="D411" s="99" t="s">
        <v>754</v>
      </c>
      <c r="E411" s="9" t="s">
        <v>643</v>
      </c>
      <c r="G411" s="9" t="s">
        <v>755</v>
      </c>
      <c r="H411" s="9" t="s">
        <v>1359</v>
      </c>
      <c r="J411" s="9">
        <v>0</v>
      </c>
      <c r="K411" s="9">
        <v>100</v>
      </c>
      <c r="L411" s="9" t="s">
        <v>64</v>
      </c>
      <c r="M411" s="9" t="s">
        <v>387</v>
      </c>
      <c r="N411" s="9" t="s">
        <v>1012</v>
      </c>
      <c r="P411" s="9">
        <v>0</v>
      </c>
      <c r="Q411" s="9" t="s">
        <v>1013</v>
      </c>
      <c r="R411" s="133">
        <v>0</v>
      </c>
      <c r="S411" s="100">
        <f t="shared" si="125"/>
        <v>100</v>
      </c>
      <c r="T411" s="100">
        <v>0</v>
      </c>
      <c r="U411" s="100">
        <v>0</v>
      </c>
      <c r="V411" s="133">
        <v>0</v>
      </c>
      <c r="W411" s="134">
        <f t="shared" si="126"/>
        <v>0</v>
      </c>
      <c r="X411" s="101">
        <v>19</v>
      </c>
      <c r="Y411" s="101">
        <f t="shared" si="127"/>
        <v>76</v>
      </c>
      <c r="Z411" s="101">
        <v>5</v>
      </c>
      <c r="AA411" s="164">
        <v>0</v>
      </c>
      <c r="AB411" s="101">
        <f t="shared" si="128"/>
        <v>0</v>
      </c>
      <c r="AC411" s="135">
        <v>0</v>
      </c>
      <c r="AD411" s="101">
        <v>0</v>
      </c>
      <c r="AE411" s="101">
        <f t="shared" si="129"/>
        <v>0</v>
      </c>
      <c r="AF411" s="135">
        <v>0</v>
      </c>
      <c r="AG411" s="9" t="s">
        <v>69</v>
      </c>
      <c r="AH411" s="9" t="s">
        <v>1014</v>
      </c>
      <c r="AI411" s="102"/>
      <c r="AJ411" s="102"/>
      <c r="AN411" s="32"/>
      <c r="AO411" s="32"/>
      <c r="AP411" s="32"/>
      <c r="AQ411" s="32"/>
      <c r="AW411" s="32"/>
      <c r="AX411" s="32"/>
      <c r="AY411" s="32"/>
      <c r="AZ411" s="32"/>
    </row>
    <row r="412" spans="1:52" s="9" customFormat="1">
      <c r="A412" s="9" t="s">
        <v>1360</v>
      </c>
      <c r="B412" s="98" t="s">
        <v>1361</v>
      </c>
      <c r="C412" s="99" t="s">
        <v>162</v>
      </c>
      <c r="D412" s="99" t="s">
        <v>754</v>
      </c>
      <c r="E412" s="9" t="s">
        <v>643</v>
      </c>
      <c r="G412" s="9" t="s">
        <v>755</v>
      </c>
      <c r="H412" s="9" t="s">
        <v>1359</v>
      </c>
      <c r="J412" s="9">
        <v>0</v>
      </c>
      <c r="K412" s="9">
        <v>45</v>
      </c>
      <c r="L412" s="9" t="s">
        <v>64</v>
      </c>
      <c r="M412" s="9" t="s">
        <v>65</v>
      </c>
      <c r="N412" s="9" t="s">
        <v>1012</v>
      </c>
      <c r="P412" s="9">
        <v>0</v>
      </c>
      <c r="Q412" s="9" t="s">
        <v>1017</v>
      </c>
      <c r="R412" s="133">
        <v>0</v>
      </c>
      <c r="S412" s="100">
        <f t="shared" si="125"/>
        <v>100</v>
      </c>
      <c r="T412" s="100">
        <v>0</v>
      </c>
      <c r="U412" s="100">
        <v>0</v>
      </c>
      <c r="V412" s="133">
        <v>0</v>
      </c>
      <c r="W412" s="134">
        <f t="shared" si="126"/>
        <v>0</v>
      </c>
      <c r="X412" s="101">
        <v>19</v>
      </c>
      <c r="Y412" s="101">
        <f t="shared" si="127"/>
        <v>76</v>
      </c>
      <c r="Z412" s="101">
        <v>5</v>
      </c>
      <c r="AA412" s="164">
        <v>0</v>
      </c>
      <c r="AB412" s="101">
        <f t="shared" si="128"/>
        <v>0</v>
      </c>
      <c r="AC412" s="135">
        <v>0</v>
      </c>
      <c r="AD412" s="101">
        <v>0</v>
      </c>
      <c r="AE412" s="101">
        <f t="shared" si="129"/>
        <v>0</v>
      </c>
      <c r="AF412" s="135">
        <v>0</v>
      </c>
      <c r="AG412" s="9" t="s">
        <v>69</v>
      </c>
      <c r="AH412" s="9" t="s">
        <v>1014</v>
      </c>
      <c r="AI412" s="102"/>
      <c r="AJ412" s="102"/>
      <c r="AN412" s="32"/>
      <c r="AO412" s="32"/>
      <c r="AP412" s="32"/>
      <c r="AQ412" s="32"/>
      <c r="AW412" s="32"/>
      <c r="AX412" s="32"/>
      <c r="AY412" s="32"/>
      <c r="AZ412" s="32"/>
    </row>
    <row r="413" spans="1:52" s="9" customFormat="1">
      <c r="A413" s="9" t="s">
        <v>1362</v>
      </c>
      <c r="B413" s="98" t="s">
        <v>1363</v>
      </c>
      <c r="C413" s="99" t="s">
        <v>162</v>
      </c>
      <c r="D413" s="99" t="s">
        <v>754</v>
      </c>
      <c r="E413" s="9" t="s">
        <v>643</v>
      </c>
      <c r="G413" s="9" t="s">
        <v>755</v>
      </c>
      <c r="H413" s="9" t="s">
        <v>1049</v>
      </c>
      <c r="J413" s="9">
        <v>0</v>
      </c>
      <c r="K413" s="9">
        <v>45</v>
      </c>
      <c r="L413" s="9" t="s">
        <v>64</v>
      </c>
      <c r="M413" s="9" t="s">
        <v>65</v>
      </c>
      <c r="N413" s="9" t="s">
        <v>1012</v>
      </c>
      <c r="P413" s="9">
        <v>0</v>
      </c>
      <c r="Q413" s="9" t="s">
        <v>1319</v>
      </c>
      <c r="R413" s="133">
        <v>0</v>
      </c>
      <c r="S413" s="100">
        <f t="shared" si="125"/>
        <v>100</v>
      </c>
      <c r="T413" s="100">
        <v>0</v>
      </c>
      <c r="U413" s="100">
        <v>0</v>
      </c>
      <c r="V413" s="133">
        <v>0</v>
      </c>
      <c r="W413" s="134">
        <f t="shared" si="126"/>
        <v>0</v>
      </c>
      <c r="X413" s="101">
        <v>83</v>
      </c>
      <c r="Y413" s="101">
        <f t="shared" si="127"/>
        <v>17</v>
      </c>
      <c r="Z413" s="101">
        <v>0</v>
      </c>
      <c r="AA413" s="164">
        <v>0</v>
      </c>
      <c r="AB413" s="101">
        <f t="shared" si="128"/>
        <v>0</v>
      </c>
      <c r="AC413" s="135">
        <v>0</v>
      </c>
      <c r="AD413" s="101">
        <v>0</v>
      </c>
      <c r="AE413" s="101">
        <f t="shared" si="129"/>
        <v>0</v>
      </c>
      <c r="AF413" s="135">
        <v>0</v>
      </c>
      <c r="AG413" s="9" t="s">
        <v>69</v>
      </c>
      <c r="AH413" s="9" t="s">
        <v>1014</v>
      </c>
      <c r="AJ413" s="102"/>
      <c r="AN413" s="32"/>
      <c r="AO413" s="32"/>
      <c r="AP413" s="32"/>
      <c r="AQ413" s="32"/>
      <c r="AW413" s="32"/>
      <c r="AX413" s="32"/>
      <c r="AY413" s="32"/>
      <c r="AZ413" s="32"/>
    </row>
    <row r="414" spans="1:52" s="9" customFormat="1">
      <c r="A414" s="9" t="s">
        <v>1364</v>
      </c>
      <c r="B414" s="98" t="s">
        <v>1365</v>
      </c>
      <c r="C414" s="99" t="s">
        <v>162</v>
      </c>
      <c r="D414" s="99" t="s">
        <v>754</v>
      </c>
      <c r="E414" s="9" t="s">
        <v>643</v>
      </c>
      <c r="G414" s="9" t="s">
        <v>755</v>
      </c>
      <c r="H414" s="9" t="s">
        <v>1049</v>
      </c>
      <c r="J414" s="9">
        <v>0</v>
      </c>
      <c r="K414" s="9">
        <v>45</v>
      </c>
      <c r="L414" s="9" t="s">
        <v>64</v>
      </c>
      <c r="M414" s="9" t="s">
        <v>65</v>
      </c>
      <c r="N414" s="9" t="s">
        <v>1012</v>
      </c>
      <c r="P414" s="9">
        <v>0</v>
      </c>
      <c r="Q414" s="9" t="s">
        <v>1319</v>
      </c>
      <c r="R414" s="133">
        <v>0</v>
      </c>
      <c r="S414" s="100">
        <f t="shared" si="125"/>
        <v>100</v>
      </c>
      <c r="T414" s="100">
        <v>0</v>
      </c>
      <c r="U414" s="100">
        <v>0</v>
      </c>
      <c r="V414" s="133">
        <v>0</v>
      </c>
      <c r="W414" s="134">
        <f t="shared" si="126"/>
        <v>0</v>
      </c>
      <c r="X414" s="101">
        <v>92</v>
      </c>
      <c r="Y414" s="101">
        <f t="shared" si="127"/>
        <v>8</v>
      </c>
      <c r="Z414" s="101">
        <v>0</v>
      </c>
      <c r="AA414" s="164">
        <v>0</v>
      </c>
      <c r="AB414" s="101">
        <f t="shared" si="128"/>
        <v>0</v>
      </c>
      <c r="AC414" s="135">
        <v>0</v>
      </c>
      <c r="AD414" s="101">
        <v>0</v>
      </c>
      <c r="AE414" s="101">
        <f t="shared" si="129"/>
        <v>0</v>
      </c>
      <c r="AF414" s="135">
        <v>0</v>
      </c>
      <c r="AG414" s="9" t="s">
        <v>69</v>
      </c>
      <c r="AH414" s="9" t="s">
        <v>1014</v>
      </c>
      <c r="AJ414" s="102"/>
      <c r="AN414" s="32"/>
      <c r="AO414" s="32"/>
      <c r="AP414" s="32"/>
      <c r="AQ414" s="32"/>
      <c r="AW414" s="32"/>
      <c r="AX414" s="32"/>
      <c r="AY414" s="32"/>
      <c r="AZ414" s="32"/>
    </row>
    <row r="415" spans="1:52" s="9" customFormat="1">
      <c r="A415" s="9" t="s">
        <v>1366</v>
      </c>
      <c r="B415" s="98" t="s">
        <v>1367</v>
      </c>
      <c r="C415" s="99" t="s">
        <v>162</v>
      </c>
      <c r="D415" s="99" t="s">
        <v>754</v>
      </c>
      <c r="E415" s="9" t="s">
        <v>643</v>
      </c>
      <c r="G415" s="9" t="s">
        <v>755</v>
      </c>
      <c r="H415" s="9" t="s">
        <v>1049</v>
      </c>
      <c r="J415" s="9">
        <v>0</v>
      </c>
      <c r="K415" s="9">
        <v>45</v>
      </c>
      <c r="L415" s="9" t="s">
        <v>64</v>
      </c>
      <c r="M415" s="9" t="s">
        <v>65</v>
      </c>
      <c r="N415" s="9" t="s">
        <v>1012</v>
      </c>
      <c r="P415" s="9">
        <v>0</v>
      </c>
      <c r="Q415" s="9" t="s">
        <v>1319</v>
      </c>
      <c r="R415" s="133">
        <v>0</v>
      </c>
      <c r="S415" s="100">
        <f t="shared" si="125"/>
        <v>100</v>
      </c>
      <c r="T415" s="100">
        <v>0</v>
      </c>
      <c r="U415" s="100">
        <v>0</v>
      </c>
      <c r="V415" s="133">
        <v>0</v>
      </c>
      <c r="W415" s="134">
        <f t="shared" si="126"/>
        <v>0</v>
      </c>
      <c r="X415" s="101">
        <v>25</v>
      </c>
      <c r="Y415" s="101">
        <f t="shared" si="127"/>
        <v>75</v>
      </c>
      <c r="Z415" s="101">
        <v>0</v>
      </c>
      <c r="AA415" s="133">
        <v>0</v>
      </c>
      <c r="AB415" s="101">
        <f t="shared" si="128"/>
        <v>0</v>
      </c>
      <c r="AC415" s="134">
        <v>0</v>
      </c>
      <c r="AD415" s="101">
        <v>0</v>
      </c>
      <c r="AE415" s="101">
        <f t="shared" si="129"/>
        <v>0</v>
      </c>
      <c r="AF415" s="134">
        <v>0</v>
      </c>
      <c r="AG415" s="9" t="s">
        <v>69</v>
      </c>
      <c r="AH415" s="9" t="s">
        <v>1014</v>
      </c>
      <c r="AJ415" s="102"/>
      <c r="AN415" s="32"/>
      <c r="AO415" s="32"/>
      <c r="AP415" s="32"/>
      <c r="AQ415" s="32"/>
      <c r="AW415" s="32"/>
      <c r="AX415" s="32"/>
      <c r="AY415" s="32"/>
      <c r="AZ415" s="32"/>
    </row>
    <row r="416" spans="1:52" s="9" customFormat="1">
      <c r="A416" s="9" t="s">
        <v>1368</v>
      </c>
      <c r="B416" s="98" t="s">
        <v>1369</v>
      </c>
      <c r="C416" s="99" t="s">
        <v>162</v>
      </c>
      <c r="D416" s="99" t="s">
        <v>754</v>
      </c>
      <c r="E416" s="9" t="s">
        <v>643</v>
      </c>
      <c r="G416" s="9" t="s">
        <v>755</v>
      </c>
      <c r="H416" s="9" t="s">
        <v>1049</v>
      </c>
      <c r="J416" s="9">
        <v>0</v>
      </c>
      <c r="K416" s="9">
        <v>45</v>
      </c>
      <c r="L416" s="9" t="s">
        <v>64</v>
      </c>
      <c r="M416" s="9" t="s">
        <v>65</v>
      </c>
      <c r="N416" s="9" t="s">
        <v>1012</v>
      </c>
      <c r="P416" s="9">
        <v>0</v>
      </c>
      <c r="Q416" s="9" t="s">
        <v>1319</v>
      </c>
      <c r="R416" s="133">
        <v>0</v>
      </c>
      <c r="S416" s="100">
        <f t="shared" si="125"/>
        <v>100</v>
      </c>
      <c r="T416" s="100">
        <v>0</v>
      </c>
      <c r="U416" s="100">
        <v>0</v>
      </c>
      <c r="V416" s="133">
        <v>0</v>
      </c>
      <c r="W416" s="134">
        <f t="shared" si="126"/>
        <v>0</v>
      </c>
      <c r="X416" s="101">
        <v>70</v>
      </c>
      <c r="Y416" s="101">
        <f t="shared" si="127"/>
        <v>30</v>
      </c>
      <c r="Z416" s="101">
        <v>0</v>
      </c>
      <c r="AA416" s="133">
        <v>0</v>
      </c>
      <c r="AB416" s="101">
        <f t="shared" si="128"/>
        <v>0</v>
      </c>
      <c r="AC416" s="134">
        <v>0</v>
      </c>
      <c r="AD416" s="101">
        <v>0</v>
      </c>
      <c r="AE416" s="101">
        <f t="shared" si="129"/>
        <v>0</v>
      </c>
      <c r="AF416" s="134">
        <v>0</v>
      </c>
      <c r="AG416" s="9" t="s">
        <v>69</v>
      </c>
      <c r="AH416" s="9" t="s">
        <v>1014</v>
      </c>
      <c r="AJ416" s="102"/>
      <c r="AN416" s="32"/>
      <c r="AO416" s="32"/>
      <c r="AP416" s="32"/>
      <c r="AQ416" s="32"/>
      <c r="AW416" s="32"/>
      <c r="AX416" s="32"/>
      <c r="AY416" s="32"/>
      <c r="AZ416" s="32"/>
    </row>
    <row r="417" spans="1:52" s="9" customFormat="1">
      <c r="A417" s="9" t="s">
        <v>1370</v>
      </c>
      <c r="B417" s="98" t="s">
        <v>1371</v>
      </c>
      <c r="C417" s="99" t="s">
        <v>162</v>
      </c>
      <c r="D417" s="99" t="s">
        <v>754</v>
      </c>
      <c r="E417" s="9" t="s">
        <v>643</v>
      </c>
      <c r="G417" s="9" t="s">
        <v>755</v>
      </c>
      <c r="H417" s="9" t="s">
        <v>1049</v>
      </c>
      <c r="J417" s="9">
        <v>0</v>
      </c>
      <c r="K417" s="9">
        <v>45</v>
      </c>
      <c r="L417" s="9" t="s">
        <v>64</v>
      </c>
      <c r="M417" s="9" t="s">
        <v>65</v>
      </c>
      <c r="N417" s="9" t="s">
        <v>1012</v>
      </c>
      <c r="P417" s="9">
        <v>0</v>
      </c>
      <c r="Q417" s="9" t="s">
        <v>1319</v>
      </c>
      <c r="R417" s="133">
        <v>0</v>
      </c>
      <c r="S417" s="100">
        <f t="shared" si="125"/>
        <v>100</v>
      </c>
      <c r="T417" s="100">
        <v>0</v>
      </c>
      <c r="U417" s="100">
        <v>0</v>
      </c>
      <c r="V417" s="133">
        <v>0</v>
      </c>
      <c r="W417" s="134">
        <f t="shared" si="126"/>
        <v>0</v>
      </c>
      <c r="X417" s="100">
        <v>83</v>
      </c>
      <c r="Y417" s="101">
        <f t="shared" si="127"/>
        <v>17</v>
      </c>
      <c r="Z417" s="100">
        <v>0</v>
      </c>
      <c r="AA417" s="133">
        <v>0</v>
      </c>
      <c r="AB417" s="101">
        <f t="shared" si="128"/>
        <v>0</v>
      </c>
      <c r="AC417" s="134">
        <v>0</v>
      </c>
      <c r="AD417" s="101">
        <v>0</v>
      </c>
      <c r="AE417" s="101">
        <f t="shared" si="129"/>
        <v>0</v>
      </c>
      <c r="AF417" s="134">
        <v>0</v>
      </c>
      <c r="AG417" s="9" t="s">
        <v>69</v>
      </c>
      <c r="AH417" s="9" t="s">
        <v>1014</v>
      </c>
      <c r="AJ417" s="102"/>
      <c r="AN417" s="32"/>
      <c r="AO417" s="32"/>
      <c r="AP417" s="32"/>
      <c r="AQ417" s="32"/>
      <c r="AW417" s="32"/>
      <c r="AX417" s="32"/>
      <c r="AY417" s="32"/>
      <c r="AZ417" s="32"/>
    </row>
    <row r="418" spans="1:52" s="9" customFormat="1">
      <c r="A418" s="9" t="s">
        <v>1372</v>
      </c>
      <c r="B418" s="98" t="s">
        <v>1373</v>
      </c>
      <c r="C418" s="99" t="s">
        <v>162</v>
      </c>
      <c r="D418" s="99" t="s">
        <v>754</v>
      </c>
      <c r="E418" s="9" t="s">
        <v>643</v>
      </c>
      <c r="G418" s="9" t="s">
        <v>755</v>
      </c>
      <c r="H418" s="9" t="s">
        <v>1049</v>
      </c>
      <c r="J418" s="9">
        <v>0</v>
      </c>
      <c r="K418" s="9">
        <v>45</v>
      </c>
      <c r="L418" s="9" t="s">
        <v>64</v>
      </c>
      <c r="M418" s="9" t="s">
        <v>65</v>
      </c>
      <c r="N418" s="9" t="s">
        <v>1012</v>
      </c>
      <c r="P418" s="9">
        <v>0</v>
      </c>
      <c r="Q418" s="9" t="s">
        <v>1039</v>
      </c>
      <c r="R418" s="133">
        <v>0</v>
      </c>
      <c r="S418" s="100">
        <f t="shared" si="125"/>
        <v>100</v>
      </c>
      <c r="T418" s="100">
        <v>0</v>
      </c>
      <c r="U418" s="100">
        <v>0</v>
      </c>
      <c r="V418" s="133">
        <v>0</v>
      </c>
      <c r="W418" s="134">
        <f t="shared" si="126"/>
        <v>0</v>
      </c>
      <c r="X418" s="101">
        <v>65</v>
      </c>
      <c r="Y418" s="101">
        <f t="shared" si="127"/>
        <v>35</v>
      </c>
      <c r="Z418" s="101">
        <v>0</v>
      </c>
      <c r="AA418" s="164">
        <v>0</v>
      </c>
      <c r="AB418" s="101">
        <f t="shared" si="128"/>
        <v>0</v>
      </c>
      <c r="AC418" s="135">
        <v>0</v>
      </c>
      <c r="AD418" s="101">
        <v>0</v>
      </c>
      <c r="AE418" s="101">
        <f t="shared" si="129"/>
        <v>0</v>
      </c>
      <c r="AF418" s="135">
        <v>0</v>
      </c>
      <c r="AG418" s="9" t="s">
        <v>69</v>
      </c>
      <c r="AH418" s="9" t="s">
        <v>1014</v>
      </c>
      <c r="AJ418" s="102"/>
      <c r="AN418" s="32"/>
      <c r="AO418" s="32"/>
      <c r="AP418" s="32"/>
      <c r="AQ418" s="32"/>
      <c r="AW418" s="32"/>
      <c r="AX418" s="32"/>
      <c r="AY418" s="32"/>
      <c r="AZ418" s="32"/>
    </row>
    <row r="419" spans="1:52" s="9" customFormat="1">
      <c r="A419" s="9" t="s">
        <v>1374</v>
      </c>
      <c r="B419" s="98" t="s">
        <v>1375</v>
      </c>
      <c r="C419" s="99" t="s">
        <v>162</v>
      </c>
      <c r="D419" s="99" t="s">
        <v>754</v>
      </c>
      <c r="E419" s="9" t="s">
        <v>643</v>
      </c>
      <c r="G419" s="9" t="s">
        <v>755</v>
      </c>
      <c r="H419" s="9" t="s">
        <v>1049</v>
      </c>
      <c r="J419" s="9">
        <v>0</v>
      </c>
      <c r="K419" s="9">
        <v>45</v>
      </c>
      <c r="L419" s="9" t="s">
        <v>64</v>
      </c>
      <c r="M419" s="9" t="s">
        <v>65</v>
      </c>
      <c r="N419" s="9" t="s">
        <v>1012</v>
      </c>
      <c r="P419" s="9">
        <v>0</v>
      </c>
      <c r="Q419" s="9" t="s">
        <v>1319</v>
      </c>
      <c r="R419" s="133">
        <v>0</v>
      </c>
      <c r="S419" s="100">
        <f t="shared" si="125"/>
        <v>100</v>
      </c>
      <c r="T419" s="100">
        <v>0</v>
      </c>
      <c r="U419" s="100">
        <v>0</v>
      </c>
      <c r="V419" s="133">
        <v>0</v>
      </c>
      <c r="W419" s="134">
        <f t="shared" si="126"/>
        <v>0</v>
      </c>
      <c r="X419" s="101">
        <v>30</v>
      </c>
      <c r="Y419" s="101">
        <f t="shared" si="127"/>
        <v>70</v>
      </c>
      <c r="Z419" s="101">
        <v>0</v>
      </c>
      <c r="AA419" s="164">
        <v>0</v>
      </c>
      <c r="AB419" s="101">
        <f t="shared" si="128"/>
        <v>0</v>
      </c>
      <c r="AC419" s="135">
        <v>0</v>
      </c>
      <c r="AD419" s="101">
        <v>0</v>
      </c>
      <c r="AE419" s="101">
        <f t="shared" si="129"/>
        <v>0</v>
      </c>
      <c r="AF419" s="135">
        <v>0</v>
      </c>
      <c r="AG419" s="9" t="s">
        <v>69</v>
      </c>
      <c r="AH419" s="9" t="s">
        <v>1014</v>
      </c>
      <c r="AJ419" s="102"/>
      <c r="AN419" s="32"/>
      <c r="AO419" s="32"/>
      <c r="AP419" s="32"/>
      <c r="AQ419" s="32"/>
      <c r="AW419" s="32"/>
      <c r="AX419" s="32"/>
      <c r="AY419" s="32"/>
      <c r="AZ419" s="32"/>
    </row>
    <row r="420" spans="1:52" s="9" customFormat="1">
      <c r="A420" s="9" t="s">
        <v>1376</v>
      </c>
      <c r="B420" s="98" t="s">
        <v>1377</v>
      </c>
      <c r="C420" s="99" t="s">
        <v>162</v>
      </c>
      <c r="D420" s="99" t="s">
        <v>754</v>
      </c>
      <c r="E420" s="9" t="s">
        <v>643</v>
      </c>
      <c r="G420" s="9" t="s">
        <v>755</v>
      </c>
      <c r="H420" s="9" t="s">
        <v>1049</v>
      </c>
      <c r="J420" s="9">
        <v>0</v>
      </c>
      <c r="K420" s="9">
        <v>45</v>
      </c>
      <c r="L420" s="9" t="s">
        <v>64</v>
      </c>
      <c r="M420" s="9" t="s">
        <v>65</v>
      </c>
      <c r="N420" s="9" t="s">
        <v>1012</v>
      </c>
      <c r="P420" s="9">
        <v>0</v>
      </c>
      <c r="Q420" s="9" t="s">
        <v>1319</v>
      </c>
      <c r="R420" s="133">
        <v>0</v>
      </c>
      <c r="S420" s="100">
        <f t="shared" si="125"/>
        <v>100</v>
      </c>
      <c r="T420" s="100">
        <v>0</v>
      </c>
      <c r="U420" s="100">
        <v>0</v>
      </c>
      <c r="V420" s="133">
        <v>0</v>
      </c>
      <c r="W420" s="134">
        <f t="shared" si="126"/>
        <v>0</v>
      </c>
      <c r="X420" s="101">
        <v>20</v>
      </c>
      <c r="Y420" s="101">
        <f t="shared" si="127"/>
        <v>80</v>
      </c>
      <c r="Z420" s="101">
        <v>0</v>
      </c>
      <c r="AA420" s="133">
        <v>0</v>
      </c>
      <c r="AB420" s="101">
        <f t="shared" si="128"/>
        <v>0</v>
      </c>
      <c r="AC420" s="134">
        <v>0</v>
      </c>
      <c r="AD420" s="101">
        <v>0</v>
      </c>
      <c r="AE420" s="101">
        <f t="shared" si="129"/>
        <v>0</v>
      </c>
      <c r="AF420" s="134">
        <v>0</v>
      </c>
      <c r="AG420" s="9" t="s">
        <v>69</v>
      </c>
      <c r="AH420" s="9" t="s">
        <v>1014</v>
      </c>
      <c r="AJ420" s="102"/>
      <c r="AN420" s="32"/>
      <c r="AO420" s="32"/>
      <c r="AP420" s="32"/>
      <c r="AQ420" s="32"/>
      <c r="AW420" s="32"/>
      <c r="AX420" s="32"/>
      <c r="AY420" s="32"/>
      <c r="AZ420" s="32"/>
    </row>
    <row r="421" spans="1:52" s="9" customFormat="1">
      <c r="A421" s="9" t="s">
        <v>1378</v>
      </c>
      <c r="B421" s="98" t="s">
        <v>1379</v>
      </c>
      <c r="C421" s="99" t="s">
        <v>162</v>
      </c>
      <c r="D421" s="99" t="s">
        <v>754</v>
      </c>
      <c r="E421" s="9" t="s">
        <v>643</v>
      </c>
      <c r="G421" s="9" t="s">
        <v>755</v>
      </c>
      <c r="H421" s="9" t="s">
        <v>1049</v>
      </c>
      <c r="J421" s="9">
        <v>0</v>
      </c>
      <c r="K421" s="9">
        <v>45</v>
      </c>
      <c r="L421" s="9" t="s">
        <v>64</v>
      </c>
      <c r="M421" s="9" t="s">
        <v>65</v>
      </c>
      <c r="N421" s="9" t="s">
        <v>1012</v>
      </c>
      <c r="P421" s="9">
        <v>0</v>
      </c>
      <c r="Q421" s="9" t="s">
        <v>1319</v>
      </c>
      <c r="R421" s="133">
        <v>0</v>
      </c>
      <c r="S421" s="100">
        <f t="shared" ref="S421:S484" si="130">100 - R421 - U421 - T421</f>
        <v>100</v>
      </c>
      <c r="T421" s="100">
        <v>0</v>
      </c>
      <c r="U421" s="100">
        <v>0</v>
      </c>
      <c r="V421" s="133">
        <v>0</v>
      </c>
      <c r="W421" s="134">
        <f t="shared" ref="W421:W484" si="131">IF($R421 &gt; 0, 100 - $V421, 0)</f>
        <v>0</v>
      </c>
      <c r="X421" s="101">
        <v>75</v>
      </c>
      <c r="Y421" s="101">
        <f t="shared" ref="Y421:Y484" si="132">IF($S421 &gt; 0, 100 - $X421 - $Z421, 0)</f>
        <v>25</v>
      </c>
      <c r="Z421" s="101">
        <v>0</v>
      </c>
      <c r="AA421" s="133">
        <v>0</v>
      </c>
      <c r="AB421" s="101">
        <f t="shared" ref="AB421:AB484" si="133">IF($T421 &gt; 0, 100 - $AA421 - $AC421, 0)</f>
        <v>0</v>
      </c>
      <c r="AC421" s="134">
        <v>0</v>
      </c>
      <c r="AD421" s="101">
        <v>0</v>
      </c>
      <c r="AE421" s="101">
        <f t="shared" ref="AE421:AE484" si="134">IF($U421 &gt; 0, 100 - $AD421 - $AF421, 0)</f>
        <v>0</v>
      </c>
      <c r="AF421" s="134">
        <v>0</v>
      </c>
      <c r="AG421" s="9" t="s">
        <v>69</v>
      </c>
      <c r="AH421" s="9" t="s">
        <v>1014</v>
      </c>
      <c r="AJ421" s="102"/>
      <c r="AN421" s="32"/>
      <c r="AO421" s="32"/>
      <c r="AP421" s="32"/>
      <c r="AQ421" s="32"/>
      <c r="AW421" s="32"/>
      <c r="AX421" s="32"/>
      <c r="AY421" s="32"/>
      <c r="AZ421" s="32"/>
    </row>
    <row r="422" spans="1:52" s="9" customFormat="1">
      <c r="A422" s="9" t="s">
        <v>1380</v>
      </c>
      <c r="B422" s="98" t="s">
        <v>1381</v>
      </c>
      <c r="C422" s="99" t="s">
        <v>162</v>
      </c>
      <c r="D422" s="99" t="s">
        <v>754</v>
      </c>
      <c r="E422" s="9" t="s">
        <v>643</v>
      </c>
      <c r="G422" s="9" t="s">
        <v>755</v>
      </c>
      <c r="H422" s="9" t="s">
        <v>1049</v>
      </c>
      <c r="J422" s="9">
        <v>0</v>
      </c>
      <c r="K422" s="9">
        <v>45</v>
      </c>
      <c r="L422" s="9" t="s">
        <v>64</v>
      </c>
      <c r="M422" s="9" t="s">
        <v>65</v>
      </c>
      <c r="N422" s="9" t="s">
        <v>1012</v>
      </c>
      <c r="P422" s="9">
        <v>0</v>
      </c>
      <c r="Q422" s="9" t="s">
        <v>1039</v>
      </c>
      <c r="R422" s="133">
        <v>0</v>
      </c>
      <c r="S422" s="100">
        <f t="shared" si="130"/>
        <v>100</v>
      </c>
      <c r="T422" s="100">
        <v>0</v>
      </c>
      <c r="U422" s="100">
        <v>0</v>
      </c>
      <c r="V422" s="133">
        <v>0</v>
      </c>
      <c r="W422" s="134">
        <f t="shared" si="131"/>
        <v>0</v>
      </c>
      <c r="X422" s="101">
        <v>85</v>
      </c>
      <c r="Y422" s="101">
        <f t="shared" si="132"/>
        <v>15</v>
      </c>
      <c r="Z422" s="101">
        <v>0</v>
      </c>
      <c r="AA422" s="133">
        <v>0</v>
      </c>
      <c r="AB422" s="101">
        <f t="shared" si="133"/>
        <v>0</v>
      </c>
      <c r="AC422" s="134">
        <v>0</v>
      </c>
      <c r="AD422" s="101">
        <v>0</v>
      </c>
      <c r="AE422" s="101">
        <f t="shared" si="134"/>
        <v>0</v>
      </c>
      <c r="AF422" s="134">
        <v>0</v>
      </c>
      <c r="AG422" s="9" t="s">
        <v>69</v>
      </c>
      <c r="AH422" s="9" t="s">
        <v>1014</v>
      </c>
      <c r="AJ422" s="102"/>
      <c r="AN422" s="32"/>
      <c r="AO422" s="32"/>
      <c r="AP422" s="32"/>
      <c r="AQ422" s="32"/>
      <c r="AW422" s="32"/>
      <c r="AX422" s="32"/>
      <c r="AY422" s="32"/>
      <c r="AZ422" s="32"/>
    </row>
    <row r="423" spans="1:52" s="9" customFormat="1">
      <c r="A423" s="9" t="s">
        <v>1382</v>
      </c>
      <c r="B423" s="98" t="s">
        <v>1383</v>
      </c>
      <c r="C423" s="99" t="s">
        <v>162</v>
      </c>
      <c r="D423" s="99" t="s">
        <v>754</v>
      </c>
      <c r="E423" s="9" t="s">
        <v>643</v>
      </c>
      <c r="G423" s="9" t="s">
        <v>755</v>
      </c>
      <c r="H423" s="9" t="s">
        <v>1049</v>
      </c>
      <c r="J423" s="9">
        <v>0</v>
      </c>
      <c r="K423" s="9">
        <v>45</v>
      </c>
      <c r="L423" s="9" t="s">
        <v>64</v>
      </c>
      <c r="M423" s="9" t="s">
        <v>65</v>
      </c>
      <c r="N423" s="9" t="s">
        <v>1012</v>
      </c>
      <c r="P423" s="9">
        <v>0</v>
      </c>
      <c r="Q423" s="9" t="s">
        <v>1039</v>
      </c>
      <c r="R423" s="133">
        <v>0</v>
      </c>
      <c r="S423" s="100">
        <f t="shared" si="130"/>
        <v>100</v>
      </c>
      <c r="T423" s="100">
        <v>0</v>
      </c>
      <c r="U423" s="100">
        <v>0</v>
      </c>
      <c r="V423" s="133">
        <v>0</v>
      </c>
      <c r="W423" s="134">
        <f t="shared" si="131"/>
        <v>0</v>
      </c>
      <c r="X423" s="101">
        <v>50</v>
      </c>
      <c r="Y423" s="101">
        <f t="shared" si="132"/>
        <v>50</v>
      </c>
      <c r="Z423" s="101">
        <v>0</v>
      </c>
      <c r="AA423" s="164">
        <v>0</v>
      </c>
      <c r="AB423" s="101">
        <f t="shared" si="133"/>
        <v>0</v>
      </c>
      <c r="AC423" s="135">
        <v>0</v>
      </c>
      <c r="AD423" s="101">
        <v>0</v>
      </c>
      <c r="AE423" s="101">
        <f t="shared" si="134"/>
        <v>0</v>
      </c>
      <c r="AF423" s="135">
        <v>0</v>
      </c>
      <c r="AG423" s="9" t="s">
        <v>69</v>
      </c>
      <c r="AH423" s="9" t="s">
        <v>1014</v>
      </c>
      <c r="AJ423" s="102"/>
      <c r="AN423" s="32"/>
      <c r="AO423" s="32"/>
      <c r="AP423" s="32"/>
      <c r="AQ423" s="32"/>
      <c r="AW423" s="32"/>
      <c r="AX423" s="32"/>
      <c r="AY423" s="32"/>
      <c r="AZ423" s="32"/>
    </row>
    <row r="424" spans="1:52" s="9" customFormat="1">
      <c r="A424" s="9" t="s">
        <v>1384</v>
      </c>
      <c r="B424" s="98" t="s">
        <v>1385</v>
      </c>
      <c r="C424" s="99" t="s">
        <v>162</v>
      </c>
      <c r="D424" s="99" t="s">
        <v>754</v>
      </c>
      <c r="E424" s="9" t="s">
        <v>643</v>
      </c>
      <c r="G424" s="9" t="s">
        <v>755</v>
      </c>
      <c r="H424" s="9" t="s">
        <v>1049</v>
      </c>
      <c r="J424" s="9">
        <v>0</v>
      </c>
      <c r="K424" s="9">
        <v>45</v>
      </c>
      <c r="L424" s="9" t="s">
        <v>64</v>
      </c>
      <c r="M424" s="9" t="s">
        <v>65</v>
      </c>
      <c r="N424" s="9" t="s">
        <v>1012</v>
      </c>
      <c r="P424" s="9">
        <v>0</v>
      </c>
      <c r="Q424" s="9" t="s">
        <v>1039</v>
      </c>
      <c r="R424" s="133">
        <v>0</v>
      </c>
      <c r="S424" s="100">
        <f t="shared" si="130"/>
        <v>100</v>
      </c>
      <c r="T424" s="100">
        <v>0</v>
      </c>
      <c r="U424" s="100">
        <v>0</v>
      </c>
      <c r="V424" s="133">
        <v>0</v>
      </c>
      <c r="W424" s="134">
        <f t="shared" si="131"/>
        <v>0</v>
      </c>
      <c r="X424" s="101">
        <v>50</v>
      </c>
      <c r="Y424" s="101">
        <f t="shared" si="132"/>
        <v>50</v>
      </c>
      <c r="Z424" s="101">
        <v>0</v>
      </c>
      <c r="AA424" s="164">
        <v>0</v>
      </c>
      <c r="AB424" s="101">
        <f t="shared" si="133"/>
        <v>0</v>
      </c>
      <c r="AC424" s="135">
        <v>0</v>
      </c>
      <c r="AD424" s="101">
        <v>0</v>
      </c>
      <c r="AE424" s="101">
        <f t="shared" si="134"/>
        <v>0</v>
      </c>
      <c r="AF424" s="135">
        <v>0</v>
      </c>
      <c r="AG424" s="9" t="s">
        <v>69</v>
      </c>
      <c r="AH424" s="9" t="s">
        <v>1014</v>
      </c>
      <c r="AJ424" s="102"/>
      <c r="AN424" s="32"/>
      <c r="AO424" s="32"/>
      <c r="AP424" s="32"/>
      <c r="AQ424" s="32"/>
      <c r="AW424" s="32"/>
      <c r="AX424" s="32"/>
      <c r="AY424" s="32"/>
      <c r="AZ424" s="32"/>
    </row>
    <row r="425" spans="1:52" s="9" customFormat="1">
      <c r="A425" s="9" t="s">
        <v>1386</v>
      </c>
      <c r="B425" s="98" t="s">
        <v>1387</v>
      </c>
      <c r="C425" s="99" t="s">
        <v>162</v>
      </c>
      <c r="D425" s="99" t="s">
        <v>754</v>
      </c>
      <c r="E425" s="9" t="s">
        <v>643</v>
      </c>
      <c r="G425" s="9" t="s">
        <v>755</v>
      </c>
      <c r="H425" s="9" t="s">
        <v>1049</v>
      </c>
      <c r="J425" s="9">
        <v>0</v>
      </c>
      <c r="K425" s="9">
        <v>45</v>
      </c>
      <c r="L425" s="9" t="s">
        <v>64</v>
      </c>
      <c r="M425" s="9" t="s">
        <v>65</v>
      </c>
      <c r="N425" s="9" t="s">
        <v>1012</v>
      </c>
      <c r="P425" s="9">
        <v>0</v>
      </c>
      <c r="Q425" s="9" t="s">
        <v>1030</v>
      </c>
      <c r="R425" s="133">
        <v>0</v>
      </c>
      <c r="S425" s="100">
        <f t="shared" si="130"/>
        <v>100</v>
      </c>
      <c r="T425" s="100">
        <v>0</v>
      </c>
      <c r="U425" s="100">
        <v>0</v>
      </c>
      <c r="V425" s="133">
        <v>0</v>
      </c>
      <c r="W425" s="134">
        <f t="shared" si="131"/>
        <v>0</v>
      </c>
      <c r="X425" s="101">
        <v>48</v>
      </c>
      <c r="Y425" s="101">
        <f t="shared" si="132"/>
        <v>48</v>
      </c>
      <c r="Z425" s="101">
        <v>4</v>
      </c>
      <c r="AA425" s="164">
        <v>0</v>
      </c>
      <c r="AB425" s="101">
        <f t="shared" si="133"/>
        <v>0</v>
      </c>
      <c r="AC425" s="135">
        <v>0</v>
      </c>
      <c r="AD425" s="101">
        <v>0</v>
      </c>
      <c r="AE425" s="101">
        <f t="shared" si="134"/>
        <v>0</v>
      </c>
      <c r="AF425" s="135">
        <v>0</v>
      </c>
      <c r="AG425" s="9" t="s">
        <v>69</v>
      </c>
      <c r="AH425" s="9" t="s">
        <v>1014</v>
      </c>
      <c r="AI425" s="102"/>
      <c r="AJ425" s="102"/>
      <c r="AN425" s="32"/>
      <c r="AO425" s="32"/>
      <c r="AP425" s="32"/>
      <c r="AQ425" s="32"/>
      <c r="AW425" s="32"/>
      <c r="AX425" s="32"/>
      <c r="AY425" s="32"/>
      <c r="AZ425" s="32"/>
    </row>
    <row r="426" spans="1:52" s="9" customFormat="1">
      <c r="A426" s="9" t="s">
        <v>1388</v>
      </c>
      <c r="B426" s="98" t="s">
        <v>1389</v>
      </c>
      <c r="C426" s="99" t="s">
        <v>162</v>
      </c>
      <c r="D426" s="99" t="s">
        <v>754</v>
      </c>
      <c r="E426" s="9" t="s">
        <v>643</v>
      </c>
      <c r="G426" s="9" t="s">
        <v>755</v>
      </c>
      <c r="H426" s="9" t="s">
        <v>1390</v>
      </c>
      <c r="J426" s="9">
        <v>0</v>
      </c>
      <c r="K426" s="9">
        <v>45</v>
      </c>
      <c r="L426" s="9" t="s">
        <v>64</v>
      </c>
      <c r="M426" s="9" t="s">
        <v>65</v>
      </c>
      <c r="N426" s="9" t="s">
        <v>1012</v>
      </c>
      <c r="P426" s="9">
        <v>0</v>
      </c>
      <c r="Q426" s="9" t="s">
        <v>1319</v>
      </c>
      <c r="R426" s="133">
        <v>0</v>
      </c>
      <c r="S426" s="100">
        <f t="shared" si="130"/>
        <v>100</v>
      </c>
      <c r="T426" s="100">
        <v>0</v>
      </c>
      <c r="U426" s="100">
        <v>0</v>
      </c>
      <c r="V426" s="133">
        <v>0</v>
      </c>
      <c r="W426" s="134">
        <f t="shared" si="131"/>
        <v>0</v>
      </c>
      <c r="X426" s="100">
        <v>100</v>
      </c>
      <c r="Y426" s="101">
        <f t="shared" si="132"/>
        <v>0</v>
      </c>
      <c r="Z426" s="100">
        <v>0</v>
      </c>
      <c r="AA426" s="133">
        <v>0</v>
      </c>
      <c r="AB426" s="101">
        <f t="shared" si="133"/>
        <v>0</v>
      </c>
      <c r="AC426" s="134">
        <v>0</v>
      </c>
      <c r="AD426" s="101">
        <v>0</v>
      </c>
      <c r="AE426" s="101">
        <f t="shared" si="134"/>
        <v>0</v>
      </c>
      <c r="AF426" s="134">
        <v>0</v>
      </c>
      <c r="AG426" s="9" t="s">
        <v>69</v>
      </c>
      <c r="AH426" s="9" t="s">
        <v>1014</v>
      </c>
      <c r="AJ426" s="102"/>
      <c r="AN426" s="32"/>
      <c r="AO426" s="32"/>
      <c r="AP426" s="32"/>
      <c r="AQ426" s="32"/>
      <c r="AW426" s="32"/>
      <c r="AX426" s="32"/>
      <c r="AY426" s="32"/>
      <c r="AZ426" s="32"/>
    </row>
    <row r="427" spans="1:52" s="9" customFormat="1">
      <c r="A427" s="9" t="s">
        <v>1391</v>
      </c>
      <c r="B427" s="98" t="s">
        <v>1392</v>
      </c>
      <c r="C427" s="99" t="s">
        <v>162</v>
      </c>
      <c r="D427" s="99" t="s">
        <v>754</v>
      </c>
      <c r="E427" s="9" t="s">
        <v>643</v>
      </c>
      <c r="G427" s="9" t="s">
        <v>755</v>
      </c>
      <c r="H427" s="9" t="s">
        <v>1390</v>
      </c>
      <c r="J427" s="9">
        <v>0</v>
      </c>
      <c r="K427" s="9">
        <v>45</v>
      </c>
      <c r="L427" s="9" t="s">
        <v>64</v>
      </c>
      <c r="M427" s="9" t="s">
        <v>65</v>
      </c>
      <c r="N427" s="9" t="s">
        <v>1012</v>
      </c>
      <c r="P427" s="9">
        <v>0</v>
      </c>
      <c r="Q427" s="9" t="s">
        <v>1039</v>
      </c>
      <c r="R427" s="133">
        <v>0</v>
      </c>
      <c r="S427" s="100">
        <f t="shared" si="130"/>
        <v>100</v>
      </c>
      <c r="T427" s="100">
        <v>0</v>
      </c>
      <c r="U427" s="100">
        <v>0</v>
      </c>
      <c r="V427" s="133">
        <v>0</v>
      </c>
      <c r="W427" s="134">
        <f t="shared" si="131"/>
        <v>0</v>
      </c>
      <c r="X427" s="100">
        <v>100</v>
      </c>
      <c r="Y427" s="101">
        <f t="shared" si="132"/>
        <v>0</v>
      </c>
      <c r="Z427" s="100">
        <v>0</v>
      </c>
      <c r="AA427" s="164">
        <v>0</v>
      </c>
      <c r="AB427" s="101">
        <f t="shared" si="133"/>
        <v>0</v>
      </c>
      <c r="AC427" s="135">
        <v>0</v>
      </c>
      <c r="AD427" s="101">
        <v>0</v>
      </c>
      <c r="AE427" s="101">
        <f t="shared" si="134"/>
        <v>0</v>
      </c>
      <c r="AF427" s="135">
        <v>0</v>
      </c>
      <c r="AG427" s="9" t="s">
        <v>69</v>
      </c>
      <c r="AH427" s="9" t="s">
        <v>1014</v>
      </c>
      <c r="AJ427" s="102"/>
      <c r="AN427" s="32"/>
      <c r="AO427" s="32"/>
      <c r="AP427" s="32"/>
      <c r="AQ427" s="32"/>
      <c r="AW427" s="32"/>
      <c r="AX427" s="32"/>
      <c r="AY427" s="32"/>
      <c r="AZ427" s="32"/>
    </row>
    <row r="428" spans="1:52" s="9" customFormat="1">
      <c r="A428" s="9" t="s">
        <v>1393</v>
      </c>
      <c r="B428" s="98" t="s">
        <v>1394</v>
      </c>
      <c r="C428" s="99" t="s">
        <v>162</v>
      </c>
      <c r="D428" s="99" t="s">
        <v>754</v>
      </c>
      <c r="E428" s="9" t="s">
        <v>643</v>
      </c>
      <c r="G428" s="9" t="s">
        <v>755</v>
      </c>
      <c r="H428" s="9" t="s">
        <v>1390</v>
      </c>
      <c r="J428" s="9">
        <v>0</v>
      </c>
      <c r="K428" s="9">
        <v>45</v>
      </c>
      <c r="L428" s="9" t="s">
        <v>64</v>
      </c>
      <c r="M428" s="9" t="s">
        <v>65</v>
      </c>
      <c r="N428" s="9" t="s">
        <v>1012</v>
      </c>
      <c r="P428" s="9">
        <v>0</v>
      </c>
      <c r="Q428" s="9" t="s">
        <v>1039</v>
      </c>
      <c r="R428" s="133">
        <v>0</v>
      </c>
      <c r="S428" s="100">
        <f t="shared" si="130"/>
        <v>100</v>
      </c>
      <c r="T428" s="100">
        <v>0</v>
      </c>
      <c r="U428" s="100">
        <v>0</v>
      </c>
      <c r="V428" s="133">
        <v>0</v>
      </c>
      <c r="W428" s="134">
        <f t="shared" si="131"/>
        <v>0</v>
      </c>
      <c r="X428" s="100">
        <v>100</v>
      </c>
      <c r="Y428" s="101">
        <f t="shared" si="132"/>
        <v>0</v>
      </c>
      <c r="Z428" s="100">
        <v>0</v>
      </c>
      <c r="AA428" s="133">
        <v>0</v>
      </c>
      <c r="AB428" s="101">
        <f t="shared" si="133"/>
        <v>0</v>
      </c>
      <c r="AC428" s="134">
        <v>0</v>
      </c>
      <c r="AD428" s="101">
        <v>0</v>
      </c>
      <c r="AE428" s="101">
        <f t="shared" si="134"/>
        <v>0</v>
      </c>
      <c r="AF428" s="134">
        <v>0</v>
      </c>
      <c r="AG428" s="9" t="s">
        <v>69</v>
      </c>
      <c r="AH428" s="9" t="s">
        <v>1014</v>
      </c>
      <c r="AJ428" s="102"/>
      <c r="AN428" s="32"/>
      <c r="AO428" s="32"/>
      <c r="AP428" s="32"/>
      <c r="AQ428" s="32"/>
      <c r="AW428" s="32"/>
      <c r="AX428" s="32"/>
      <c r="AY428" s="32"/>
      <c r="AZ428" s="32"/>
    </row>
    <row r="429" spans="1:52" s="9" customFormat="1">
      <c r="A429" s="9" t="s">
        <v>1395</v>
      </c>
      <c r="B429" s="98" t="s">
        <v>1396</v>
      </c>
      <c r="C429" s="99" t="s">
        <v>162</v>
      </c>
      <c r="D429" s="99" t="s">
        <v>754</v>
      </c>
      <c r="E429" s="9" t="s">
        <v>643</v>
      </c>
      <c r="G429" s="9" t="s">
        <v>755</v>
      </c>
      <c r="H429" s="9" t="s">
        <v>1049</v>
      </c>
      <c r="J429" s="9">
        <v>0</v>
      </c>
      <c r="K429" s="9">
        <v>45</v>
      </c>
      <c r="L429" s="9" t="s">
        <v>64</v>
      </c>
      <c r="M429" s="9" t="s">
        <v>65</v>
      </c>
      <c r="N429" s="9" t="s">
        <v>1012</v>
      </c>
      <c r="P429" s="9">
        <v>0</v>
      </c>
      <c r="Q429" s="9" t="s">
        <v>1319</v>
      </c>
      <c r="R429" s="133">
        <v>0</v>
      </c>
      <c r="S429" s="100">
        <f t="shared" si="130"/>
        <v>100</v>
      </c>
      <c r="T429" s="100">
        <v>0</v>
      </c>
      <c r="U429" s="100">
        <v>0</v>
      </c>
      <c r="V429" s="133">
        <v>0</v>
      </c>
      <c r="W429" s="134">
        <f t="shared" si="131"/>
        <v>0</v>
      </c>
      <c r="X429" s="100">
        <v>2.5</v>
      </c>
      <c r="Y429" s="101">
        <f t="shared" si="132"/>
        <v>97.5</v>
      </c>
      <c r="Z429" s="100">
        <v>0</v>
      </c>
      <c r="AA429" s="133">
        <v>0</v>
      </c>
      <c r="AB429" s="101">
        <f t="shared" si="133"/>
        <v>0</v>
      </c>
      <c r="AC429" s="134">
        <v>0</v>
      </c>
      <c r="AD429" s="101">
        <v>0</v>
      </c>
      <c r="AE429" s="101">
        <f t="shared" si="134"/>
        <v>0</v>
      </c>
      <c r="AF429" s="134">
        <v>0</v>
      </c>
      <c r="AG429" s="9" t="s">
        <v>69</v>
      </c>
      <c r="AH429" s="9" t="s">
        <v>1014</v>
      </c>
      <c r="AJ429" s="102"/>
      <c r="AN429" s="32"/>
      <c r="AO429" s="32"/>
      <c r="AP429" s="32"/>
      <c r="AQ429" s="32"/>
      <c r="AW429" s="32"/>
      <c r="AX429" s="32"/>
      <c r="AY429" s="32"/>
      <c r="AZ429" s="32"/>
    </row>
    <row r="430" spans="1:52" s="9" customFormat="1">
      <c r="A430" s="9" t="s">
        <v>1397</v>
      </c>
      <c r="B430" s="98" t="s">
        <v>1398</v>
      </c>
      <c r="C430" s="99" t="s">
        <v>162</v>
      </c>
      <c r="D430" s="99" t="s">
        <v>754</v>
      </c>
      <c r="E430" s="9" t="s">
        <v>643</v>
      </c>
      <c r="G430" s="9" t="s">
        <v>755</v>
      </c>
      <c r="H430" s="9" t="s">
        <v>1049</v>
      </c>
      <c r="J430" s="9">
        <v>0</v>
      </c>
      <c r="K430" s="9">
        <v>45</v>
      </c>
      <c r="L430" s="9" t="s">
        <v>64</v>
      </c>
      <c r="M430" s="9" t="s">
        <v>65</v>
      </c>
      <c r="N430" s="9" t="s">
        <v>1012</v>
      </c>
      <c r="P430" s="9">
        <v>0</v>
      </c>
      <c r="Q430" s="9" t="s">
        <v>1319</v>
      </c>
      <c r="R430" s="133">
        <v>0</v>
      </c>
      <c r="S430" s="100">
        <f t="shared" si="130"/>
        <v>100</v>
      </c>
      <c r="T430" s="100">
        <v>0</v>
      </c>
      <c r="U430" s="100">
        <v>0</v>
      </c>
      <c r="V430" s="133">
        <v>0</v>
      </c>
      <c r="W430" s="134">
        <f t="shared" si="131"/>
        <v>0</v>
      </c>
      <c r="X430" s="100">
        <v>10</v>
      </c>
      <c r="Y430" s="101">
        <f t="shared" si="132"/>
        <v>90</v>
      </c>
      <c r="Z430" s="100">
        <v>0</v>
      </c>
      <c r="AA430" s="164">
        <v>0</v>
      </c>
      <c r="AB430" s="101">
        <f t="shared" si="133"/>
        <v>0</v>
      </c>
      <c r="AC430" s="135">
        <v>0</v>
      </c>
      <c r="AD430" s="101">
        <v>0</v>
      </c>
      <c r="AE430" s="101">
        <f t="shared" si="134"/>
        <v>0</v>
      </c>
      <c r="AF430" s="135">
        <v>0</v>
      </c>
      <c r="AG430" s="9" t="s">
        <v>69</v>
      </c>
      <c r="AH430" s="9" t="s">
        <v>1014</v>
      </c>
      <c r="AJ430" s="102"/>
      <c r="AN430" s="32"/>
      <c r="AO430" s="32"/>
      <c r="AP430" s="32"/>
      <c r="AQ430" s="32"/>
      <c r="AW430" s="32"/>
      <c r="AX430" s="32"/>
      <c r="AY430" s="32"/>
      <c r="AZ430" s="32"/>
    </row>
    <row r="431" spans="1:52" s="9" customFormat="1">
      <c r="A431" s="9" t="s">
        <v>1399</v>
      </c>
      <c r="B431" s="98" t="s">
        <v>1400</v>
      </c>
      <c r="C431" s="99" t="s">
        <v>162</v>
      </c>
      <c r="D431" s="99" t="s">
        <v>754</v>
      </c>
      <c r="E431" s="9" t="s">
        <v>643</v>
      </c>
      <c r="G431" s="9" t="s">
        <v>755</v>
      </c>
      <c r="H431" s="9" t="s">
        <v>1011</v>
      </c>
      <c r="J431" s="9">
        <v>0</v>
      </c>
      <c r="K431" s="9">
        <v>45</v>
      </c>
      <c r="L431" s="9" t="s">
        <v>64</v>
      </c>
      <c r="M431" s="9" t="s">
        <v>65</v>
      </c>
      <c r="N431" s="9" t="s">
        <v>1012</v>
      </c>
      <c r="P431" s="9">
        <v>0</v>
      </c>
      <c r="Q431" s="9" t="s">
        <v>1039</v>
      </c>
      <c r="R431" s="133">
        <v>0</v>
      </c>
      <c r="S431" s="100">
        <f t="shared" si="130"/>
        <v>100</v>
      </c>
      <c r="T431" s="100">
        <v>0</v>
      </c>
      <c r="U431" s="100">
        <v>0</v>
      </c>
      <c r="V431" s="133">
        <v>0</v>
      </c>
      <c r="W431" s="134">
        <f t="shared" si="131"/>
        <v>0</v>
      </c>
      <c r="X431" s="101">
        <v>95</v>
      </c>
      <c r="Y431" s="101">
        <f t="shared" si="132"/>
        <v>0</v>
      </c>
      <c r="Z431" s="101">
        <v>5</v>
      </c>
      <c r="AA431" s="164">
        <v>0</v>
      </c>
      <c r="AB431" s="101">
        <f t="shared" si="133"/>
        <v>0</v>
      </c>
      <c r="AC431" s="135">
        <v>0</v>
      </c>
      <c r="AD431" s="101">
        <v>0</v>
      </c>
      <c r="AE431" s="101">
        <f t="shared" si="134"/>
        <v>0</v>
      </c>
      <c r="AF431" s="135">
        <v>0</v>
      </c>
      <c r="AG431" s="9" t="s">
        <v>762</v>
      </c>
      <c r="AH431" s="9" t="s">
        <v>1014</v>
      </c>
      <c r="AI431" s="102"/>
      <c r="AJ431" s="102"/>
      <c r="AN431" s="32"/>
      <c r="AO431" s="32"/>
      <c r="AP431" s="32"/>
      <c r="AQ431" s="32"/>
      <c r="AW431" s="32"/>
      <c r="AX431" s="32"/>
      <c r="AY431" s="32"/>
      <c r="AZ431" s="32"/>
    </row>
    <row r="432" spans="1:52" s="9" customFormat="1">
      <c r="A432" s="9" t="s">
        <v>1401</v>
      </c>
      <c r="B432" s="98" t="s">
        <v>1402</v>
      </c>
      <c r="C432" s="99" t="s">
        <v>162</v>
      </c>
      <c r="D432" s="99" t="s">
        <v>754</v>
      </c>
      <c r="E432" s="9" t="s">
        <v>643</v>
      </c>
      <c r="G432" s="9" t="s">
        <v>755</v>
      </c>
      <c r="H432" s="9" t="s">
        <v>1011</v>
      </c>
      <c r="J432" s="9">
        <v>0</v>
      </c>
      <c r="K432" s="9">
        <v>45</v>
      </c>
      <c r="L432" s="9" t="s">
        <v>64</v>
      </c>
      <c r="M432" s="9" t="s">
        <v>65</v>
      </c>
      <c r="N432" s="9" t="s">
        <v>1012</v>
      </c>
      <c r="P432" s="9">
        <v>0</v>
      </c>
      <c r="Q432" s="9" t="s">
        <v>1039</v>
      </c>
      <c r="R432" s="133">
        <v>0</v>
      </c>
      <c r="S432" s="100">
        <f t="shared" si="130"/>
        <v>100</v>
      </c>
      <c r="T432" s="100">
        <v>0</v>
      </c>
      <c r="U432" s="100">
        <v>0</v>
      </c>
      <c r="V432" s="133">
        <v>0</v>
      </c>
      <c r="W432" s="134">
        <f t="shared" si="131"/>
        <v>0</v>
      </c>
      <c r="X432" s="101">
        <v>98</v>
      </c>
      <c r="Y432" s="101">
        <f t="shared" si="132"/>
        <v>0</v>
      </c>
      <c r="Z432" s="101">
        <v>2</v>
      </c>
      <c r="AA432" s="164">
        <v>0</v>
      </c>
      <c r="AB432" s="101">
        <f t="shared" si="133"/>
        <v>0</v>
      </c>
      <c r="AC432" s="135">
        <v>0</v>
      </c>
      <c r="AD432" s="101">
        <v>0</v>
      </c>
      <c r="AE432" s="101">
        <f t="shared" si="134"/>
        <v>0</v>
      </c>
      <c r="AF432" s="135">
        <v>0</v>
      </c>
      <c r="AG432" s="9" t="s">
        <v>69</v>
      </c>
      <c r="AH432" s="9" t="s">
        <v>1014</v>
      </c>
      <c r="AI432" s="102"/>
      <c r="AJ432" s="102"/>
      <c r="AN432" s="32"/>
      <c r="AO432" s="32"/>
      <c r="AP432" s="32"/>
      <c r="AQ432" s="32"/>
      <c r="AW432" s="32"/>
      <c r="AX432" s="32"/>
      <c r="AY432" s="32"/>
      <c r="AZ432" s="32"/>
    </row>
    <row r="433" spans="1:52" s="9" customFormat="1">
      <c r="A433" s="9" t="s">
        <v>1403</v>
      </c>
      <c r="B433" s="98" t="s">
        <v>1404</v>
      </c>
      <c r="C433" s="99" t="s">
        <v>162</v>
      </c>
      <c r="D433" s="99" t="s">
        <v>642</v>
      </c>
      <c r="E433" s="9" t="s">
        <v>643</v>
      </c>
      <c r="G433" s="9" t="s">
        <v>1195</v>
      </c>
      <c r="H433" s="9" t="s">
        <v>1308</v>
      </c>
      <c r="J433" s="9">
        <v>0</v>
      </c>
      <c r="K433" s="9">
        <v>0</v>
      </c>
      <c r="L433" s="9" t="s">
        <v>445</v>
      </c>
      <c r="M433" s="9" t="s">
        <v>885</v>
      </c>
      <c r="N433" s="9" t="s">
        <v>1405</v>
      </c>
      <c r="O433" s="9" t="s">
        <v>1406</v>
      </c>
      <c r="P433" s="9">
        <v>0</v>
      </c>
      <c r="R433" s="133">
        <v>0</v>
      </c>
      <c r="S433" s="100">
        <f t="shared" si="130"/>
        <v>100</v>
      </c>
      <c r="T433" s="100">
        <v>0</v>
      </c>
      <c r="U433" s="100">
        <v>0</v>
      </c>
      <c r="V433" s="133">
        <v>0</v>
      </c>
      <c r="W433" s="134">
        <f t="shared" si="131"/>
        <v>0</v>
      </c>
      <c r="X433" s="101">
        <v>11.5</v>
      </c>
      <c r="Y433" s="101">
        <f t="shared" si="132"/>
        <v>87.95</v>
      </c>
      <c r="Z433" s="101">
        <v>0.55000000000000004</v>
      </c>
      <c r="AA433" s="164">
        <v>0</v>
      </c>
      <c r="AB433" s="101">
        <f t="shared" si="133"/>
        <v>0</v>
      </c>
      <c r="AC433" s="135">
        <v>0</v>
      </c>
      <c r="AD433" s="101">
        <v>0</v>
      </c>
      <c r="AE433" s="101">
        <f t="shared" si="134"/>
        <v>0</v>
      </c>
      <c r="AF433" s="135">
        <v>0</v>
      </c>
      <c r="AG433" s="9" t="s">
        <v>69</v>
      </c>
      <c r="AH433" s="29" t="s">
        <v>1407</v>
      </c>
      <c r="AI433" s="9" t="s">
        <v>1408</v>
      </c>
      <c r="AN433" s="32"/>
      <c r="AO433" s="32"/>
      <c r="AP433" s="32"/>
      <c r="AQ433" s="32"/>
      <c r="AW433" s="32"/>
      <c r="AX433" s="32"/>
      <c r="AY433" s="32"/>
      <c r="AZ433" s="32"/>
    </row>
    <row r="434" spans="1:52" s="9" customFormat="1">
      <c r="A434" s="9" t="s">
        <v>1409</v>
      </c>
      <c r="B434" s="98" t="s">
        <v>1410</v>
      </c>
      <c r="C434" s="99" t="s">
        <v>162</v>
      </c>
      <c r="D434" s="99" t="s">
        <v>642</v>
      </c>
      <c r="E434" s="9" t="s">
        <v>643</v>
      </c>
      <c r="G434" s="9" t="s">
        <v>1195</v>
      </c>
      <c r="H434" s="9" t="s">
        <v>1308</v>
      </c>
      <c r="J434" s="9">
        <v>0</v>
      </c>
      <c r="K434" s="9">
        <v>0</v>
      </c>
      <c r="L434" s="9" t="s">
        <v>445</v>
      </c>
      <c r="M434" s="9" t="s">
        <v>885</v>
      </c>
      <c r="N434" s="9" t="s">
        <v>1411</v>
      </c>
      <c r="O434" s="9" t="s">
        <v>1406</v>
      </c>
      <c r="P434" s="9">
        <v>0</v>
      </c>
      <c r="R434" s="133">
        <v>0</v>
      </c>
      <c r="S434" s="100">
        <f t="shared" si="130"/>
        <v>100</v>
      </c>
      <c r="T434" s="100">
        <v>0</v>
      </c>
      <c r="U434" s="100">
        <v>0</v>
      </c>
      <c r="V434" s="133">
        <v>0</v>
      </c>
      <c r="W434" s="134">
        <f t="shared" si="131"/>
        <v>0</v>
      </c>
      <c r="X434" s="101">
        <v>36</v>
      </c>
      <c r="Y434" s="101">
        <f t="shared" si="132"/>
        <v>62</v>
      </c>
      <c r="Z434" s="101">
        <v>2</v>
      </c>
      <c r="AA434" s="133">
        <v>0</v>
      </c>
      <c r="AB434" s="101">
        <f t="shared" si="133"/>
        <v>0</v>
      </c>
      <c r="AC434" s="134">
        <v>0</v>
      </c>
      <c r="AD434" s="101">
        <v>0</v>
      </c>
      <c r="AE434" s="101">
        <f t="shared" si="134"/>
        <v>0</v>
      </c>
      <c r="AF434" s="134">
        <v>0</v>
      </c>
      <c r="AG434" s="9" t="s">
        <v>69</v>
      </c>
      <c r="AH434" s="29" t="s">
        <v>1412</v>
      </c>
      <c r="AI434" s="9" t="s">
        <v>1413</v>
      </c>
      <c r="AJ434" s="102"/>
      <c r="AN434" s="32"/>
      <c r="AO434" s="32"/>
      <c r="AP434" s="32"/>
      <c r="AQ434" s="32"/>
      <c r="AW434" s="32"/>
      <c r="AX434" s="32"/>
      <c r="AY434" s="32"/>
      <c r="AZ434" s="32"/>
    </row>
    <row r="435" spans="1:52" s="9" customFormat="1">
      <c r="A435" s="9" t="s">
        <v>1414</v>
      </c>
      <c r="B435" s="98" t="s">
        <v>1415</v>
      </c>
      <c r="C435" s="99" t="s">
        <v>1416</v>
      </c>
      <c r="D435" s="99" t="s">
        <v>642</v>
      </c>
      <c r="E435" s="9" t="s">
        <v>643</v>
      </c>
      <c r="G435" s="9" t="s">
        <v>755</v>
      </c>
      <c r="H435" s="9" t="s">
        <v>1417</v>
      </c>
      <c r="J435" s="9">
        <v>20</v>
      </c>
      <c r="K435" s="9">
        <v>32</v>
      </c>
      <c r="L435" s="9" t="s">
        <v>64</v>
      </c>
      <c r="M435" s="9" t="s">
        <v>567</v>
      </c>
      <c r="N435" s="9" t="s">
        <v>1418</v>
      </c>
      <c r="O435" s="9" t="s">
        <v>417</v>
      </c>
      <c r="P435" s="9">
        <v>0</v>
      </c>
      <c r="Q435" s="9" t="s">
        <v>1419</v>
      </c>
      <c r="R435" s="133">
        <v>0</v>
      </c>
      <c r="S435" s="100">
        <f t="shared" si="130"/>
        <v>100</v>
      </c>
      <c r="T435" s="100">
        <v>0</v>
      </c>
      <c r="U435" s="100">
        <v>0</v>
      </c>
      <c r="V435" s="133">
        <v>0</v>
      </c>
      <c r="W435" s="134">
        <f t="shared" si="131"/>
        <v>0</v>
      </c>
      <c r="X435" s="101">
        <v>7</v>
      </c>
      <c r="Y435" s="101">
        <f t="shared" si="132"/>
        <v>92</v>
      </c>
      <c r="Z435" s="101">
        <v>1</v>
      </c>
      <c r="AA435" s="133">
        <v>0</v>
      </c>
      <c r="AB435" s="101">
        <f t="shared" si="133"/>
        <v>0</v>
      </c>
      <c r="AC435" s="134">
        <v>0</v>
      </c>
      <c r="AD435" s="101">
        <v>0</v>
      </c>
      <c r="AE435" s="101">
        <f t="shared" si="134"/>
        <v>0</v>
      </c>
      <c r="AF435" s="134">
        <v>0</v>
      </c>
      <c r="AG435" s="9" t="s">
        <v>69</v>
      </c>
      <c r="AH435" s="29" t="s">
        <v>1420</v>
      </c>
      <c r="AI435" s="9" t="s">
        <v>1421</v>
      </c>
      <c r="AJ435" s="102"/>
      <c r="AN435" s="32"/>
      <c r="AO435" s="32"/>
      <c r="AP435" s="32"/>
      <c r="AQ435" s="32"/>
      <c r="AW435" s="32"/>
      <c r="AX435" s="32"/>
      <c r="AY435" s="32"/>
      <c r="AZ435" s="32"/>
    </row>
    <row r="436" spans="1:52" s="9" customFormat="1">
      <c r="A436" s="9" t="s">
        <v>1422</v>
      </c>
      <c r="B436" s="98" t="s">
        <v>1423</v>
      </c>
      <c r="C436" s="99" t="s">
        <v>1416</v>
      </c>
      <c r="D436" s="99" t="s">
        <v>642</v>
      </c>
      <c r="E436" s="9" t="s">
        <v>643</v>
      </c>
      <c r="G436" s="9" t="s">
        <v>755</v>
      </c>
      <c r="H436" s="9" t="s">
        <v>1417</v>
      </c>
      <c r="J436" s="9">
        <v>32</v>
      </c>
      <c r="K436" s="9">
        <v>45</v>
      </c>
      <c r="L436" s="9" t="s">
        <v>64</v>
      </c>
      <c r="M436" s="9" t="s">
        <v>567</v>
      </c>
      <c r="N436" s="9" t="s">
        <v>1418</v>
      </c>
      <c r="O436" s="9" t="s">
        <v>417</v>
      </c>
      <c r="P436" s="9">
        <v>0</v>
      </c>
      <c r="Q436" s="9" t="s">
        <v>1419</v>
      </c>
      <c r="R436" s="133">
        <v>0</v>
      </c>
      <c r="S436" s="100">
        <f t="shared" si="130"/>
        <v>100</v>
      </c>
      <c r="T436" s="100">
        <v>0</v>
      </c>
      <c r="U436" s="100">
        <v>0</v>
      </c>
      <c r="V436" s="133">
        <v>0</v>
      </c>
      <c r="W436" s="134">
        <f t="shared" si="131"/>
        <v>0</v>
      </c>
      <c r="X436" s="101">
        <v>7</v>
      </c>
      <c r="Y436" s="101">
        <f t="shared" si="132"/>
        <v>92</v>
      </c>
      <c r="Z436" s="101">
        <v>1</v>
      </c>
      <c r="AA436" s="164">
        <v>0</v>
      </c>
      <c r="AB436" s="101">
        <f t="shared" si="133"/>
        <v>0</v>
      </c>
      <c r="AC436" s="135">
        <v>0</v>
      </c>
      <c r="AD436" s="101">
        <v>0</v>
      </c>
      <c r="AE436" s="101">
        <f t="shared" si="134"/>
        <v>0</v>
      </c>
      <c r="AF436" s="135">
        <v>0</v>
      </c>
      <c r="AG436" s="9" t="s">
        <v>69</v>
      </c>
      <c r="AH436" s="29" t="s">
        <v>1420</v>
      </c>
      <c r="AI436" s="9" t="s">
        <v>1421</v>
      </c>
      <c r="AJ436" s="102"/>
      <c r="AN436" s="32"/>
      <c r="AO436" s="32"/>
      <c r="AP436" s="32"/>
      <c r="AQ436" s="32"/>
      <c r="AW436" s="32"/>
      <c r="AX436" s="32"/>
      <c r="AY436" s="32"/>
      <c r="AZ436" s="32"/>
    </row>
    <row r="437" spans="1:52" s="9" customFormat="1">
      <c r="A437" s="9" t="s">
        <v>1424</v>
      </c>
      <c r="B437" s="98" t="s">
        <v>1425</v>
      </c>
      <c r="C437" s="99" t="s">
        <v>1416</v>
      </c>
      <c r="D437" s="99" t="s">
        <v>642</v>
      </c>
      <c r="E437" s="9" t="s">
        <v>643</v>
      </c>
      <c r="G437" s="9" t="s">
        <v>755</v>
      </c>
      <c r="H437" s="9" t="s">
        <v>1417</v>
      </c>
      <c r="J437" s="9">
        <v>45</v>
      </c>
      <c r="K437" s="9">
        <v>63</v>
      </c>
      <c r="L437" s="9" t="s">
        <v>64</v>
      </c>
      <c r="M437" s="9" t="s">
        <v>567</v>
      </c>
      <c r="N437" s="9" t="s">
        <v>1418</v>
      </c>
      <c r="O437" s="9" t="s">
        <v>417</v>
      </c>
      <c r="P437" s="9">
        <v>0</v>
      </c>
      <c r="Q437" s="9" t="s">
        <v>1419</v>
      </c>
      <c r="R437" s="133">
        <v>0</v>
      </c>
      <c r="S437" s="100">
        <f t="shared" si="130"/>
        <v>100</v>
      </c>
      <c r="T437" s="100">
        <v>0</v>
      </c>
      <c r="U437" s="100">
        <v>0</v>
      </c>
      <c r="V437" s="133">
        <v>0</v>
      </c>
      <c r="W437" s="134">
        <f t="shared" si="131"/>
        <v>0</v>
      </c>
      <c r="X437" s="101">
        <v>7</v>
      </c>
      <c r="Y437" s="101">
        <f t="shared" si="132"/>
        <v>92</v>
      </c>
      <c r="Z437" s="101">
        <v>1</v>
      </c>
      <c r="AA437" s="133">
        <v>0</v>
      </c>
      <c r="AB437" s="101">
        <f t="shared" si="133"/>
        <v>0</v>
      </c>
      <c r="AC437" s="134">
        <v>0</v>
      </c>
      <c r="AD437" s="101">
        <v>0</v>
      </c>
      <c r="AE437" s="101">
        <f t="shared" si="134"/>
        <v>0</v>
      </c>
      <c r="AF437" s="134">
        <v>0</v>
      </c>
      <c r="AG437" s="9" t="s">
        <v>69</v>
      </c>
      <c r="AH437" s="29" t="s">
        <v>1420</v>
      </c>
      <c r="AI437" s="9" t="s">
        <v>1421</v>
      </c>
      <c r="AJ437" s="102"/>
      <c r="AN437" s="32"/>
      <c r="AO437" s="32"/>
      <c r="AP437" s="32"/>
      <c r="AQ437" s="32"/>
      <c r="AW437" s="32"/>
      <c r="AX437" s="32"/>
      <c r="AY437" s="32"/>
      <c r="AZ437" s="32"/>
    </row>
    <row r="438" spans="1:52" s="9" customFormat="1">
      <c r="A438" s="9" t="s">
        <v>1426</v>
      </c>
      <c r="B438" s="98" t="s">
        <v>1427</v>
      </c>
      <c r="C438" s="99" t="s">
        <v>1416</v>
      </c>
      <c r="D438" s="99" t="s">
        <v>642</v>
      </c>
      <c r="E438" s="9" t="s">
        <v>643</v>
      </c>
      <c r="G438" s="9" t="s">
        <v>755</v>
      </c>
      <c r="H438" s="9" t="s">
        <v>1417</v>
      </c>
      <c r="J438" s="9">
        <v>63</v>
      </c>
      <c r="K438" s="9">
        <v>75</v>
      </c>
      <c r="L438" s="9" t="s">
        <v>64</v>
      </c>
      <c r="M438" s="9" t="s">
        <v>567</v>
      </c>
      <c r="N438" s="9" t="s">
        <v>1418</v>
      </c>
      <c r="O438" s="9" t="s">
        <v>417</v>
      </c>
      <c r="P438" s="9">
        <v>0</v>
      </c>
      <c r="Q438" s="9" t="s">
        <v>1419</v>
      </c>
      <c r="R438" s="133">
        <v>0</v>
      </c>
      <c r="S438" s="100">
        <f t="shared" si="130"/>
        <v>100</v>
      </c>
      <c r="T438" s="100">
        <v>0</v>
      </c>
      <c r="U438" s="100">
        <v>0</v>
      </c>
      <c r="V438" s="133">
        <v>0</v>
      </c>
      <c r="W438" s="134">
        <f t="shared" si="131"/>
        <v>0</v>
      </c>
      <c r="X438" s="101">
        <v>7</v>
      </c>
      <c r="Y438" s="101">
        <f t="shared" si="132"/>
        <v>92</v>
      </c>
      <c r="Z438" s="101">
        <v>1</v>
      </c>
      <c r="AA438" s="164">
        <v>0</v>
      </c>
      <c r="AB438" s="101">
        <f t="shared" si="133"/>
        <v>0</v>
      </c>
      <c r="AC438" s="135">
        <v>0</v>
      </c>
      <c r="AD438" s="101">
        <v>0</v>
      </c>
      <c r="AE438" s="101">
        <f t="shared" si="134"/>
        <v>0</v>
      </c>
      <c r="AF438" s="135">
        <v>0</v>
      </c>
      <c r="AG438" s="9" t="s">
        <v>69</v>
      </c>
      <c r="AH438" s="29" t="s">
        <v>1420</v>
      </c>
      <c r="AI438" s="9" t="s">
        <v>1421</v>
      </c>
      <c r="AJ438" s="102"/>
      <c r="AN438" s="32"/>
      <c r="AO438" s="32"/>
      <c r="AP438" s="32"/>
      <c r="AQ438" s="32"/>
      <c r="AW438" s="32"/>
      <c r="AX438" s="32"/>
      <c r="AY438" s="32"/>
      <c r="AZ438" s="32"/>
    </row>
    <row r="439" spans="1:52" s="9" customFormat="1">
      <c r="A439" s="9" t="s">
        <v>1428</v>
      </c>
      <c r="B439" s="98" t="s">
        <v>1429</v>
      </c>
      <c r="C439" s="99" t="s">
        <v>1416</v>
      </c>
      <c r="D439" s="99" t="s">
        <v>642</v>
      </c>
      <c r="E439" s="9" t="s">
        <v>643</v>
      </c>
      <c r="G439" s="9" t="s">
        <v>755</v>
      </c>
      <c r="H439" s="9" t="s">
        <v>1417</v>
      </c>
      <c r="J439" s="9">
        <v>75</v>
      </c>
      <c r="K439" s="9">
        <v>125</v>
      </c>
      <c r="L439" s="9" t="s">
        <v>64</v>
      </c>
      <c r="M439" s="9" t="s">
        <v>567</v>
      </c>
      <c r="N439" s="9" t="s">
        <v>1418</v>
      </c>
      <c r="O439" s="9" t="s">
        <v>417</v>
      </c>
      <c r="P439" s="9">
        <v>0</v>
      </c>
      <c r="Q439" s="9" t="s">
        <v>1419</v>
      </c>
      <c r="R439" s="133">
        <v>0</v>
      </c>
      <c r="S439" s="100">
        <f t="shared" si="130"/>
        <v>100</v>
      </c>
      <c r="T439" s="100">
        <v>0</v>
      </c>
      <c r="U439" s="100">
        <v>0</v>
      </c>
      <c r="V439" s="133">
        <v>0</v>
      </c>
      <c r="W439" s="134">
        <f t="shared" si="131"/>
        <v>0</v>
      </c>
      <c r="X439" s="101">
        <v>7</v>
      </c>
      <c r="Y439" s="101">
        <f t="shared" si="132"/>
        <v>92</v>
      </c>
      <c r="Z439" s="101">
        <v>1</v>
      </c>
      <c r="AA439" s="133">
        <v>0</v>
      </c>
      <c r="AB439" s="101">
        <f t="shared" si="133"/>
        <v>0</v>
      </c>
      <c r="AC439" s="134">
        <v>0</v>
      </c>
      <c r="AD439" s="101">
        <v>0</v>
      </c>
      <c r="AE439" s="101">
        <f t="shared" si="134"/>
        <v>0</v>
      </c>
      <c r="AF439" s="134">
        <v>0</v>
      </c>
      <c r="AG439" s="9" t="s">
        <v>69</v>
      </c>
      <c r="AH439" s="29" t="s">
        <v>1420</v>
      </c>
      <c r="AI439" s="9" t="s">
        <v>1421</v>
      </c>
      <c r="AJ439" s="102"/>
      <c r="AN439" s="32"/>
      <c r="AO439" s="32"/>
      <c r="AP439" s="32"/>
      <c r="AQ439" s="32"/>
      <c r="AW439" s="32"/>
      <c r="AX439" s="32"/>
      <c r="AY439" s="32"/>
      <c r="AZ439" s="32"/>
    </row>
    <row r="440" spans="1:52" s="9" customFormat="1">
      <c r="A440" s="9" t="s">
        <v>1430</v>
      </c>
      <c r="B440" s="98" t="s">
        <v>1431</v>
      </c>
      <c r="C440" s="99" t="s">
        <v>162</v>
      </c>
      <c r="D440" s="99" t="s">
        <v>60</v>
      </c>
      <c r="E440" s="9" t="s">
        <v>643</v>
      </c>
      <c r="G440" s="9" t="s">
        <v>755</v>
      </c>
      <c r="H440" s="9" t="s">
        <v>1432</v>
      </c>
      <c r="J440" s="9">
        <v>75</v>
      </c>
      <c r="K440" s="9">
        <v>150</v>
      </c>
      <c r="L440" s="9" t="s">
        <v>64</v>
      </c>
      <c r="M440" s="9" t="s">
        <v>65</v>
      </c>
      <c r="N440" s="9" t="s">
        <v>1173</v>
      </c>
      <c r="O440" s="9" t="s">
        <v>1004</v>
      </c>
      <c r="P440" s="9">
        <v>0</v>
      </c>
      <c r="Q440" s="9" t="s">
        <v>1433</v>
      </c>
      <c r="R440" s="133">
        <v>0</v>
      </c>
      <c r="S440" s="100">
        <f t="shared" si="130"/>
        <v>100</v>
      </c>
      <c r="T440" s="100">
        <v>0</v>
      </c>
      <c r="U440" s="100">
        <v>0</v>
      </c>
      <c r="V440" s="133">
        <v>0</v>
      </c>
      <c r="W440" s="134">
        <f t="shared" si="131"/>
        <v>0</v>
      </c>
      <c r="X440" s="101">
        <f>(48+49)/2</f>
        <v>48.5</v>
      </c>
      <c r="Y440" s="101">
        <f t="shared" si="132"/>
        <v>49.5</v>
      </c>
      <c r="Z440" s="101">
        <v>2</v>
      </c>
      <c r="AA440" s="164">
        <v>0</v>
      </c>
      <c r="AB440" s="101">
        <f t="shared" si="133"/>
        <v>0</v>
      </c>
      <c r="AC440" s="135">
        <v>0</v>
      </c>
      <c r="AD440" s="101">
        <v>0</v>
      </c>
      <c r="AE440" s="101">
        <f t="shared" si="134"/>
        <v>0</v>
      </c>
      <c r="AF440" s="135">
        <v>0</v>
      </c>
      <c r="AG440" s="9" t="s">
        <v>69</v>
      </c>
      <c r="AH440" s="9" t="s">
        <v>1176</v>
      </c>
      <c r="AI440" s="102"/>
      <c r="AJ440" s="102"/>
      <c r="AN440" s="32"/>
      <c r="AO440" s="32"/>
      <c r="AP440" s="32"/>
      <c r="AQ440" s="32"/>
      <c r="AW440" s="32"/>
      <c r="AX440" s="32"/>
      <c r="AY440" s="32"/>
      <c r="AZ440" s="32"/>
    </row>
    <row r="441" spans="1:52" s="9" customFormat="1">
      <c r="A441" s="9" t="s">
        <v>1434</v>
      </c>
      <c r="B441" s="98" t="s">
        <v>1435</v>
      </c>
      <c r="C441" s="99" t="s">
        <v>162</v>
      </c>
      <c r="D441" s="99" t="s">
        <v>60</v>
      </c>
      <c r="E441" s="9" t="s">
        <v>643</v>
      </c>
      <c r="G441" s="9" t="s">
        <v>755</v>
      </c>
      <c r="H441" s="9" t="s">
        <v>997</v>
      </c>
      <c r="J441" s="9">
        <v>37</v>
      </c>
      <c r="K441" s="9">
        <v>63</v>
      </c>
      <c r="L441" s="9" t="s">
        <v>64</v>
      </c>
      <c r="M441" s="9" t="s">
        <v>65</v>
      </c>
      <c r="N441" s="9" t="s">
        <v>1173</v>
      </c>
      <c r="O441" s="9" t="s">
        <v>1004</v>
      </c>
      <c r="P441" s="9">
        <v>0</v>
      </c>
      <c r="Q441" s="9" t="s">
        <v>1436</v>
      </c>
      <c r="R441" s="133">
        <v>0</v>
      </c>
      <c r="S441" s="100">
        <f t="shared" si="130"/>
        <v>100</v>
      </c>
      <c r="T441" s="100">
        <v>0</v>
      </c>
      <c r="U441" s="100">
        <v>0</v>
      </c>
      <c r="V441" s="133">
        <v>0</v>
      </c>
      <c r="W441" s="134">
        <f t="shared" si="131"/>
        <v>0</v>
      </c>
      <c r="X441" s="100">
        <f>(47+51)/2</f>
        <v>49</v>
      </c>
      <c r="Y441" s="101">
        <f t="shared" si="132"/>
        <v>49</v>
      </c>
      <c r="Z441" s="100">
        <v>2</v>
      </c>
      <c r="AA441" s="133">
        <v>0</v>
      </c>
      <c r="AB441" s="101">
        <f t="shared" si="133"/>
        <v>0</v>
      </c>
      <c r="AC441" s="134">
        <v>0</v>
      </c>
      <c r="AD441" s="101">
        <v>0</v>
      </c>
      <c r="AE441" s="101">
        <f t="shared" si="134"/>
        <v>0</v>
      </c>
      <c r="AF441" s="134">
        <v>0</v>
      </c>
      <c r="AG441" s="9" t="s">
        <v>69</v>
      </c>
      <c r="AH441" s="29" t="s">
        <v>1437</v>
      </c>
      <c r="AI441" s="9" t="s">
        <v>1438</v>
      </c>
      <c r="AJ441" s="102"/>
      <c r="AN441" s="32"/>
      <c r="AO441" s="32"/>
      <c r="AP441" s="32"/>
      <c r="AQ441" s="32"/>
      <c r="AW441" s="32"/>
      <c r="AX441" s="32"/>
      <c r="AY441" s="32"/>
      <c r="AZ441" s="32"/>
    </row>
    <row r="442" spans="1:52" s="9" customFormat="1">
      <c r="A442" s="9" t="s">
        <v>1439</v>
      </c>
      <c r="B442" s="98" t="s">
        <v>1440</v>
      </c>
      <c r="C442" s="99" t="s">
        <v>162</v>
      </c>
      <c r="D442" s="99" t="s">
        <v>642</v>
      </c>
      <c r="E442" s="9" t="s">
        <v>643</v>
      </c>
      <c r="G442" s="9" t="s">
        <v>1195</v>
      </c>
      <c r="H442" s="9" t="s">
        <v>1440</v>
      </c>
      <c r="J442" s="9">
        <v>0</v>
      </c>
      <c r="K442" s="9">
        <v>250</v>
      </c>
      <c r="M442" s="9" t="s">
        <v>1441</v>
      </c>
      <c r="N442" s="9" t="s">
        <v>1442</v>
      </c>
      <c r="O442" s="9" t="s">
        <v>1443</v>
      </c>
      <c r="P442" s="9">
        <v>0</v>
      </c>
      <c r="Q442" s="9" t="s">
        <v>1444</v>
      </c>
      <c r="R442" s="133">
        <v>0</v>
      </c>
      <c r="S442" s="100">
        <f t="shared" si="130"/>
        <v>100</v>
      </c>
      <c r="T442" s="100">
        <v>0</v>
      </c>
      <c r="U442" s="100">
        <v>0</v>
      </c>
      <c r="V442" s="133">
        <v>0</v>
      </c>
      <c r="W442" s="134">
        <f t="shared" si="131"/>
        <v>0</v>
      </c>
      <c r="X442" s="100">
        <v>12.63</v>
      </c>
      <c r="Y442" s="101">
        <f t="shared" si="132"/>
        <v>86.59</v>
      </c>
      <c r="Z442" s="100">
        <v>0.78</v>
      </c>
      <c r="AA442" s="164">
        <v>0</v>
      </c>
      <c r="AB442" s="101">
        <f t="shared" si="133"/>
        <v>0</v>
      </c>
      <c r="AC442" s="135">
        <v>0</v>
      </c>
      <c r="AD442" s="101">
        <v>0</v>
      </c>
      <c r="AE442" s="101">
        <f t="shared" si="134"/>
        <v>0</v>
      </c>
      <c r="AF442" s="135">
        <v>0</v>
      </c>
      <c r="AG442" s="9" t="s">
        <v>69</v>
      </c>
      <c r="AH442" s="9" t="s">
        <v>1445</v>
      </c>
      <c r="AN442" s="32"/>
      <c r="AO442" s="32"/>
      <c r="AP442" s="32"/>
      <c r="AQ442" s="32"/>
      <c r="AW442" s="32"/>
      <c r="AX442" s="32"/>
      <c r="AY442" s="32"/>
      <c r="AZ442" s="32"/>
    </row>
    <row r="443" spans="1:52" s="9" customFormat="1">
      <c r="A443" s="9" t="s">
        <v>1446</v>
      </c>
      <c r="B443" s="98" t="s">
        <v>1440</v>
      </c>
      <c r="C443" s="99" t="s">
        <v>162</v>
      </c>
      <c r="D443" s="99" t="s">
        <v>642</v>
      </c>
      <c r="E443" s="9" t="s">
        <v>643</v>
      </c>
      <c r="G443" s="9" t="s">
        <v>1195</v>
      </c>
      <c r="H443" s="9" t="s">
        <v>1440</v>
      </c>
      <c r="J443" s="9">
        <v>0</v>
      </c>
      <c r="K443" s="9">
        <v>150</v>
      </c>
      <c r="L443" s="9" t="s">
        <v>64</v>
      </c>
      <c r="M443" s="9" t="s">
        <v>26</v>
      </c>
      <c r="N443" s="9" t="s">
        <v>1447</v>
      </c>
      <c r="O443" s="9" t="s">
        <v>1443</v>
      </c>
      <c r="P443" s="9">
        <v>0</v>
      </c>
      <c r="Q443" s="9" t="s">
        <v>1448</v>
      </c>
      <c r="R443" s="133">
        <v>0</v>
      </c>
      <c r="S443" s="100">
        <f t="shared" si="130"/>
        <v>100</v>
      </c>
      <c r="T443" s="100">
        <v>0</v>
      </c>
      <c r="U443" s="100">
        <v>0</v>
      </c>
      <c r="V443" s="133">
        <v>0</v>
      </c>
      <c r="W443" s="134">
        <f t="shared" si="131"/>
        <v>0</v>
      </c>
      <c r="X443" s="100">
        <v>12.63</v>
      </c>
      <c r="Y443" s="101">
        <f t="shared" si="132"/>
        <v>86.59</v>
      </c>
      <c r="Z443" s="100">
        <v>0.78</v>
      </c>
      <c r="AA443" s="133">
        <v>0</v>
      </c>
      <c r="AB443" s="101">
        <f t="shared" si="133"/>
        <v>0</v>
      </c>
      <c r="AC443" s="134">
        <v>0</v>
      </c>
      <c r="AD443" s="101">
        <v>0</v>
      </c>
      <c r="AE443" s="101">
        <f t="shared" si="134"/>
        <v>0</v>
      </c>
      <c r="AF443" s="134">
        <v>0</v>
      </c>
      <c r="AG443" s="9" t="s">
        <v>69</v>
      </c>
      <c r="AH443" s="9" t="s">
        <v>1445</v>
      </c>
      <c r="AN443" s="32"/>
      <c r="AO443" s="32"/>
      <c r="AP443" s="32"/>
      <c r="AQ443" s="32"/>
      <c r="AW443" s="32"/>
      <c r="AX443" s="32"/>
      <c r="AY443" s="32"/>
      <c r="AZ443" s="32"/>
    </row>
    <row r="444" spans="1:52" s="9" customFormat="1">
      <c r="A444" s="9" t="s">
        <v>1449</v>
      </c>
      <c r="B444" s="98" t="s">
        <v>1440</v>
      </c>
      <c r="C444" s="99" t="s">
        <v>162</v>
      </c>
      <c r="D444" s="99" t="s">
        <v>642</v>
      </c>
      <c r="E444" s="9" t="s">
        <v>643</v>
      </c>
      <c r="G444" s="9" t="s">
        <v>1195</v>
      </c>
      <c r="H444" s="9" t="s">
        <v>1440</v>
      </c>
      <c r="J444" s="9">
        <v>125</v>
      </c>
      <c r="K444" s="9">
        <v>250</v>
      </c>
      <c r="N444" s="9" t="s">
        <v>1442</v>
      </c>
      <c r="O444" s="9" t="s">
        <v>1443</v>
      </c>
      <c r="P444" s="9">
        <v>0</v>
      </c>
      <c r="Q444" s="9" t="s">
        <v>1450</v>
      </c>
      <c r="R444" s="133">
        <v>0</v>
      </c>
      <c r="S444" s="100">
        <f t="shared" si="130"/>
        <v>100</v>
      </c>
      <c r="T444" s="100">
        <v>0</v>
      </c>
      <c r="U444" s="100">
        <v>0</v>
      </c>
      <c r="V444" s="133">
        <v>0</v>
      </c>
      <c r="W444" s="134">
        <f t="shared" si="131"/>
        <v>0</v>
      </c>
      <c r="X444" s="100">
        <v>12.63</v>
      </c>
      <c r="Y444" s="101">
        <f t="shared" si="132"/>
        <v>86.59</v>
      </c>
      <c r="Z444" s="100">
        <v>0.78</v>
      </c>
      <c r="AA444" s="133">
        <v>0</v>
      </c>
      <c r="AB444" s="101">
        <f t="shared" si="133"/>
        <v>0</v>
      </c>
      <c r="AC444" s="134">
        <v>0</v>
      </c>
      <c r="AD444" s="101">
        <v>0</v>
      </c>
      <c r="AE444" s="101">
        <f t="shared" si="134"/>
        <v>0</v>
      </c>
      <c r="AF444" s="135">
        <v>0</v>
      </c>
      <c r="AG444" s="9" t="s">
        <v>69</v>
      </c>
      <c r="AH444" s="9" t="s">
        <v>1445</v>
      </c>
      <c r="AN444" s="32"/>
      <c r="AO444" s="32"/>
      <c r="AP444" s="32"/>
      <c r="AQ444" s="32"/>
      <c r="AW444" s="32"/>
      <c r="AX444" s="32"/>
      <c r="AY444" s="32"/>
      <c r="AZ444" s="32"/>
    </row>
    <row r="445" spans="1:52" s="9" customFormat="1">
      <c r="A445" s="9" t="s">
        <v>1451</v>
      </c>
      <c r="B445" s="98" t="s">
        <v>1440</v>
      </c>
      <c r="C445" s="99" t="s">
        <v>162</v>
      </c>
      <c r="D445" s="99" t="s">
        <v>642</v>
      </c>
      <c r="E445" s="9" t="s">
        <v>643</v>
      </c>
      <c r="G445" s="9" t="s">
        <v>1195</v>
      </c>
      <c r="H445" s="9" t="s">
        <v>1440</v>
      </c>
      <c r="J445" s="9">
        <v>63</v>
      </c>
      <c r="K445" s="9">
        <v>125</v>
      </c>
      <c r="L445" s="9" t="s">
        <v>64</v>
      </c>
      <c r="M445" s="9" t="s">
        <v>26</v>
      </c>
      <c r="N445" s="9" t="s">
        <v>1442</v>
      </c>
      <c r="O445" s="9" t="s">
        <v>1443</v>
      </c>
      <c r="P445" s="9">
        <v>0</v>
      </c>
      <c r="R445" s="133">
        <v>0</v>
      </c>
      <c r="S445" s="100">
        <f t="shared" si="130"/>
        <v>100</v>
      </c>
      <c r="T445" s="100">
        <v>0</v>
      </c>
      <c r="U445" s="100">
        <v>0</v>
      </c>
      <c r="V445" s="133">
        <v>0</v>
      </c>
      <c r="W445" s="134">
        <f t="shared" si="131"/>
        <v>0</v>
      </c>
      <c r="X445" s="100">
        <v>12.63</v>
      </c>
      <c r="Y445" s="101">
        <f t="shared" si="132"/>
        <v>86.59</v>
      </c>
      <c r="Z445" s="100">
        <v>0.78</v>
      </c>
      <c r="AA445" s="164">
        <v>0</v>
      </c>
      <c r="AB445" s="101">
        <f t="shared" si="133"/>
        <v>0</v>
      </c>
      <c r="AC445" s="135">
        <v>0</v>
      </c>
      <c r="AD445" s="101">
        <v>0</v>
      </c>
      <c r="AE445" s="101">
        <f t="shared" si="134"/>
        <v>0</v>
      </c>
      <c r="AF445" s="134">
        <v>0</v>
      </c>
      <c r="AG445" s="9" t="s">
        <v>69</v>
      </c>
      <c r="AH445" s="9" t="s">
        <v>1445</v>
      </c>
      <c r="AN445" s="32"/>
      <c r="AO445" s="32"/>
      <c r="AP445" s="32"/>
      <c r="AQ445" s="32"/>
      <c r="AW445" s="32"/>
      <c r="AX445" s="32"/>
      <c r="AY445" s="32"/>
      <c r="AZ445" s="32"/>
    </row>
    <row r="446" spans="1:52" s="9" customFormat="1">
      <c r="A446" s="9" t="s">
        <v>1452</v>
      </c>
      <c r="B446" s="98" t="s">
        <v>1440</v>
      </c>
      <c r="C446" s="99" t="s">
        <v>162</v>
      </c>
      <c r="D446" s="99" t="s">
        <v>642</v>
      </c>
      <c r="E446" s="9" t="s">
        <v>643</v>
      </c>
      <c r="G446" s="9" t="s">
        <v>1195</v>
      </c>
      <c r="H446" s="9" t="s">
        <v>1440</v>
      </c>
      <c r="J446" s="9">
        <v>75</v>
      </c>
      <c r="K446" s="9">
        <v>125</v>
      </c>
      <c r="L446" s="9" t="s">
        <v>64</v>
      </c>
      <c r="M446" s="9" t="s">
        <v>26</v>
      </c>
      <c r="N446" s="9" t="s">
        <v>1453</v>
      </c>
      <c r="O446" s="9" t="s">
        <v>1454</v>
      </c>
      <c r="P446" s="9">
        <v>0</v>
      </c>
      <c r="R446" s="133">
        <v>0</v>
      </c>
      <c r="S446" s="100">
        <f t="shared" si="130"/>
        <v>100</v>
      </c>
      <c r="T446" s="100">
        <v>0</v>
      </c>
      <c r="U446" s="100">
        <v>0</v>
      </c>
      <c r="V446" s="133">
        <v>0</v>
      </c>
      <c r="W446" s="134">
        <f t="shared" si="131"/>
        <v>0</v>
      </c>
      <c r="X446" s="101">
        <f>0.019/2*100</f>
        <v>0.95</v>
      </c>
      <c r="Y446" s="101">
        <f t="shared" si="132"/>
        <v>99.05</v>
      </c>
      <c r="Z446" s="100">
        <v>0</v>
      </c>
      <c r="AA446" s="164">
        <v>0</v>
      </c>
      <c r="AB446" s="101">
        <f t="shared" si="133"/>
        <v>0</v>
      </c>
      <c r="AC446" s="135">
        <v>0</v>
      </c>
      <c r="AD446" s="101">
        <v>0</v>
      </c>
      <c r="AE446" s="101">
        <f t="shared" si="134"/>
        <v>0</v>
      </c>
      <c r="AF446" s="135">
        <v>0</v>
      </c>
      <c r="AG446" s="9" t="s">
        <v>69</v>
      </c>
      <c r="AH446" s="29" t="s">
        <v>1455</v>
      </c>
      <c r="AN446" s="32"/>
      <c r="AO446" s="32"/>
      <c r="AP446" s="32"/>
      <c r="AQ446" s="32"/>
      <c r="AW446" s="32"/>
      <c r="AX446" s="32"/>
      <c r="AY446" s="32"/>
      <c r="AZ446" s="32"/>
    </row>
    <row r="447" spans="1:52" s="9" customFormat="1">
      <c r="A447" s="9" t="s">
        <v>1456</v>
      </c>
      <c r="B447" s="98" t="s">
        <v>1457</v>
      </c>
      <c r="C447" s="99" t="s">
        <v>162</v>
      </c>
      <c r="D447" s="99" t="s">
        <v>642</v>
      </c>
      <c r="E447" s="9" t="s">
        <v>643</v>
      </c>
      <c r="G447" s="9" t="s">
        <v>1195</v>
      </c>
      <c r="H447" s="9" t="s">
        <v>1440</v>
      </c>
      <c r="J447" s="9">
        <v>0</v>
      </c>
      <c r="K447" s="9">
        <v>45</v>
      </c>
      <c r="L447" s="9" t="s">
        <v>64</v>
      </c>
      <c r="M447" s="9" t="s">
        <v>26</v>
      </c>
      <c r="N447" s="9" t="s">
        <v>1442</v>
      </c>
      <c r="O447" s="9" t="s">
        <v>769</v>
      </c>
      <c r="P447" s="9">
        <v>36</v>
      </c>
      <c r="Q447" s="9" t="s">
        <v>1458</v>
      </c>
      <c r="R447" s="133">
        <v>0</v>
      </c>
      <c r="S447" s="100">
        <f t="shared" si="130"/>
        <v>100</v>
      </c>
      <c r="T447" s="100">
        <v>0</v>
      </c>
      <c r="U447" s="100">
        <v>0</v>
      </c>
      <c r="V447" s="133">
        <v>0</v>
      </c>
      <c r="W447" s="134">
        <f t="shared" si="131"/>
        <v>0</v>
      </c>
      <c r="X447" s="101">
        <f>INDEX(Chemical_analyses!$A:$L, MATCH($P447, Chemical_analyses!$A:$A), 9)/$R$2/(INDEX(Chemical_analyses!$A:$L, MATCH($P447, Chemical_analyses!$A:$A), 9)/$R$2+INDEX(Chemical_analyses!$A:$L, MATCH($P447, Chemical_analyses!$A:$A), 11)/$S$2+INDEX(Chemical_analyses!$A:$L, MATCH($P447, Chemical_analyses!$A:$A), 12)/$T$2)*100</f>
        <v>12.62939849179531</v>
      </c>
      <c r="Y447" s="101">
        <f t="shared" si="132"/>
        <v>86.592887132451722</v>
      </c>
      <c r="Z447" s="101">
        <f>INDEX(Chemical_analyses!$A:$L, MATCH($P447, Chemical_analyses!$A:$A), 12)/$T$2/(INDEX(Chemical_analyses!$A:$L, MATCH($P447, Chemical_analyses!$A:$A), 9)/$R$2+INDEX(Chemical_analyses!$A:$L, MATCH($P447, Chemical_analyses!$A:$A), 11)/$S$2+INDEX(Chemical_analyses!$A:$L, MATCH($P447, Chemical_analyses!$A:$A), 12)/$T$2)*100</f>
        <v>0.77771437575295999</v>
      </c>
      <c r="AA447" s="133">
        <v>0</v>
      </c>
      <c r="AB447" s="101">
        <f t="shared" si="133"/>
        <v>0</v>
      </c>
      <c r="AC447" s="134">
        <v>0</v>
      </c>
      <c r="AD447" s="101">
        <v>0</v>
      </c>
      <c r="AE447" s="101">
        <f t="shared" si="134"/>
        <v>0</v>
      </c>
      <c r="AF447" s="134">
        <v>0</v>
      </c>
      <c r="AG447" s="9" t="s">
        <v>69</v>
      </c>
      <c r="AH447" s="102" t="str">
        <f>_xlfn.CONCAT("FeO: ", INDEX(Chemical_analyses!$A:$M, MATCH($P447, Chemical_analyses!$A:$A), 9), ", MgO: ", INDEX(Chemical_analyses!$A:$M, MATCH($P447, Chemical_analyses!$A:$A), 11), ", CaO: ", INDEX(Chemical_analyses!$A:$M, MATCH($P447, Chemical_analyses!$A:$A), 12), ", MnO: ", INDEX(Chemical_analyses!$A:$M, MATCH($P447, Chemical_analyses!$A:$A), 10), ", NaO2: ", INDEX(Chemical_analyses!$A:$M, MATCH($P447, Chemical_analyses!$A:$A), 13), ", Fe2O3: ", INDEX(Chemical_analyses!$A:$M, MATCH($P447, Chemical_analyses!$A:$A), 8), ", Al2O3: ", INDEX(Chemical_analyses!$A:$M, MATCH($P447, Chemical_analyses!$A:$A), 6))</f>
        <v>FeO: 8.53, MgO: 32.81, CaO: 0.41, MnO: 0.19, NaO2: 0.01, Fe2O3: 0, Al2O3: 1.02</v>
      </c>
      <c r="AN447" s="32"/>
      <c r="AO447" s="32"/>
      <c r="AP447" s="32"/>
      <c r="AQ447" s="32"/>
      <c r="AW447" s="32"/>
      <c r="AX447" s="32"/>
      <c r="AY447" s="32"/>
      <c r="AZ447" s="32"/>
    </row>
    <row r="448" spans="1:52" s="9" customFormat="1">
      <c r="A448" s="9" t="s">
        <v>1459</v>
      </c>
      <c r="B448" s="98" t="s">
        <v>1460</v>
      </c>
      <c r="C448" s="99" t="s">
        <v>162</v>
      </c>
      <c r="D448" s="99" t="s">
        <v>642</v>
      </c>
      <c r="E448" s="9" t="s">
        <v>643</v>
      </c>
      <c r="G448" s="9" t="s">
        <v>1195</v>
      </c>
      <c r="H448" s="9" t="s">
        <v>1440</v>
      </c>
      <c r="J448" s="9">
        <v>45</v>
      </c>
      <c r="K448" s="9">
        <v>75</v>
      </c>
      <c r="L448" s="9" t="s">
        <v>64</v>
      </c>
      <c r="M448" s="9" t="s">
        <v>26</v>
      </c>
      <c r="N448" s="9" t="s">
        <v>1442</v>
      </c>
      <c r="O448" s="9" t="s">
        <v>769</v>
      </c>
      <c r="P448" s="9">
        <v>36</v>
      </c>
      <c r="Q448" s="9" t="s">
        <v>1461</v>
      </c>
      <c r="R448" s="133">
        <v>0</v>
      </c>
      <c r="S448" s="100">
        <f t="shared" si="130"/>
        <v>100</v>
      </c>
      <c r="T448" s="100">
        <v>0</v>
      </c>
      <c r="U448" s="100">
        <v>0</v>
      </c>
      <c r="V448" s="133">
        <v>0</v>
      </c>
      <c r="W448" s="134">
        <f t="shared" si="131"/>
        <v>0</v>
      </c>
      <c r="X448" s="101">
        <f>INDEX(Chemical_analyses!$A:$L, MATCH($P448, Chemical_analyses!$A:$A), 9)/$R$2/(INDEX(Chemical_analyses!$A:$L, MATCH($P448, Chemical_analyses!$A:$A), 9)/$R$2+INDEX(Chemical_analyses!$A:$L, MATCH($P448, Chemical_analyses!$A:$A), 11)/$S$2+INDEX(Chemical_analyses!$A:$L, MATCH($P448, Chemical_analyses!$A:$A), 12)/$T$2)*100</f>
        <v>12.62939849179531</v>
      </c>
      <c r="Y448" s="101">
        <f t="shared" si="132"/>
        <v>86.592887132451722</v>
      </c>
      <c r="Z448" s="101">
        <f>INDEX(Chemical_analyses!$A:$L, MATCH($P448, Chemical_analyses!$A:$A), 12)/$T$2/(INDEX(Chemical_analyses!$A:$L, MATCH($P448, Chemical_analyses!$A:$A), 9)/$R$2+INDEX(Chemical_analyses!$A:$L, MATCH($P448, Chemical_analyses!$A:$A), 11)/$S$2+INDEX(Chemical_analyses!$A:$L, MATCH($P448, Chemical_analyses!$A:$A), 12)/$T$2)*100</f>
        <v>0.77771437575295999</v>
      </c>
      <c r="AA448" s="164">
        <v>0</v>
      </c>
      <c r="AB448" s="101">
        <f t="shared" si="133"/>
        <v>0</v>
      </c>
      <c r="AC448" s="135">
        <v>0</v>
      </c>
      <c r="AD448" s="101">
        <v>0</v>
      </c>
      <c r="AE448" s="101">
        <f t="shared" si="134"/>
        <v>0</v>
      </c>
      <c r="AF448" s="135">
        <v>0</v>
      </c>
      <c r="AG448" s="9" t="s">
        <v>69</v>
      </c>
      <c r="AH448" s="102" t="str">
        <f>_xlfn.CONCAT("FeO: ", INDEX(Chemical_analyses!$A:$M, MATCH($P448, Chemical_analyses!$A:$A), 9), ", MgO: ", INDEX(Chemical_analyses!$A:$M, MATCH($P448, Chemical_analyses!$A:$A), 11), ", CaO: ", INDEX(Chemical_analyses!$A:$M, MATCH($P448, Chemical_analyses!$A:$A), 12), ", MnO: ", INDEX(Chemical_analyses!$A:$M, MATCH($P448, Chemical_analyses!$A:$A), 10), ", NaO2: ", INDEX(Chemical_analyses!$A:$M, MATCH($P448, Chemical_analyses!$A:$A), 13), ", Fe2O3: ", INDEX(Chemical_analyses!$A:$M, MATCH($P448, Chemical_analyses!$A:$A), 8), ", Al2O3: ", INDEX(Chemical_analyses!$A:$M, MATCH($P448, Chemical_analyses!$A:$A), 6))</f>
        <v>FeO: 8.53, MgO: 32.81, CaO: 0.41, MnO: 0.19, NaO2: 0.01, Fe2O3: 0, Al2O3: 1.02</v>
      </c>
      <c r="AN448" s="32"/>
      <c r="AO448" s="32"/>
      <c r="AP448" s="32"/>
      <c r="AQ448" s="32"/>
      <c r="AW448" s="32"/>
      <c r="AX448" s="32"/>
      <c r="AY448" s="32"/>
      <c r="AZ448" s="32"/>
    </row>
    <row r="449" spans="1:52" s="9" customFormat="1">
      <c r="A449" s="9" t="s">
        <v>1462</v>
      </c>
      <c r="B449" s="98" t="s">
        <v>1463</v>
      </c>
      <c r="C449" s="99" t="s">
        <v>162</v>
      </c>
      <c r="D449" s="99" t="s">
        <v>642</v>
      </c>
      <c r="E449" s="9" t="s">
        <v>643</v>
      </c>
      <c r="G449" s="9" t="s">
        <v>755</v>
      </c>
      <c r="H449" s="9" t="s">
        <v>1440</v>
      </c>
      <c r="J449" s="9">
        <v>75</v>
      </c>
      <c r="K449" s="9">
        <v>125</v>
      </c>
      <c r="L449" s="9" t="s">
        <v>64</v>
      </c>
      <c r="M449" s="9" t="s">
        <v>26</v>
      </c>
      <c r="N449" s="9" t="s">
        <v>1442</v>
      </c>
      <c r="O449" s="9" t="s">
        <v>769</v>
      </c>
      <c r="P449" s="9">
        <v>36</v>
      </c>
      <c r="Q449" s="9" t="s">
        <v>1461</v>
      </c>
      <c r="R449" s="133">
        <v>0</v>
      </c>
      <c r="S449" s="100">
        <f t="shared" si="130"/>
        <v>100</v>
      </c>
      <c r="T449" s="100">
        <v>0</v>
      </c>
      <c r="U449" s="100">
        <v>0</v>
      </c>
      <c r="V449" s="133">
        <v>0</v>
      </c>
      <c r="W449" s="134">
        <f t="shared" si="131"/>
        <v>0</v>
      </c>
      <c r="X449" s="101">
        <f>INDEX(Chemical_analyses!$A:$L, MATCH($P449, Chemical_analyses!$A:$A), 9)/$R$2/(INDEX(Chemical_analyses!$A:$L, MATCH($P449, Chemical_analyses!$A:$A), 9)/$R$2+INDEX(Chemical_analyses!$A:$L, MATCH($P449, Chemical_analyses!$A:$A), 11)/$S$2+INDEX(Chemical_analyses!$A:$L, MATCH($P449, Chemical_analyses!$A:$A), 12)/$T$2)*100</f>
        <v>12.62939849179531</v>
      </c>
      <c r="Y449" s="101">
        <f t="shared" si="132"/>
        <v>86.592887132451722</v>
      </c>
      <c r="Z449" s="101">
        <f>INDEX(Chemical_analyses!$A:$L, MATCH($P449, Chemical_analyses!$A:$A), 12)/$T$2/(INDEX(Chemical_analyses!$A:$L, MATCH($P449, Chemical_analyses!$A:$A), 9)/$R$2+INDEX(Chemical_analyses!$A:$L, MATCH($P449, Chemical_analyses!$A:$A), 11)/$S$2+INDEX(Chemical_analyses!$A:$L, MATCH($P449, Chemical_analyses!$A:$A), 12)/$T$2)*100</f>
        <v>0.77771437575295999</v>
      </c>
      <c r="AA449" s="164">
        <v>0</v>
      </c>
      <c r="AB449" s="101">
        <f t="shared" si="133"/>
        <v>0</v>
      </c>
      <c r="AC449" s="135">
        <v>0</v>
      </c>
      <c r="AD449" s="101">
        <v>0</v>
      </c>
      <c r="AE449" s="101">
        <f t="shared" si="134"/>
        <v>0</v>
      </c>
      <c r="AF449" s="135">
        <v>0</v>
      </c>
      <c r="AG449" s="9" t="s">
        <v>69</v>
      </c>
      <c r="AH449" s="102" t="str">
        <f>_xlfn.CONCAT("FeO: ", INDEX(Chemical_analyses!$A:$M, MATCH($P449, Chemical_analyses!$A:$A), 9), ", MgO: ", INDEX(Chemical_analyses!$A:$M, MATCH($P449, Chemical_analyses!$A:$A), 11), ", CaO: ", INDEX(Chemical_analyses!$A:$M, MATCH($P449, Chemical_analyses!$A:$A), 12), ", MnO: ", INDEX(Chemical_analyses!$A:$M, MATCH($P449, Chemical_analyses!$A:$A), 10), ", NaO2: ", INDEX(Chemical_analyses!$A:$M, MATCH($P449, Chemical_analyses!$A:$A), 13), ", Fe2O3: ", INDEX(Chemical_analyses!$A:$M, MATCH($P449, Chemical_analyses!$A:$A), 8), ", Al2O3: ", INDEX(Chemical_analyses!$A:$M, MATCH($P449, Chemical_analyses!$A:$A), 6))</f>
        <v>FeO: 8.53, MgO: 32.81, CaO: 0.41, MnO: 0.19, NaO2: 0.01, Fe2O3: 0, Al2O3: 1.02</v>
      </c>
      <c r="AN449" s="32"/>
      <c r="AO449" s="32"/>
      <c r="AP449" s="32"/>
      <c r="AQ449" s="32"/>
      <c r="AW449" s="32"/>
      <c r="AX449" s="32"/>
      <c r="AY449" s="32"/>
      <c r="AZ449" s="32"/>
    </row>
    <row r="450" spans="1:52" s="9" customFormat="1">
      <c r="A450" s="9" t="s">
        <v>1464</v>
      </c>
      <c r="B450" s="98" t="s">
        <v>1465</v>
      </c>
      <c r="C450" s="99" t="s">
        <v>162</v>
      </c>
      <c r="D450" s="99" t="s">
        <v>642</v>
      </c>
      <c r="E450" s="9" t="s">
        <v>643</v>
      </c>
      <c r="G450" s="9" t="s">
        <v>755</v>
      </c>
      <c r="H450" s="9" t="s">
        <v>1417</v>
      </c>
      <c r="J450" s="9">
        <v>0</v>
      </c>
      <c r="K450" s="9">
        <v>25</v>
      </c>
      <c r="L450" s="9" t="s">
        <v>64</v>
      </c>
      <c r="M450" s="9" t="s">
        <v>26</v>
      </c>
      <c r="N450" s="9" t="s">
        <v>1442</v>
      </c>
      <c r="O450" s="9" t="s">
        <v>800</v>
      </c>
      <c r="P450" s="9">
        <v>36</v>
      </c>
      <c r="Q450" s="9" t="s">
        <v>1466</v>
      </c>
      <c r="R450" s="133">
        <v>0</v>
      </c>
      <c r="S450" s="100">
        <f t="shared" si="130"/>
        <v>100</v>
      </c>
      <c r="T450" s="100">
        <v>0</v>
      </c>
      <c r="U450" s="100">
        <v>0</v>
      </c>
      <c r="V450" s="133">
        <v>0</v>
      </c>
      <c r="W450" s="134">
        <f t="shared" si="131"/>
        <v>0</v>
      </c>
      <c r="X450" s="101">
        <f>INDEX(Chemical_analyses!$A:$L, MATCH($P450, Chemical_analyses!$A:$A), 9)/$R$2/(INDEX(Chemical_analyses!$A:$L, MATCH($P450, Chemical_analyses!$A:$A), 9)/$R$2+INDEX(Chemical_analyses!$A:$L, MATCH($P450, Chemical_analyses!$A:$A), 11)/$S$2+INDEX(Chemical_analyses!$A:$L, MATCH($P450, Chemical_analyses!$A:$A), 12)/$T$2)*100</f>
        <v>12.62939849179531</v>
      </c>
      <c r="Y450" s="101">
        <f t="shared" si="132"/>
        <v>86.592887132451722</v>
      </c>
      <c r="Z450" s="101">
        <f>INDEX(Chemical_analyses!$A:$L, MATCH($P450, Chemical_analyses!$A:$A), 12)/$T$2/(INDEX(Chemical_analyses!$A:$L, MATCH($P450, Chemical_analyses!$A:$A), 9)/$R$2+INDEX(Chemical_analyses!$A:$L, MATCH($P450, Chemical_analyses!$A:$A), 11)/$S$2+INDEX(Chemical_analyses!$A:$L, MATCH($P450, Chemical_analyses!$A:$A), 12)/$T$2)*100</f>
        <v>0.77771437575295999</v>
      </c>
      <c r="AA450" s="133">
        <v>0</v>
      </c>
      <c r="AB450" s="101">
        <f t="shared" si="133"/>
        <v>0</v>
      </c>
      <c r="AC450" s="134">
        <v>0</v>
      </c>
      <c r="AD450" s="101">
        <v>0</v>
      </c>
      <c r="AE450" s="101">
        <f t="shared" si="134"/>
        <v>0</v>
      </c>
      <c r="AF450" s="134">
        <v>0</v>
      </c>
      <c r="AG450" s="9" t="s">
        <v>69</v>
      </c>
      <c r="AH450" s="102" t="str">
        <f>_xlfn.CONCAT("FeO: ", INDEX(Chemical_analyses!$A:$M, MATCH($P450, Chemical_analyses!$A:$A), 9), ", MgO: ", INDEX(Chemical_analyses!$A:$M, MATCH($P450, Chemical_analyses!$A:$A), 11), ", CaO: ", INDEX(Chemical_analyses!$A:$M, MATCH($P450, Chemical_analyses!$A:$A), 12), ", MnO: ", INDEX(Chemical_analyses!$A:$M, MATCH($P450, Chemical_analyses!$A:$A), 10), ", NaO2: ", INDEX(Chemical_analyses!$A:$M, MATCH($P450, Chemical_analyses!$A:$A), 13), ", Fe2O3: ", INDEX(Chemical_analyses!$A:$M, MATCH($P450, Chemical_analyses!$A:$A), 8), ", Al2O3: ", INDEX(Chemical_analyses!$A:$M, MATCH($P450, Chemical_analyses!$A:$A), 6))</f>
        <v>FeO: 8.53, MgO: 32.81, CaO: 0.41, MnO: 0.19, NaO2: 0.01, Fe2O3: 0, Al2O3: 1.02</v>
      </c>
      <c r="AN450" s="32"/>
      <c r="AO450" s="32"/>
      <c r="AP450" s="32"/>
      <c r="AQ450" s="32"/>
      <c r="AW450" s="32"/>
      <c r="AX450" s="32"/>
      <c r="AY450" s="32"/>
      <c r="AZ450" s="32"/>
    </row>
    <row r="451" spans="1:52" s="9" customFormat="1">
      <c r="A451" s="9" t="s">
        <v>1467</v>
      </c>
      <c r="B451" s="98" t="s">
        <v>1468</v>
      </c>
      <c r="C451" s="99" t="s">
        <v>162</v>
      </c>
      <c r="D451" s="99" t="s">
        <v>642</v>
      </c>
      <c r="E451" s="9" t="s">
        <v>643</v>
      </c>
      <c r="G451" s="9" t="s">
        <v>755</v>
      </c>
      <c r="H451" s="9" t="s">
        <v>1417</v>
      </c>
      <c r="J451" s="9">
        <v>25</v>
      </c>
      <c r="K451" s="9">
        <v>45</v>
      </c>
      <c r="L451" s="9" t="s">
        <v>64</v>
      </c>
      <c r="M451" s="9" t="s">
        <v>26</v>
      </c>
      <c r="N451" s="9" t="s">
        <v>1442</v>
      </c>
      <c r="O451" s="9" t="s">
        <v>800</v>
      </c>
      <c r="P451" s="9">
        <v>36</v>
      </c>
      <c r="Q451" s="9" t="s">
        <v>1466</v>
      </c>
      <c r="R451" s="133">
        <v>0</v>
      </c>
      <c r="S451" s="100">
        <f t="shared" si="130"/>
        <v>100</v>
      </c>
      <c r="T451" s="100">
        <v>0</v>
      </c>
      <c r="U451" s="100">
        <v>0</v>
      </c>
      <c r="V451" s="133">
        <v>0</v>
      </c>
      <c r="W451" s="134">
        <f t="shared" si="131"/>
        <v>0</v>
      </c>
      <c r="X451" s="101">
        <f>INDEX(Chemical_analyses!$A:$L, MATCH($P451, Chemical_analyses!$A:$A), 9)/$R$2/(INDEX(Chemical_analyses!$A:$L, MATCH($P451, Chemical_analyses!$A:$A), 9)/$R$2+INDEX(Chemical_analyses!$A:$L, MATCH($P451, Chemical_analyses!$A:$A), 11)/$S$2+INDEX(Chemical_analyses!$A:$L, MATCH($P451, Chemical_analyses!$A:$A), 12)/$T$2)*100</f>
        <v>12.62939849179531</v>
      </c>
      <c r="Y451" s="101">
        <f t="shared" si="132"/>
        <v>86.592887132451722</v>
      </c>
      <c r="Z451" s="101">
        <f>INDEX(Chemical_analyses!$A:$L, MATCH($P451, Chemical_analyses!$A:$A), 12)/$T$2/(INDEX(Chemical_analyses!$A:$L, MATCH($P451, Chemical_analyses!$A:$A), 9)/$R$2+INDEX(Chemical_analyses!$A:$L, MATCH($P451, Chemical_analyses!$A:$A), 11)/$S$2+INDEX(Chemical_analyses!$A:$L, MATCH($P451, Chemical_analyses!$A:$A), 12)/$T$2)*100</f>
        <v>0.77771437575295999</v>
      </c>
      <c r="AA451" s="164">
        <v>0</v>
      </c>
      <c r="AB451" s="101">
        <f t="shared" si="133"/>
        <v>0</v>
      </c>
      <c r="AC451" s="135">
        <v>0</v>
      </c>
      <c r="AD451" s="101">
        <v>0</v>
      </c>
      <c r="AE451" s="101">
        <f t="shared" si="134"/>
        <v>0</v>
      </c>
      <c r="AF451" s="135">
        <v>0</v>
      </c>
      <c r="AG451" s="9" t="s">
        <v>69</v>
      </c>
      <c r="AH451" s="102" t="str">
        <f>_xlfn.CONCAT("FeO: ", INDEX(Chemical_analyses!$A:$M, MATCH($P451, Chemical_analyses!$A:$A), 9), ", MgO: ", INDEX(Chemical_analyses!$A:$M, MATCH($P451, Chemical_analyses!$A:$A), 11), ", CaO: ", INDEX(Chemical_analyses!$A:$M, MATCH($P451, Chemical_analyses!$A:$A), 12), ", MnO: ", INDEX(Chemical_analyses!$A:$M, MATCH($P451, Chemical_analyses!$A:$A), 10), ", NaO2: ", INDEX(Chemical_analyses!$A:$M, MATCH($P451, Chemical_analyses!$A:$A), 13), ", Fe2O3: ", INDEX(Chemical_analyses!$A:$M, MATCH($P451, Chemical_analyses!$A:$A), 8), ", Al2O3: ", INDEX(Chemical_analyses!$A:$M, MATCH($P451, Chemical_analyses!$A:$A), 6))</f>
        <v>FeO: 8.53, MgO: 32.81, CaO: 0.41, MnO: 0.19, NaO2: 0.01, Fe2O3: 0, Al2O3: 1.02</v>
      </c>
      <c r="AN451" s="32"/>
      <c r="AO451" s="32"/>
      <c r="AP451" s="32"/>
      <c r="AQ451" s="32"/>
      <c r="AW451" s="32"/>
      <c r="AX451" s="32"/>
      <c r="AY451" s="32"/>
      <c r="AZ451" s="32"/>
    </row>
    <row r="452" spans="1:52" s="9" customFormat="1">
      <c r="A452" s="9" t="s">
        <v>1469</v>
      </c>
      <c r="B452" s="98" t="s">
        <v>1470</v>
      </c>
      <c r="C452" s="99" t="s">
        <v>162</v>
      </c>
      <c r="D452" s="99" t="s">
        <v>642</v>
      </c>
      <c r="E452" s="9" t="s">
        <v>643</v>
      </c>
      <c r="G452" s="9" t="s">
        <v>755</v>
      </c>
      <c r="H452" s="9" t="s">
        <v>1417</v>
      </c>
      <c r="J452" s="9">
        <v>45</v>
      </c>
      <c r="K452" s="9">
        <v>75</v>
      </c>
      <c r="L452" s="9" t="s">
        <v>64</v>
      </c>
      <c r="M452" s="9" t="s">
        <v>26</v>
      </c>
      <c r="N452" s="9" t="s">
        <v>1442</v>
      </c>
      <c r="O452" s="9" t="s">
        <v>800</v>
      </c>
      <c r="P452" s="9">
        <v>36</v>
      </c>
      <c r="Q452" s="9" t="s">
        <v>1466</v>
      </c>
      <c r="R452" s="133">
        <v>0</v>
      </c>
      <c r="S452" s="100">
        <f t="shared" si="130"/>
        <v>100</v>
      </c>
      <c r="T452" s="100">
        <v>0</v>
      </c>
      <c r="U452" s="100">
        <v>0</v>
      </c>
      <c r="V452" s="133">
        <v>0</v>
      </c>
      <c r="W452" s="134">
        <f t="shared" si="131"/>
        <v>0</v>
      </c>
      <c r="X452" s="101">
        <f>INDEX(Chemical_analyses!$A:$L, MATCH($P452, Chemical_analyses!$A:$A), 9)/$R$2/(INDEX(Chemical_analyses!$A:$L, MATCH($P452, Chemical_analyses!$A:$A), 9)/$R$2+INDEX(Chemical_analyses!$A:$L, MATCH($P452, Chemical_analyses!$A:$A), 11)/$S$2+INDEX(Chemical_analyses!$A:$L, MATCH($P452, Chemical_analyses!$A:$A), 12)/$T$2)*100</f>
        <v>12.62939849179531</v>
      </c>
      <c r="Y452" s="101">
        <f t="shared" si="132"/>
        <v>86.592887132451722</v>
      </c>
      <c r="Z452" s="101">
        <f>INDEX(Chemical_analyses!$A:$L, MATCH($P452, Chemical_analyses!$A:$A), 12)/$T$2/(INDEX(Chemical_analyses!$A:$L, MATCH($P452, Chemical_analyses!$A:$A), 9)/$R$2+INDEX(Chemical_analyses!$A:$L, MATCH($P452, Chemical_analyses!$A:$A), 11)/$S$2+INDEX(Chemical_analyses!$A:$L, MATCH($P452, Chemical_analyses!$A:$A), 12)/$T$2)*100</f>
        <v>0.77771437575295999</v>
      </c>
      <c r="AA452" s="133">
        <v>0</v>
      </c>
      <c r="AB452" s="101">
        <f t="shared" si="133"/>
        <v>0</v>
      </c>
      <c r="AC452" s="134">
        <v>0</v>
      </c>
      <c r="AD452" s="101">
        <v>0</v>
      </c>
      <c r="AE452" s="101">
        <f t="shared" si="134"/>
        <v>0</v>
      </c>
      <c r="AF452" s="134">
        <v>0</v>
      </c>
      <c r="AG452" s="9" t="s">
        <v>69</v>
      </c>
      <c r="AH452" s="102" t="str">
        <f>_xlfn.CONCAT("FeO: ", INDEX(Chemical_analyses!$A:$M, MATCH($P452, Chemical_analyses!$A:$A), 9), ", MgO: ", INDEX(Chemical_analyses!$A:$M, MATCH($P452, Chemical_analyses!$A:$A), 11), ", CaO: ", INDEX(Chemical_analyses!$A:$M, MATCH($P452, Chemical_analyses!$A:$A), 12), ", MnO: ", INDEX(Chemical_analyses!$A:$M, MATCH($P452, Chemical_analyses!$A:$A), 10), ", NaO2: ", INDEX(Chemical_analyses!$A:$M, MATCH($P452, Chemical_analyses!$A:$A), 13), ", Fe2O3: ", INDEX(Chemical_analyses!$A:$M, MATCH($P452, Chemical_analyses!$A:$A), 8), ", Al2O3: ", INDEX(Chemical_analyses!$A:$M, MATCH($P452, Chemical_analyses!$A:$A), 6))</f>
        <v>FeO: 8.53, MgO: 32.81, CaO: 0.41, MnO: 0.19, NaO2: 0.01, Fe2O3: 0, Al2O3: 1.02</v>
      </c>
      <c r="AN452" s="32"/>
      <c r="AO452" s="32"/>
      <c r="AP452" s="32"/>
      <c r="AQ452" s="32"/>
      <c r="AW452" s="32"/>
      <c r="AX452" s="32"/>
      <c r="AY452" s="32"/>
      <c r="AZ452" s="32"/>
    </row>
    <row r="453" spans="1:52" s="9" customFormat="1">
      <c r="A453" s="9" t="s">
        <v>1471</v>
      </c>
      <c r="B453" s="98" t="s">
        <v>1472</v>
      </c>
      <c r="C453" s="99" t="s">
        <v>162</v>
      </c>
      <c r="D453" s="99" t="s">
        <v>642</v>
      </c>
      <c r="E453" s="9" t="s">
        <v>643</v>
      </c>
      <c r="G453" s="9" t="s">
        <v>755</v>
      </c>
      <c r="H453" s="9" t="s">
        <v>1417</v>
      </c>
      <c r="J453" s="9">
        <v>75</v>
      </c>
      <c r="K453" s="9">
        <v>125</v>
      </c>
      <c r="L453" s="9" t="s">
        <v>64</v>
      </c>
      <c r="M453" s="9" t="s">
        <v>26</v>
      </c>
      <c r="N453" s="9" t="s">
        <v>1442</v>
      </c>
      <c r="O453" s="9" t="s">
        <v>800</v>
      </c>
      <c r="P453" s="9">
        <v>36</v>
      </c>
      <c r="Q453" s="9" t="s">
        <v>1466</v>
      </c>
      <c r="R453" s="133">
        <v>0</v>
      </c>
      <c r="S453" s="100">
        <f t="shared" si="130"/>
        <v>100</v>
      </c>
      <c r="T453" s="100">
        <v>0</v>
      </c>
      <c r="U453" s="100">
        <v>0</v>
      </c>
      <c r="V453" s="133">
        <v>0</v>
      </c>
      <c r="W453" s="134">
        <f t="shared" si="131"/>
        <v>0</v>
      </c>
      <c r="X453" s="101">
        <f>INDEX(Chemical_analyses!$A:$L, MATCH($P453, Chemical_analyses!$A:$A), 9)/$R$2/(INDEX(Chemical_analyses!$A:$L, MATCH($P453, Chemical_analyses!$A:$A), 9)/$R$2+INDEX(Chemical_analyses!$A:$L, MATCH($P453, Chemical_analyses!$A:$A), 11)/$S$2+INDEX(Chemical_analyses!$A:$L, MATCH($P453, Chemical_analyses!$A:$A), 12)/$T$2)*100</f>
        <v>12.62939849179531</v>
      </c>
      <c r="Y453" s="101">
        <f t="shared" si="132"/>
        <v>86.592887132451722</v>
      </c>
      <c r="Z453" s="101">
        <f>INDEX(Chemical_analyses!$A:$L, MATCH($P453, Chemical_analyses!$A:$A), 12)/$T$2/(INDEX(Chemical_analyses!$A:$L, MATCH($P453, Chemical_analyses!$A:$A), 9)/$R$2+INDEX(Chemical_analyses!$A:$L, MATCH($P453, Chemical_analyses!$A:$A), 11)/$S$2+INDEX(Chemical_analyses!$A:$L, MATCH($P453, Chemical_analyses!$A:$A), 12)/$T$2)*100</f>
        <v>0.77771437575295999</v>
      </c>
      <c r="AA453" s="164">
        <v>0</v>
      </c>
      <c r="AB453" s="101">
        <f t="shared" si="133"/>
        <v>0</v>
      </c>
      <c r="AC453" s="135">
        <v>0</v>
      </c>
      <c r="AD453" s="101">
        <v>0</v>
      </c>
      <c r="AE453" s="101">
        <f t="shared" si="134"/>
        <v>0</v>
      </c>
      <c r="AF453" s="135">
        <v>0</v>
      </c>
      <c r="AG453" s="9" t="s">
        <v>69</v>
      </c>
      <c r="AH453" s="102" t="str">
        <f>_xlfn.CONCAT("FeO: ", INDEX(Chemical_analyses!$A:$M, MATCH($P453, Chemical_analyses!$A:$A), 9), ", MgO: ", INDEX(Chemical_analyses!$A:$M, MATCH($P453, Chemical_analyses!$A:$A), 11), ", CaO: ", INDEX(Chemical_analyses!$A:$M, MATCH($P453, Chemical_analyses!$A:$A), 12), ", MnO: ", INDEX(Chemical_analyses!$A:$M, MATCH($P453, Chemical_analyses!$A:$A), 10), ", NaO2: ", INDEX(Chemical_analyses!$A:$M, MATCH($P453, Chemical_analyses!$A:$A), 13), ", Fe2O3: ", INDEX(Chemical_analyses!$A:$M, MATCH($P453, Chemical_analyses!$A:$A), 8), ", Al2O3: ", INDEX(Chemical_analyses!$A:$M, MATCH($P453, Chemical_analyses!$A:$A), 6))</f>
        <v>FeO: 8.53, MgO: 32.81, CaO: 0.41, MnO: 0.19, NaO2: 0.01, Fe2O3: 0, Al2O3: 1.02</v>
      </c>
      <c r="AI453" s="29"/>
      <c r="AN453" s="169"/>
      <c r="AO453" s="169"/>
      <c r="AP453" s="169"/>
      <c r="AQ453" s="32"/>
      <c r="AW453" s="32"/>
      <c r="AX453" s="32"/>
      <c r="AY453" s="32"/>
      <c r="AZ453" s="32"/>
    </row>
    <row r="454" spans="1:52" s="9" customFormat="1">
      <c r="A454" s="9" t="s">
        <v>1473</v>
      </c>
      <c r="B454" s="98" t="s">
        <v>1474</v>
      </c>
      <c r="C454" s="99" t="s">
        <v>162</v>
      </c>
      <c r="D454" s="99" t="s">
        <v>642</v>
      </c>
      <c r="E454" s="9" t="s">
        <v>643</v>
      </c>
      <c r="G454" s="9" t="s">
        <v>755</v>
      </c>
      <c r="H454" s="9" t="s">
        <v>1417</v>
      </c>
      <c r="J454" s="9">
        <v>125</v>
      </c>
      <c r="K454" s="9">
        <v>250</v>
      </c>
      <c r="L454" s="9" t="s">
        <v>64</v>
      </c>
      <c r="M454" s="9" t="s">
        <v>26</v>
      </c>
      <c r="N454" s="9" t="s">
        <v>1442</v>
      </c>
      <c r="O454" s="9" t="s">
        <v>800</v>
      </c>
      <c r="P454" s="9">
        <v>36</v>
      </c>
      <c r="Q454" s="9" t="s">
        <v>1466</v>
      </c>
      <c r="R454" s="133">
        <v>0</v>
      </c>
      <c r="S454" s="100">
        <f t="shared" si="130"/>
        <v>100</v>
      </c>
      <c r="T454" s="100">
        <v>0</v>
      </c>
      <c r="U454" s="100">
        <v>0</v>
      </c>
      <c r="V454" s="133">
        <v>0</v>
      </c>
      <c r="W454" s="134">
        <f t="shared" si="131"/>
        <v>0</v>
      </c>
      <c r="X454" s="101">
        <f>INDEX(Chemical_analyses!$A:$L, MATCH($P454, Chemical_analyses!$A:$A), 9)/$R$2/(INDEX(Chemical_analyses!$A:$L, MATCH($P454, Chemical_analyses!$A:$A), 9)/$R$2+INDEX(Chemical_analyses!$A:$L, MATCH($P454, Chemical_analyses!$A:$A), 11)/$S$2+INDEX(Chemical_analyses!$A:$L, MATCH($P454, Chemical_analyses!$A:$A), 12)/$T$2)*100</f>
        <v>12.62939849179531</v>
      </c>
      <c r="Y454" s="101">
        <f t="shared" si="132"/>
        <v>86.592887132451722</v>
      </c>
      <c r="Z454" s="101">
        <f>INDEX(Chemical_analyses!$A:$L, MATCH($P454, Chemical_analyses!$A:$A), 12)/$T$2/(INDEX(Chemical_analyses!$A:$L, MATCH($P454, Chemical_analyses!$A:$A), 9)/$R$2+INDEX(Chemical_analyses!$A:$L, MATCH($P454, Chemical_analyses!$A:$A), 11)/$S$2+INDEX(Chemical_analyses!$A:$L, MATCH($P454, Chemical_analyses!$A:$A), 12)/$T$2)*100</f>
        <v>0.77771437575295999</v>
      </c>
      <c r="AA454" s="164">
        <v>0</v>
      </c>
      <c r="AB454" s="101">
        <f t="shared" si="133"/>
        <v>0</v>
      </c>
      <c r="AC454" s="135">
        <v>0</v>
      </c>
      <c r="AD454" s="101">
        <v>0</v>
      </c>
      <c r="AE454" s="101">
        <f t="shared" si="134"/>
        <v>0</v>
      </c>
      <c r="AF454" s="135">
        <v>0</v>
      </c>
      <c r="AG454" s="9" t="s">
        <v>69</v>
      </c>
      <c r="AH454" s="102" t="str">
        <f>_xlfn.CONCAT("FeO: ", INDEX(Chemical_analyses!$A:$M, MATCH($P454, Chemical_analyses!$A:$A), 9), ", MgO: ", INDEX(Chemical_analyses!$A:$M, MATCH($P454, Chemical_analyses!$A:$A), 11), ", CaO: ", INDEX(Chemical_analyses!$A:$M, MATCH($P454, Chemical_analyses!$A:$A), 12), ", MnO: ", INDEX(Chemical_analyses!$A:$M, MATCH($P454, Chemical_analyses!$A:$A), 10), ", NaO2: ", INDEX(Chemical_analyses!$A:$M, MATCH($P454, Chemical_analyses!$A:$A), 13), ", Fe2O3: ", INDEX(Chemical_analyses!$A:$M, MATCH($P454, Chemical_analyses!$A:$A), 8), ", Al2O3: ", INDEX(Chemical_analyses!$A:$M, MATCH($P454, Chemical_analyses!$A:$A), 6))</f>
        <v>FeO: 8.53, MgO: 32.81, CaO: 0.41, MnO: 0.19, NaO2: 0.01, Fe2O3: 0, Al2O3: 1.02</v>
      </c>
      <c r="AN454" s="169"/>
      <c r="AO454" s="169"/>
      <c r="AP454" s="169"/>
      <c r="AQ454" s="32"/>
      <c r="AW454" s="32"/>
      <c r="AX454" s="32"/>
      <c r="AY454" s="32"/>
      <c r="AZ454" s="32"/>
    </row>
    <row r="455" spans="1:52" s="9" customFormat="1">
      <c r="A455" s="9" t="s">
        <v>1475</v>
      </c>
      <c r="B455" s="98" t="s">
        <v>1476</v>
      </c>
      <c r="C455" s="99" t="s">
        <v>162</v>
      </c>
      <c r="D455" s="99" t="s">
        <v>642</v>
      </c>
      <c r="E455" s="9" t="s">
        <v>643</v>
      </c>
      <c r="G455" s="9" t="s">
        <v>755</v>
      </c>
      <c r="H455" s="9" t="s">
        <v>1417</v>
      </c>
      <c r="J455" s="9">
        <v>250</v>
      </c>
      <c r="K455" s="9">
        <v>500</v>
      </c>
      <c r="L455" s="9" t="s">
        <v>64</v>
      </c>
      <c r="M455" s="9" t="s">
        <v>26</v>
      </c>
      <c r="N455" s="9" t="s">
        <v>1442</v>
      </c>
      <c r="O455" s="9" t="s">
        <v>800</v>
      </c>
      <c r="P455" s="9">
        <v>36</v>
      </c>
      <c r="Q455" s="9" t="s">
        <v>1466</v>
      </c>
      <c r="R455" s="133">
        <v>0</v>
      </c>
      <c r="S455" s="100">
        <f t="shared" si="130"/>
        <v>100</v>
      </c>
      <c r="T455" s="100">
        <v>0</v>
      </c>
      <c r="U455" s="100">
        <v>0</v>
      </c>
      <c r="V455" s="133">
        <v>0</v>
      </c>
      <c r="W455" s="134">
        <f t="shared" si="131"/>
        <v>0</v>
      </c>
      <c r="X455" s="101">
        <f>INDEX(Chemical_analyses!$A:$L, MATCH($P455, Chemical_analyses!$A:$A), 9)/$R$2/(INDEX(Chemical_analyses!$A:$L, MATCH($P455, Chemical_analyses!$A:$A), 9)/$R$2+INDEX(Chemical_analyses!$A:$L, MATCH($P455, Chemical_analyses!$A:$A), 11)/$S$2+INDEX(Chemical_analyses!$A:$L, MATCH($P455, Chemical_analyses!$A:$A), 12)/$T$2)*100</f>
        <v>12.62939849179531</v>
      </c>
      <c r="Y455" s="101">
        <f t="shared" si="132"/>
        <v>86.592887132451722</v>
      </c>
      <c r="Z455" s="101">
        <f>INDEX(Chemical_analyses!$A:$L, MATCH($P455, Chemical_analyses!$A:$A), 12)/$T$2/(INDEX(Chemical_analyses!$A:$L, MATCH($P455, Chemical_analyses!$A:$A), 9)/$R$2+INDEX(Chemical_analyses!$A:$L, MATCH($P455, Chemical_analyses!$A:$A), 11)/$S$2+INDEX(Chemical_analyses!$A:$L, MATCH($P455, Chemical_analyses!$A:$A), 12)/$T$2)*100</f>
        <v>0.77771437575295999</v>
      </c>
      <c r="AA455" s="133">
        <v>0</v>
      </c>
      <c r="AB455" s="101">
        <f t="shared" si="133"/>
        <v>0</v>
      </c>
      <c r="AC455" s="134">
        <v>0</v>
      </c>
      <c r="AD455" s="101">
        <v>0</v>
      </c>
      <c r="AE455" s="101">
        <f t="shared" si="134"/>
        <v>0</v>
      </c>
      <c r="AF455" s="134">
        <v>0</v>
      </c>
      <c r="AG455" s="9" t="s">
        <v>69</v>
      </c>
      <c r="AH455" s="102" t="str">
        <f>_xlfn.CONCAT("FeO: ", INDEX(Chemical_analyses!$A:$M, MATCH($P455, Chemical_analyses!$A:$A), 9), ", MgO: ", INDEX(Chemical_analyses!$A:$M, MATCH($P455, Chemical_analyses!$A:$A), 11), ", CaO: ", INDEX(Chemical_analyses!$A:$M, MATCH($P455, Chemical_analyses!$A:$A), 12), ", MnO: ", INDEX(Chemical_analyses!$A:$M, MATCH($P455, Chemical_analyses!$A:$A), 10), ", NaO2: ", INDEX(Chemical_analyses!$A:$M, MATCH($P455, Chemical_analyses!$A:$A), 13), ", Fe2O3: ", INDEX(Chemical_analyses!$A:$M, MATCH($P455, Chemical_analyses!$A:$A), 8), ", Al2O3: ", INDEX(Chemical_analyses!$A:$M, MATCH($P455, Chemical_analyses!$A:$A), 6))</f>
        <v>FeO: 8.53, MgO: 32.81, CaO: 0.41, MnO: 0.19, NaO2: 0.01, Fe2O3: 0, Al2O3: 1.02</v>
      </c>
      <c r="AN455" s="32"/>
      <c r="AO455" s="32"/>
      <c r="AP455" s="32"/>
      <c r="AQ455" s="32"/>
      <c r="AW455" s="32"/>
      <c r="AX455" s="32"/>
      <c r="AY455" s="32"/>
      <c r="AZ455" s="32"/>
    </row>
    <row r="456" spans="1:52" s="9" customFormat="1">
      <c r="A456" s="9" t="s">
        <v>1477</v>
      </c>
      <c r="B456" s="98" t="s">
        <v>1478</v>
      </c>
      <c r="C456" s="99" t="s">
        <v>162</v>
      </c>
      <c r="D456" s="99" t="s">
        <v>642</v>
      </c>
      <c r="E456" s="9" t="s">
        <v>643</v>
      </c>
      <c r="G456" s="9" t="s">
        <v>755</v>
      </c>
      <c r="H456" s="9" t="s">
        <v>1479</v>
      </c>
      <c r="J456" s="9">
        <v>0</v>
      </c>
      <c r="K456" s="9">
        <v>25</v>
      </c>
      <c r="L456" s="9" t="s">
        <v>64</v>
      </c>
      <c r="M456" s="9" t="s">
        <v>26</v>
      </c>
      <c r="N456" s="9" t="s">
        <v>1442</v>
      </c>
      <c r="O456" s="9" t="s">
        <v>1480</v>
      </c>
      <c r="P456" s="9">
        <v>36</v>
      </c>
      <c r="Q456" s="9" t="s">
        <v>1481</v>
      </c>
      <c r="R456" s="133">
        <v>0</v>
      </c>
      <c r="S456" s="100">
        <f t="shared" si="130"/>
        <v>100</v>
      </c>
      <c r="T456" s="100">
        <v>0</v>
      </c>
      <c r="U456" s="100">
        <v>0</v>
      </c>
      <c r="V456" s="133">
        <v>0</v>
      </c>
      <c r="W456" s="134">
        <f t="shared" si="131"/>
        <v>0</v>
      </c>
      <c r="X456" s="101">
        <f>INDEX(Chemical_analyses!$A:$L, MATCH($P456, Chemical_analyses!$A:$A), 9)/$R$2/(INDEX(Chemical_analyses!$A:$L, MATCH($P456, Chemical_analyses!$A:$A), 9)/$R$2+INDEX(Chemical_analyses!$A:$L, MATCH($P456, Chemical_analyses!$A:$A), 11)/$S$2+INDEX(Chemical_analyses!$A:$L, MATCH($P456, Chemical_analyses!$A:$A), 12)/$T$2)*100</f>
        <v>12.62939849179531</v>
      </c>
      <c r="Y456" s="101">
        <f t="shared" si="132"/>
        <v>86.592887132451722</v>
      </c>
      <c r="Z456" s="101">
        <f>INDEX(Chemical_analyses!$A:$L, MATCH($P456, Chemical_analyses!$A:$A), 12)/$T$2/(INDEX(Chemical_analyses!$A:$L, MATCH($P456, Chemical_analyses!$A:$A), 9)/$R$2+INDEX(Chemical_analyses!$A:$L, MATCH($P456, Chemical_analyses!$A:$A), 11)/$S$2+INDEX(Chemical_analyses!$A:$L, MATCH($P456, Chemical_analyses!$A:$A), 12)/$T$2)*100</f>
        <v>0.77771437575295999</v>
      </c>
      <c r="AA456" s="164">
        <v>0</v>
      </c>
      <c r="AB456" s="101">
        <f t="shared" si="133"/>
        <v>0</v>
      </c>
      <c r="AC456" s="135">
        <v>0</v>
      </c>
      <c r="AD456" s="101">
        <v>0</v>
      </c>
      <c r="AE456" s="101">
        <f t="shared" si="134"/>
        <v>0</v>
      </c>
      <c r="AF456" s="135">
        <v>0</v>
      </c>
      <c r="AG456" s="9" t="s">
        <v>69</v>
      </c>
      <c r="AH456" s="102" t="str">
        <f>_xlfn.CONCAT("FeO: ", INDEX(Chemical_analyses!$A:$M, MATCH($P456, Chemical_analyses!$A:$A), 9), ", MgO: ", INDEX(Chemical_analyses!$A:$M, MATCH($P456, Chemical_analyses!$A:$A), 11), ", CaO: ", INDEX(Chemical_analyses!$A:$M, MATCH($P456, Chemical_analyses!$A:$A), 12), ", MnO: ", INDEX(Chemical_analyses!$A:$M, MATCH($P456, Chemical_analyses!$A:$A), 10), ", NaO2: ", INDEX(Chemical_analyses!$A:$M, MATCH($P456, Chemical_analyses!$A:$A), 13), ", Fe2O3: ", INDEX(Chemical_analyses!$A:$M, MATCH($P456, Chemical_analyses!$A:$A), 8), ", Al2O3: ", INDEX(Chemical_analyses!$A:$M, MATCH($P456, Chemical_analyses!$A:$A), 6))</f>
        <v>FeO: 8.53, MgO: 32.81, CaO: 0.41, MnO: 0.19, NaO2: 0.01, Fe2O3: 0, Al2O3: 1.02</v>
      </c>
      <c r="AN456" s="32"/>
      <c r="AO456" s="32"/>
      <c r="AP456" s="32"/>
      <c r="AQ456" s="32"/>
      <c r="AW456" s="32"/>
      <c r="AX456" s="32"/>
      <c r="AY456" s="32"/>
      <c r="AZ456" s="32"/>
    </row>
    <row r="457" spans="1:52" s="9" customFormat="1">
      <c r="A457" s="9" t="s">
        <v>1482</v>
      </c>
      <c r="B457" s="98" t="s">
        <v>1478</v>
      </c>
      <c r="C457" s="99" t="s">
        <v>162</v>
      </c>
      <c r="D457" s="99" t="s">
        <v>642</v>
      </c>
      <c r="E457" s="9" t="s">
        <v>643</v>
      </c>
      <c r="G457" s="9" t="s">
        <v>755</v>
      </c>
      <c r="H457" s="9" t="s">
        <v>1479</v>
      </c>
      <c r="J457" s="9">
        <v>0</v>
      </c>
      <c r="K457" s="9">
        <v>25</v>
      </c>
      <c r="L457" s="9" t="s">
        <v>64</v>
      </c>
      <c r="M457" s="9" t="s">
        <v>26</v>
      </c>
      <c r="N457" s="9" t="s">
        <v>1442</v>
      </c>
      <c r="O457" s="9" t="s">
        <v>1480</v>
      </c>
      <c r="P457" s="9">
        <v>36</v>
      </c>
      <c r="Q457" s="9" t="s">
        <v>1481</v>
      </c>
      <c r="R457" s="133">
        <v>0</v>
      </c>
      <c r="S457" s="100">
        <f t="shared" si="130"/>
        <v>100</v>
      </c>
      <c r="T457" s="100">
        <v>0</v>
      </c>
      <c r="U457" s="100">
        <v>0</v>
      </c>
      <c r="V457" s="133">
        <v>0</v>
      </c>
      <c r="W457" s="134">
        <f t="shared" si="131"/>
        <v>0</v>
      </c>
      <c r="X457" s="101">
        <f>INDEX(Chemical_analyses!$A:$L, MATCH($P457, Chemical_analyses!$A:$A), 9)/$R$2/(INDEX(Chemical_analyses!$A:$L, MATCH($P457, Chemical_analyses!$A:$A), 9)/$R$2+INDEX(Chemical_analyses!$A:$L, MATCH($P457, Chemical_analyses!$A:$A), 11)/$S$2+INDEX(Chemical_analyses!$A:$L, MATCH($P457, Chemical_analyses!$A:$A), 12)/$T$2)*100</f>
        <v>12.62939849179531</v>
      </c>
      <c r="Y457" s="101">
        <f t="shared" si="132"/>
        <v>86.592887132451722</v>
      </c>
      <c r="Z457" s="101">
        <f>INDEX(Chemical_analyses!$A:$L, MATCH($P457, Chemical_analyses!$A:$A), 12)/$T$2/(INDEX(Chemical_analyses!$A:$L, MATCH($P457, Chemical_analyses!$A:$A), 9)/$R$2+INDEX(Chemical_analyses!$A:$L, MATCH($P457, Chemical_analyses!$A:$A), 11)/$S$2+INDEX(Chemical_analyses!$A:$L, MATCH($P457, Chemical_analyses!$A:$A), 12)/$T$2)*100</f>
        <v>0.77771437575295999</v>
      </c>
      <c r="AA457" s="133">
        <v>0</v>
      </c>
      <c r="AB457" s="101">
        <f t="shared" si="133"/>
        <v>0</v>
      </c>
      <c r="AC457" s="134">
        <v>0</v>
      </c>
      <c r="AD457" s="101">
        <v>0</v>
      </c>
      <c r="AE457" s="101">
        <f t="shared" si="134"/>
        <v>0</v>
      </c>
      <c r="AF457" s="134">
        <v>0</v>
      </c>
      <c r="AG457" s="9" t="s">
        <v>69</v>
      </c>
      <c r="AH457" s="102" t="str">
        <f>_xlfn.CONCAT("FeO: ", INDEX(Chemical_analyses!$A:$M, MATCH($P457, Chemical_analyses!$A:$A), 9), ", MgO: ", INDEX(Chemical_analyses!$A:$M, MATCH($P457, Chemical_analyses!$A:$A), 11), ", CaO: ", INDEX(Chemical_analyses!$A:$M, MATCH($P457, Chemical_analyses!$A:$A), 12), ", MnO: ", INDEX(Chemical_analyses!$A:$M, MATCH($P457, Chemical_analyses!$A:$A), 10), ", NaO2: ", INDEX(Chemical_analyses!$A:$M, MATCH($P457, Chemical_analyses!$A:$A), 13), ", Fe2O3: ", INDEX(Chemical_analyses!$A:$M, MATCH($P457, Chemical_analyses!$A:$A), 8), ", Al2O3: ", INDEX(Chemical_analyses!$A:$M, MATCH($P457, Chemical_analyses!$A:$A), 6))</f>
        <v>FeO: 8.53, MgO: 32.81, CaO: 0.41, MnO: 0.19, NaO2: 0.01, Fe2O3: 0, Al2O3: 1.02</v>
      </c>
      <c r="AN457" s="32"/>
      <c r="AO457" s="32"/>
      <c r="AP457" s="32"/>
      <c r="AQ457" s="32"/>
      <c r="AW457" s="32"/>
      <c r="AX457" s="32"/>
      <c r="AY457" s="32"/>
      <c r="AZ457" s="32"/>
    </row>
    <row r="458" spans="1:52" s="9" customFormat="1">
      <c r="A458" s="9" t="s">
        <v>1483</v>
      </c>
      <c r="B458" s="98" t="s">
        <v>1484</v>
      </c>
      <c r="C458" s="99" t="s">
        <v>162</v>
      </c>
      <c r="D458" s="99" t="s">
        <v>642</v>
      </c>
      <c r="E458" s="9" t="s">
        <v>643</v>
      </c>
      <c r="G458" s="9" t="s">
        <v>755</v>
      </c>
      <c r="H458" s="9" t="s">
        <v>1485</v>
      </c>
      <c r="J458" s="9">
        <v>25</v>
      </c>
      <c r="K458" s="9">
        <v>75</v>
      </c>
      <c r="L458" s="9" t="s">
        <v>64</v>
      </c>
      <c r="M458" s="9" t="s">
        <v>26</v>
      </c>
      <c r="N458" s="9" t="s">
        <v>1486</v>
      </c>
      <c r="O458" s="9" t="s">
        <v>1480</v>
      </c>
      <c r="P458" s="9">
        <v>36</v>
      </c>
      <c r="Q458" s="9" t="s">
        <v>1461</v>
      </c>
      <c r="R458" s="133">
        <v>0</v>
      </c>
      <c r="S458" s="100">
        <f t="shared" si="130"/>
        <v>100</v>
      </c>
      <c r="T458" s="100">
        <v>0</v>
      </c>
      <c r="U458" s="100">
        <v>0</v>
      </c>
      <c r="V458" s="133">
        <v>0</v>
      </c>
      <c r="W458" s="134">
        <f t="shared" si="131"/>
        <v>0</v>
      </c>
      <c r="X458" s="101">
        <f>INDEX(Chemical_analyses!$A:$L, MATCH($P458, Chemical_analyses!$A:$A), 9)/$R$2/(INDEX(Chemical_analyses!$A:$L, MATCH($P458, Chemical_analyses!$A:$A), 9)/$R$2+INDEX(Chemical_analyses!$A:$L, MATCH($P458, Chemical_analyses!$A:$A), 11)/$S$2+INDEX(Chemical_analyses!$A:$L, MATCH($P458, Chemical_analyses!$A:$A), 12)/$T$2)*100</f>
        <v>12.62939849179531</v>
      </c>
      <c r="Y458" s="101">
        <f t="shared" si="132"/>
        <v>86.592887132451722</v>
      </c>
      <c r="Z458" s="101">
        <f>INDEX(Chemical_analyses!$A:$L, MATCH($P458, Chemical_analyses!$A:$A), 12)/$T$2/(INDEX(Chemical_analyses!$A:$L, MATCH($P458, Chemical_analyses!$A:$A), 9)/$R$2+INDEX(Chemical_analyses!$A:$L, MATCH($P458, Chemical_analyses!$A:$A), 11)/$S$2+INDEX(Chemical_analyses!$A:$L, MATCH($P458, Chemical_analyses!$A:$A), 12)/$T$2)*100</f>
        <v>0.77771437575295999</v>
      </c>
      <c r="AA458" s="133">
        <v>0</v>
      </c>
      <c r="AB458" s="101">
        <f t="shared" si="133"/>
        <v>0</v>
      </c>
      <c r="AC458" s="134">
        <v>0</v>
      </c>
      <c r="AD458" s="101">
        <v>0</v>
      </c>
      <c r="AE458" s="101">
        <f t="shared" si="134"/>
        <v>0</v>
      </c>
      <c r="AF458" s="134">
        <v>0</v>
      </c>
      <c r="AG458" s="9" t="s">
        <v>69</v>
      </c>
      <c r="AH458" s="102" t="str">
        <f>_xlfn.CONCAT("FeO: ", INDEX(Chemical_analyses!$A:$M, MATCH($P458, Chemical_analyses!$A:$A), 9), ", MgO: ", INDEX(Chemical_analyses!$A:$M, MATCH($P458, Chemical_analyses!$A:$A), 11), ", CaO: ", INDEX(Chemical_analyses!$A:$M, MATCH($P458, Chemical_analyses!$A:$A), 12), ", MnO: ", INDEX(Chemical_analyses!$A:$M, MATCH($P458, Chemical_analyses!$A:$A), 10), ", NaO2: ", INDEX(Chemical_analyses!$A:$M, MATCH($P458, Chemical_analyses!$A:$A), 13), ", Fe2O3: ", INDEX(Chemical_analyses!$A:$M, MATCH($P458, Chemical_analyses!$A:$A), 8), ", Al2O3: ", INDEX(Chemical_analyses!$A:$M, MATCH($P458, Chemical_analyses!$A:$A), 6))</f>
        <v>FeO: 8.53, MgO: 32.81, CaO: 0.41, MnO: 0.19, NaO2: 0.01, Fe2O3: 0, Al2O3: 1.02</v>
      </c>
      <c r="AN458" s="32"/>
      <c r="AO458" s="32"/>
      <c r="AP458" s="32"/>
      <c r="AQ458" s="32"/>
      <c r="AW458" s="32"/>
      <c r="AX458" s="32"/>
      <c r="AY458" s="32"/>
      <c r="AZ458" s="32"/>
    </row>
    <row r="459" spans="1:52" s="9" customFormat="1">
      <c r="A459" s="9" t="s">
        <v>1487</v>
      </c>
      <c r="B459" s="98" t="s">
        <v>1488</v>
      </c>
      <c r="C459" s="99" t="s">
        <v>162</v>
      </c>
      <c r="D459" s="99" t="s">
        <v>642</v>
      </c>
      <c r="E459" s="9" t="s">
        <v>643</v>
      </c>
      <c r="G459" s="9" t="s">
        <v>755</v>
      </c>
      <c r="H459" s="9" t="s">
        <v>1485</v>
      </c>
      <c r="J459" s="9">
        <v>75</v>
      </c>
      <c r="K459" s="9">
        <v>250</v>
      </c>
      <c r="L459" s="9" t="s">
        <v>64</v>
      </c>
      <c r="M459" s="9" t="s">
        <v>26</v>
      </c>
      <c r="N459" s="9" t="s">
        <v>1442</v>
      </c>
      <c r="O459" s="9" t="s">
        <v>1480</v>
      </c>
      <c r="P459" s="9">
        <v>36</v>
      </c>
      <c r="Q459" s="9" t="s">
        <v>1489</v>
      </c>
      <c r="R459" s="133">
        <v>0</v>
      </c>
      <c r="S459" s="100">
        <f t="shared" si="130"/>
        <v>100</v>
      </c>
      <c r="T459" s="100">
        <v>0</v>
      </c>
      <c r="U459" s="100">
        <v>0</v>
      </c>
      <c r="V459" s="133">
        <v>0</v>
      </c>
      <c r="W459" s="134">
        <f t="shared" si="131"/>
        <v>0</v>
      </c>
      <c r="X459" s="101">
        <f>INDEX(Chemical_analyses!$A:$L, MATCH($P459, Chemical_analyses!$A:$A), 9)/$R$2/(INDEX(Chemical_analyses!$A:$L, MATCH($P459, Chemical_analyses!$A:$A), 9)/$R$2+INDEX(Chemical_analyses!$A:$L, MATCH($P459, Chemical_analyses!$A:$A), 11)/$S$2+INDEX(Chemical_analyses!$A:$L, MATCH($P459, Chemical_analyses!$A:$A), 12)/$T$2)*100</f>
        <v>12.62939849179531</v>
      </c>
      <c r="Y459" s="101">
        <f t="shared" si="132"/>
        <v>86.592887132451722</v>
      </c>
      <c r="Z459" s="101">
        <f>INDEX(Chemical_analyses!$A:$L, MATCH($P459, Chemical_analyses!$A:$A), 12)/$T$2/(INDEX(Chemical_analyses!$A:$L, MATCH($P459, Chemical_analyses!$A:$A), 9)/$R$2+INDEX(Chemical_analyses!$A:$L, MATCH($P459, Chemical_analyses!$A:$A), 11)/$S$2+INDEX(Chemical_analyses!$A:$L, MATCH($P459, Chemical_analyses!$A:$A), 12)/$T$2)*100</f>
        <v>0.77771437575295999</v>
      </c>
      <c r="AA459" s="164">
        <v>0</v>
      </c>
      <c r="AB459" s="101">
        <f t="shared" si="133"/>
        <v>0</v>
      </c>
      <c r="AC459" s="135">
        <v>0</v>
      </c>
      <c r="AD459" s="101">
        <v>0</v>
      </c>
      <c r="AE459" s="101">
        <f t="shared" si="134"/>
        <v>0</v>
      </c>
      <c r="AF459" s="135">
        <v>0</v>
      </c>
      <c r="AG459" s="9" t="s">
        <v>69</v>
      </c>
      <c r="AH459" s="102" t="str">
        <f>_xlfn.CONCAT("FeO: ", INDEX(Chemical_analyses!$A:$M, MATCH($P459, Chemical_analyses!$A:$A), 9), ", MgO: ", INDEX(Chemical_analyses!$A:$M, MATCH($P459, Chemical_analyses!$A:$A), 11), ", CaO: ", INDEX(Chemical_analyses!$A:$M, MATCH($P459, Chemical_analyses!$A:$A), 12), ", MnO: ", INDEX(Chemical_analyses!$A:$M, MATCH($P459, Chemical_analyses!$A:$A), 10), ", NaO2: ", INDEX(Chemical_analyses!$A:$M, MATCH($P459, Chemical_analyses!$A:$A), 13), ", Fe2O3: ", INDEX(Chemical_analyses!$A:$M, MATCH($P459, Chemical_analyses!$A:$A), 8), ", Al2O3: ", INDEX(Chemical_analyses!$A:$M, MATCH($P459, Chemical_analyses!$A:$A), 6))</f>
        <v>FeO: 8.53, MgO: 32.81, CaO: 0.41, MnO: 0.19, NaO2: 0.01, Fe2O3: 0, Al2O3: 1.02</v>
      </c>
      <c r="AN459" s="32"/>
      <c r="AO459" s="32"/>
      <c r="AP459" s="32"/>
      <c r="AQ459" s="32"/>
      <c r="AW459" s="32"/>
      <c r="AX459" s="32"/>
      <c r="AY459" s="32"/>
      <c r="AZ459" s="32"/>
    </row>
    <row r="460" spans="1:52" s="9" customFormat="1">
      <c r="A460" s="9" t="s">
        <v>1490</v>
      </c>
      <c r="B460" s="98" t="s">
        <v>1491</v>
      </c>
      <c r="C460" s="99" t="s">
        <v>162</v>
      </c>
      <c r="D460" s="99" t="s">
        <v>642</v>
      </c>
      <c r="E460" s="9" t="s">
        <v>643</v>
      </c>
      <c r="G460" s="9" t="s">
        <v>755</v>
      </c>
      <c r="H460" s="9" t="s">
        <v>1485</v>
      </c>
      <c r="J460" s="9">
        <v>0</v>
      </c>
      <c r="K460" s="9">
        <v>250</v>
      </c>
      <c r="L460" s="9" t="s">
        <v>64</v>
      </c>
      <c r="M460" s="9" t="s">
        <v>26</v>
      </c>
      <c r="N460" s="9" t="s">
        <v>1442</v>
      </c>
      <c r="O460" s="9" t="s">
        <v>1480</v>
      </c>
      <c r="P460" s="9">
        <v>36</v>
      </c>
      <c r="Q460" s="9" t="s">
        <v>1489</v>
      </c>
      <c r="R460" s="133">
        <v>0</v>
      </c>
      <c r="S460" s="100">
        <f t="shared" si="130"/>
        <v>100</v>
      </c>
      <c r="T460" s="100">
        <v>0</v>
      </c>
      <c r="U460" s="100">
        <v>0</v>
      </c>
      <c r="V460" s="133">
        <v>0</v>
      </c>
      <c r="W460" s="134">
        <f t="shared" si="131"/>
        <v>0</v>
      </c>
      <c r="X460" s="101">
        <f>INDEX(Chemical_analyses!$A:$L, MATCH($P460, Chemical_analyses!$A:$A), 9)/$R$2/(INDEX(Chemical_analyses!$A:$L, MATCH($P460, Chemical_analyses!$A:$A), 9)/$R$2+INDEX(Chemical_analyses!$A:$L, MATCH($P460, Chemical_analyses!$A:$A), 11)/$S$2+INDEX(Chemical_analyses!$A:$L, MATCH($P460, Chemical_analyses!$A:$A), 12)/$T$2)*100</f>
        <v>12.62939849179531</v>
      </c>
      <c r="Y460" s="101">
        <f t="shared" si="132"/>
        <v>86.592887132451722</v>
      </c>
      <c r="Z460" s="101">
        <f>INDEX(Chemical_analyses!$A:$L, MATCH($P460, Chemical_analyses!$A:$A), 12)/$T$2/(INDEX(Chemical_analyses!$A:$L, MATCH($P460, Chemical_analyses!$A:$A), 9)/$R$2+INDEX(Chemical_analyses!$A:$L, MATCH($P460, Chemical_analyses!$A:$A), 11)/$S$2+INDEX(Chemical_analyses!$A:$L, MATCH($P460, Chemical_analyses!$A:$A), 12)/$T$2)*100</f>
        <v>0.77771437575295999</v>
      </c>
      <c r="AA460" s="164">
        <v>0</v>
      </c>
      <c r="AB460" s="101">
        <f t="shared" si="133"/>
        <v>0</v>
      </c>
      <c r="AC460" s="135">
        <v>0</v>
      </c>
      <c r="AD460" s="101">
        <v>0</v>
      </c>
      <c r="AE460" s="101">
        <f t="shared" si="134"/>
        <v>0</v>
      </c>
      <c r="AF460" s="135">
        <v>0</v>
      </c>
      <c r="AG460" s="9" t="s">
        <v>69</v>
      </c>
      <c r="AH460" s="102" t="str">
        <f>_xlfn.CONCAT("FeO: ", INDEX(Chemical_analyses!$A:$M, MATCH($P460, Chemical_analyses!$A:$A), 9), ", MgO: ", INDEX(Chemical_analyses!$A:$M, MATCH($P460, Chemical_analyses!$A:$A), 11), ", CaO: ", INDEX(Chemical_analyses!$A:$M, MATCH($P460, Chemical_analyses!$A:$A), 12), ", MnO: ", INDEX(Chemical_analyses!$A:$M, MATCH($P460, Chemical_analyses!$A:$A), 10), ", NaO2: ", INDEX(Chemical_analyses!$A:$M, MATCH($P460, Chemical_analyses!$A:$A), 13), ", Fe2O3: ", INDEX(Chemical_analyses!$A:$M, MATCH($P460, Chemical_analyses!$A:$A), 8), ", Al2O3: ", INDEX(Chemical_analyses!$A:$M, MATCH($P460, Chemical_analyses!$A:$A), 6))</f>
        <v>FeO: 8.53, MgO: 32.81, CaO: 0.41, MnO: 0.19, NaO2: 0.01, Fe2O3: 0, Al2O3: 1.02</v>
      </c>
      <c r="AN460" s="32"/>
      <c r="AO460" s="32"/>
      <c r="AP460" s="32"/>
      <c r="AQ460" s="32"/>
      <c r="AW460" s="32"/>
      <c r="AX460" s="32"/>
      <c r="AY460" s="32"/>
      <c r="AZ460" s="32"/>
    </row>
    <row r="461" spans="1:52" s="9" customFormat="1">
      <c r="A461" s="9" t="s">
        <v>1492</v>
      </c>
      <c r="B461" s="98" t="s">
        <v>1493</v>
      </c>
      <c r="C461" s="99" t="s">
        <v>162</v>
      </c>
      <c r="D461" s="99" t="s">
        <v>642</v>
      </c>
      <c r="E461" s="9" t="s">
        <v>643</v>
      </c>
      <c r="G461" s="9" t="s">
        <v>755</v>
      </c>
      <c r="H461" s="9" t="s">
        <v>1485</v>
      </c>
      <c r="J461" s="9">
        <v>0</v>
      </c>
      <c r="K461" s="9">
        <v>250</v>
      </c>
      <c r="L461" s="9" t="s">
        <v>64</v>
      </c>
      <c r="M461" s="9" t="s">
        <v>26</v>
      </c>
      <c r="N461" s="9" t="s">
        <v>1442</v>
      </c>
      <c r="O461" s="9" t="s">
        <v>1480</v>
      </c>
      <c r="P461" s="9">
        <v>36</v>
      </c>
      <c r="Q461" s="9" t="s">
        <v>1489</v>
      </c>
      <c r="R461" s="133">
        <v>0</v>
      </c>
      <c r="S461" s="100">
        <f t="shared" si="130"/>
        <v>100</v>
      </c>
      <c r="T461" s="100">
        <v>0</v>
      </c>
      <c r="U461" s="100">
        <v>0</v>
      </c>
      <c r="V461" s="133">
        <v>0</v>
      </c>
      <c r="W461" s="134">
        <f t="shared" si="131"/>
        <v>0</v>
      </c>
      <c r="X461" s="101">
        <f>INDEX(Chemical_analyses!$A:$L, MATCH($P461, Chemical_analyses!$A:$A), 9)/$R$2/(INDEX(Chemical_analyses!$A:$L, MATCH($P461, Chemical_analyses!$A:$A), 9)/$R$2+INDEX(Chemical_analyses!$A:$L, MATCH($P461, Chemical_analyses!$A:$A), 11)/$S$2+INDEX(Chemical_analyses!$A:$L, MATCH($P461, Chemical_analyses!$A:$A), 12)/$T$2)*100</f>
        <v>12.62939849179531</v>
      </c>
      <c r="Y461" s="101">
        <f t="shared" si="132"/>
        <v>86.592887132451722</v>
      </c>
      <c r="Z461" s="101">
        <f>INDEX(Chemical_analyses!$A:$L, MATCH($P461, Chemical_analyses!$A:$A), 12)/$T$2/(INDEX(Chemical_analyses!$A:$L, MATCH($P461, Chemical_analyses!$A:$A), 9)/$R$2+INDEX(Chemical_analyses!$A:$L, MATCH($P461, Chemical_analyses!$A:$A), 11)/$S$2+INDEX(Chemical_analyses!$A:$L, MATCH($P461, Chemical_analyses!$A:$A), 12)/$T$2)*100</f>
        <v>0.77771437575295999</v>
      </c>
      <c r="AA461" s="133">
        <v>0</v>
      </c>
      <c r="AB461" s="101">
        <f t="shared" si="133"/>
        <v>0</v>
      </c>
      <c r="AC461" s="134">
        <v>0</v>
      </c>
      <c r="AD461" s="101">
        <v>0</v>
      </c>
      <c r="AE461" s="101">
        <f t="shared" si="134"/>
        <v>0</v>
      </c>
      <c r="AF461" s="134">
        <v>0</v>
      </c>
      <c r="AG461" s="9" t="s">
        <v>69</v>
      </c>
      <c r="AH461" s="102" t="str">
        <f>_xlfn.CONCAT("FeO: ", INDEX(Chemical_analyses!$A:$M, MATCH($P461, Chemical_analyses!$A:$A), 9), ", MgO: ", INDEX(Chemical_analyses!$A:$M, MATCH($P461, Chemical_analyses!$A:$A), 11), ", CaO: ", INDEX(Chemical_analyses!$A:$M, MATCH($P461, Chemical_analyses!$A:$A), 12), ", MnO: ", INDEX(Chemical_analyses!$A:$M, MATCH($P461, Chemical_analyses!$A:$A), 10), ", NaO2: ", INDEX(Chemical_analyses!$A:$M, MATCH($P461, Chemical_analyses!$A:$A), 13), ", Fe2O3: ", INDEX(Chemical_analyses!$A:$M, MATCH($P461, Chemical_analyses!$A:$A), 8), ", Al2O3: ", INDEX(Chemical_analyses!$A:$M, MATCH($P461, Chemical_analyses!$A:$A), 6))</f>
        <v>FeO: 8.53, MgO: 32.81, CaO: 0.41, MnO: 0.19, NaO2: 0.01, Fe2O3: 0, Al2O3: 1.02</v>
      </c>
      <c r="AN461" s="32"/>
      <c r="AO461" s="32"/>
      <c r="AP461" s="32"/>
      <c r="AQ461" s="32"/>
      <c r="AW461" s="32"/>
      <c r="AX461" s="32"/>
      <c r="AY461" s="32"/>
      <c r="AZ461" s="32"/>
    </row>
    <row r="462" spans="1:52" s="9" customFormat="1">
      <c r="A462" s="9" t="s">
        <v>1494</v>
      </c>
      <c r="B462" s="98" t="s">
        <v>1495</v>
      </c>
      <c r="C462" s="99" t="s">
        <v>162</v>
      </c>
      <c r="D462" s="99" t="s">
        <v>642</v>
      </c>
      <c r="E462" s="9" t="s">
        <v>643</v>
      </c>
      <c r="G462" s="9" t="s">
        <v>755</v>
      </c>
      <c r="H462" s="9" t="s">
        <v>1485</v>
      </c>
      <c r="J462" s="9">
        <v>0</v>
      </c>
      <c r="K462" s="9">
        <v>250</v>
      </c>
      <c r="L462" s="9" t="s">
        <v>64</v>
      </c>
      <c r="M462" s="9" t="s">
        <v>26</v>
      </c>
      <c r="N462" s="9" t="s">
        <v>1442</v>
      </c>
      <c r="O462" s="9" t="s">
        <v>1480</v>
      </c>
      <c r="P462" s="9">
        <v>36</v>
      </c>
      <c r="Q462" s="9" t="s">
        <v>1489</v>
      </c>
      <c r="R462" s="133">
        <v>0</v>
      </c>
      <c r="S462" s="100">
        <f t="shared" si="130"/>
        <v>100</v>
      </c>
      <c r="T462" s="100">
        <v>0</v>
      </c>
      <c r="U462" s="100">
        <v>0</v>
      </c>
      <c r="V462" s="133">
        <v>0</v>
      </c>
      <c r="W462" s="134">
        <f t="shared" si="131"/>
        <v>0</v>
      </c>
      <c r="X462" s="101">
        <f>INDEX(Chemical_analyses!$A:$L, MATCH($P462, Chemical_analyses!$A:$A), 9)/$R$2/(INDEX(Chemical_analyses!$A:$L, MATCH($P462, Chemical_analyses!$A:$A), 9)/$R$2+INDEX(Chemical_analyses!$A:$L, MATCH($P462, Chemical_analyses!$A:$A), 11)/$S$2+INDEX(Chemical_analyses!$A:$L, MATCH($P462, Chemical_analyses!$A:$A), 12)/$T$2)*100</f>
        <v>12.62939849179531</v>
      </c>
      <c r="Y462" s="101">
        <f t="shared" si="132"/>
        <v>86.592887132451722</v>
      </c>
      <c r="Z462" s="101">
        <f>INDEX(Chemical_analyses!$A:$L, MATCH($P462, Chemical_analyses!$A:$A), 12)/$T$2/(INDEX(Chemical_analyses!$A:$L, MATCH($P462, Chemical_analyses!$A:$A), 9)/$R$2+INDEX(Chemical_analyses!$A:$L, MATCH($P462, Chemical_analyses!$A:$A), 11)/$S$2+INDEX(Chemical_analyses!$A:$L, MATCH($P462, Chemical_analyses!$A:$A), 12)/$T$2)*100</f>
        <v>0.77771437575295999</v>
      </c>
      <c r="AA462" s="164">
        <v>0</v>
      </c>
      <c r="AB462" s="101">
        <f t="shared" si="133"/>
        <v>0</v>
      </c>
      <c r="AC462" s="135">
        <v>0</v>
      </c>
      <c r="AD462" s="101">
        <v>0</v>
      </c>
      <c r="AE462" s="101">
        <f t="shared" si="134"/>
        <v>0</v>
      </c>
      <c r="AF462" s="135">
        <v>0</v>
      </c>
      <c r="AG462" s="9" t="s">
        <v>69</v>
      </c>
      <c r="AH462" s="102" t="str">
        <f>_xlfn.CONCAT("FeO: ", INDEX(Chemical_analyses!$A:$M, MATCH($P462, Chemical_analyses!$A:$A), 9), ", MgO: ", INDEX(Chemical_analyses!$A:$M, MATCH($P462, Chemical_analyses!$A:$A), 11), ", CaO: ", INDEX(Chemical_analyses!$A:$M, MATCH($P462, Chemical_analyses!$A:$A), 12), ", MnO: ", INDEX(Chemical_analyses!$A:$M, MATCH($P462, Chemical_analyses!$A:$A), 10), ", NaO2: ", INDEX(Chemical_analyses!$A:$M, MATCH($P462, Chemical_analyses!$A:$A), 13), ", Fe2O3: ", INDEX(Chemical_analyses!$A:$M, MATCH($P462, Chemical_analyses!$A:$A), 8), ", Al2O3: ", INDEX(Chemical_analyses!$A:$M, MATCH($P462, Chemical_analyses!$A:$A), 6))</f>
        <v>FeO: 8.53, MgO: 32.81, CaO: 0.41, MnO: 0.19, NaO2: 0.01, Fe2O3: 0, Al2O3: 1.02</v>
      </c>
      <c r="AN462" s="32"/>
      <c r="AO462" s="32"/>
      <c r="AP462" s="32"/>
      <c r="AQ462" s="32"/>
      <c r="AW462" s="32"/>
      <c r="AX462" s="32"/>
      <c r="AY462" s="32"/>
      <c r="AZ462" s="32"/>
    </row>
    <row r="463" spans="1:52" s="9" customFormat="1">
      <c r="A463" s="9" t="s">
        <v>1496</v>
      </c>
      <c r="B463" s="98" t="s">
        <v>1497</v>
      </c>
      <c r="C463" s="99" t="s">
        <v>162</v>
      </c>
      <c r="D463" s="99" t="s">
        <v>642</v>
      </c>
      <c r="E463" s="9" t="s">
        <v>643</v>
      </c>
      <c r="G463" s="9" t="s">
        <v>755</v>
      </c>
      <c r="H463" s="9" t="s">
        <v>1498</v>
      </c>
      <c r="J463" s="9">
        <v>0</v>
      </c>
      <c r="K463" s="9">
        <v>25</v>
      </c>
      <c r="L463" s="9" t="s">
        <v>64</v>
      </c>
      <c r="M463" s="9" t="s">
        <v>26</v>
      </c>
      <c r="N463" s="9" t="s">
        <v>1499</v>
      </c>
      <c r="O463" s="9" t="s">
        <v>800</v>
      </c>
      <c r="P463" s="9">
        <v>0</v>
      </c>
      <c r="R463" s="133">
        <v>0</v>
      </c>
      <c r="S463" s="100">
        <f t="shared" si="130"/>
        <v>100</v>
      </c>
      <c r="T463" s="100">
        <v>0</v>
      </c>
      <c r="U463" s="100">
        <v>0</v>
      </c>
      <c r="V463" s="133">
        <v>0</v>
      </c>
      <c r="W463" s="134">
        <f t="shared" si="131"/>
        <v>0</v>
      </c>
      <c r="X463" s="101">
        <f t="shared" ref="X463:X468" si="135">(55+65)/2</f>
        <v>60</v>
      </c>
      <c r="Y463" s="101">
        <f t="shared" si="132"/>
        <v>40</v>
      </c>
      <c r="Z463" s="101">
        <v>0</v>
      </c>
      <c r="AA463" s="164">
        <v>0</v>
      </c>
      <c r="AB463" s="101">
        <f t="shared" si="133"/>
        <v>0</v>
      </c>
      <c r="AC463" s="135">
        <v>0</v>
      </c>
      <c r="AD463" s="101">
        <v>0</v>
      </c>
      <c r="AE463" s="101">
        <f t="shared" si="134"/>
        <v>0</v>
      </c>
      <c r="AF463" s="135">
        <v>0</v>
      </c>
      <c r="AG463" s="9" t="s">
        <v>69</v>
      </c>
      <c r="AH463" s="9" t="s">
        <v>1500</v>
      </c>
      <c r="AN463" s="32"/>
      <c r="AO463" s="32"/>
      <c r="AP463" s="32"/>
      <c r="AQ463" s="32"/>
      <c r="AW463" s="32"/>
      <c r="AX463" s="32"/>
      <c r="AY463" s="32"/>
      <c r="AZ463" s="32"/>
    </row>
    <row r="464" spans="1:52" s="9" customFormat="1">
      <c r="A464" s="9" t="s">
        <v>1501</v>
      </c>
      <c r="B464" s="98" t="s">
        <v>1497</v>
      </c>
      <c r="C464" s="99" t="s">
        <v>162</v>
      </c>
      <c r="D464" s="99" t="s">
        <v>642</v>
      </c>
      <c r="E464" s="9" t="s">
        <v>643</v>
      </c>
      <c r="G464" s="9" t="s">
        <v>755</v>
      </c>
      <c r="H464" s="9" t="s">
        <v>1498</v>
      </c>
      <c r="J464" s="9">
        <v>25</v>
      </c>
      <c r="K464" s="9">
        <v>45</v>
      </c>
      <c r="L464" s="9" t="s">
        <v>64</v>
      </c>
      <c r="M464" s="9" t="s">
        <v>26</v>
      </c>
      <c r="N464" s="9" t="s">
        <v>1499</v>
      </c>
      <c r="O464" s="9" t="s">
        <v>800</v>
      </c>
      <c r="P464" s="9">
        <v>0</v>
      </c>
      <c r="R464" s="133">
        <v>0</v>
      </c>
      <c r="S464" s="100">
        <f t="shared" si="130"/>
        <v>100</v>
      </c>
      <c r="T464" s="100">
        <v>0</v>
      </c>
      <c r="U464" s="100">
        <v>0</v>
      </c>
      <c r="V464" s="133">
        <v>0</v>
      </c>
      <c r="W464" s="134">
        <f t="shared" si="131"/>
        <v>0</v>
      </c>
      <c r="X464" s="101">
        <f t="shared" si="135"/>
        <v>60</v>
      </c>
      <c r="Y464" s="101">
        <f t="shared" si="132"/>
        <v>40</v>
      </c>
      <c r="Z464" s="101">
        <v>0</v>
      </c>
      <c r="AA464" s="133">
        <v>0</v>
      </c>
      <c r="AB464" s="101">
        <f t="shared" si="133"/>
        <v>0</v>
      </c>
      <c r="AC464" s="134">
        <v>0</v>
      </c>
      <c r="AD464" s="101">
        <v>0</v>
      </c>
      <c r="AE464" s="101">
        <f t="shared" si="134"/>
        <v>0</v>
      </c>
      <c r="AF464" s="134">
        <v>0</v>
      </c>
      <c r="AG464" s="9" t="s">
        <v>69</v>
      </c>
      <c r="AH464" s="9" t="s">
        <v>1500</v>
      </c>
      <c r="AN464" s="32"/>
      <c r="AO464" s="32"/>
      <c r="AP464" s="32"/>
      <c r="AQ464" s="32"/>
      <c r="AW464" s="32"/>
      <c r="AX464" s="32"/>
      <c r="AY464" s="32"/>
      <c r="AZ464" s="32"/>
    </row>
    <row r="465" spans="1:52" s="9" customFormat="1">
      <c r="A465" s="9" t="s">
        <v>1502</v>
      </c>
      <c r="B465" s="98" t="s">
        <v>1497</v>
      </c>
      <c r="C465" s="99" t="s">
        <v>162</v>
      </c>
      <c r="D465" s="99" t="s">
        <v>642</v>
      </c>
      <c r="E465" s="9" t="s">
        <v>643</v>
      </c>
      <c r="G465" s="9" t="s">
        <v>755</v>
      </c>
      <c r="H465" s="9" t="s">
        <v>1498</v>
      </c>
      <c r="J465" s="9">
        <v>45</v>
      </c>
      <c r="K465" s="9">
        <v>75</v>
      </c>
      <c r="L465" s="9" t="s">
        <v>64</v>
      </c>
      <c r="M465" s="9" t="s">
        <v>26</v>
      </c>
      <c r="N465" s="9" t="s">
        <v>1499</v>
      </c>
      <c r="O465" s="9" t="s">
        <v>800</v>
      </c>
      <c r="P465" s="9">
        <v>0</v>
      </c>
      <c r="R465" s="133">
        <v>0</v>
      </c>
      <c r="S465" s="100">
        <f t="shared" si="130"/>
        <v>100</v>
      </c>
      <c r="T465" s="100">
        <v>0</v>
      </c>
      <c r="U465" s="100">
        <v>0</v>
      </c>
      <c r="V465" s="133">
        <v>0</v>
      </c>
      <c r="W465" s="134">
        <f t="shared" si="131"/>
        <v>0</v>
      </c>
      <c r="X465" s="101">
        <f t="shared" si="135"/>
        <v>60</v>
      </c>
      <c r="Y465" s="101">
        <f t="shared" si="132"/>
        <v>40</v>
      </c>
      <c r="Z465" s="101">
        <v>0</v>
      </c>
      <c r="AA465" s="164">
        <v>0</v>
      </c>
      <c r="AB465" s="101">
        <f t="shared" si="133"/>
        <v>0</v>
      </c>
      <c r="AC465" s="135">
        <v>0</v>
      </c>
      <c r="AD465" s="101">
        <v>0</v>
      </c>
      <c r="AE465" s="101">
        <f t="shared" si="134"/>
        <v>0</v>
      </c>
      <c r="AF465" s="135">
        <v>0</v>
      </c>
      <c r="AG465" s="9" t="s">
        <v>69</v>
      </c>
      <c r="AH465" s="9" t="s">
        <v>1500</v>
      </c>
      <c r="AN465" s="32"/>
      <c r="AO465" s="32"/>
      <c r="AP465" s="32"/>
      <c r="AQ465" s="32"/>
      <c r="AW465" s="32"/>
      <c r="AX465" s="32"/>
      <c r="AY465" s="32"/>
      <c r="AZ465" s="32"/>
    </row>
    <row r="466" spans="1:52" s="9" customFormat="1">
      <c r="A466" s="9" t="s">
        <v>1503</v>
      </c>
      <c r="B466" s="98" t="s">
        <v>1497</v>
      </c>
      <c r="C466" s="99" t="s">
        <v>162</v>
      </c>
      <c r="D466" s="99" t="s">
        <v>642</v>
      </c>
      <c r="E466" s="9" t="s">
        <v>643</v>
      </c>
      <c r="G466" s="9" t="s">
        <v>755</v>
      </c>
      <c r="H466" s="9" t="s">
        <v>1498</v>
      </c>
      <c r="J466" s="9">
        <v>75</v>
      </c>
      <c r="K466" s="9">
        <v>125</v>
      </c>
      <c r="L466" s="9" t="s">
        <v>64</v>
      </c>
      <c r="M466" s="9" t="s">
        <v>26</v>
      </c>
      <c r="N466" s="9" t="s">
        <v>1499</v>
      </c>
      <c r="O466" s="9" t="s">
        <v>800</v>
      </c>
      <c r="P466" s="9">
        <v>0</v>
      </c>
      <c r="R466" s="133">
        <v>0</v>
      </c>
      <c r="S466" s="100">
        <f t="shared" si="130"/>
        <v>100</v>
      </c>
      <c r="T466" s="100">
        <v>0</v>
      </c>
      <c r="U466" s="100">
        <v>0</v>
      </c>
      <c r="V466" s="133">
        <v>0</v>
      </c>
      <c r="W466" s="134">
        <f t="shared" si="131"/>
        <v>0</v>
      </c>
      <c r="X466" s="101">
        <f t="shared" si="135"/>
        <v>60</v>
      </c>
      <c r="Y466" s="101">
        <f t="shared" si="132"/>
        <v>40</v>
      </c>
      <c r="Z466" s="101">
        <v>0</v>
      </c>
      <c r="AA466" s="133">
        <v>0</v>
      </c>
      <c r="AB466" s="101">
        <f t="shared" si="133"/>
        <v>0</v>
      </c>
      <c r="AC466" s="134">
        <v>0</v>
      </c>
      <c r="AD466" s="101">
        <v>0</v>
      </c>
      <c r="AE466" s="101">
        <f t="shared" si="134"/>
        <v>0</v>
      </c>
      <c r="AF466" s="134">
        <v>0</v>
      </c>
      <c r="AG466" s="9" t="s">
        <v>69</v>
      </c>
      <c r="AH466" s="9" t="s">
        <v>1500</v>
      </c>
      <c r="AN466" s="32"/>
      <c r="AO466" s="32"/>
      <c r="AP466" s="32"/>
      <c r="AQ466" s="32"/>
      <c r="AW466" s="32"/>
      <c r="AX466" s="32"/>
      <c r="AY466" s="32"/>
      <c r="AZ466" s="32"/>
    </row>
    <row r="467" spans="1:52" s="9" customFormat="1">
      <c r="A467" s="9" t="s">
        <v>1504</v>
      </c>
      <c r="B467" s="98" t="s">
        <v>1497</v>
      </c>
      <c r="C467" s="99" t="s">
        <v>162</v>
      </c>
      <c r="D467" s="99" t="s">
        <v>642</v>
      </c>
      <c r="E467" s="9" t="s">
        <v>643</v>
      </c>
      <c r="G467" s="9" t="s">
        <v>755</v>
      </c>
      <c r="H467" s="9" t="s">
        <v>1498</v>
      </c>
      <c r="J467" s="9">
        <v>125</v>
      </c>
      <c r="K467" s="9">
        <v>250</v>
      </c>
      <c r="L467" s="9" t="s">
        <v>64</v>
      </c>
      <c r="M467" s="9" t="s">
        <v>26</v>
      </c>
      <c r="N467" s="9" t="s">
        <v>1499</v>
      </c>
      <c r="O467" s="9" t="s">
        <v>800</v>
      </c>
      <c r="P467" s="9">
        <v>0</v>
      </c>
      <c r="R467" s="133">
        <v>0</v>
      </c>
      <c r="S467" s="100">
        <f t="shared" si="130"/>
        <v>100</v>
      </c>
      <c r="T467" s="100">
        <v>0</v>
      </c>
      <c r="U467" s="100">
        <v>0</v>
      </c>
      <c r="V467" s="133">
        <v>0</v>
      </c>
      <c r="W467" s="134">
        <f t="shared" si="131"/>
        <v>0</v>
      </c>
      <c r="X467" s="101">
        <f t="shared" si="135"/>
        <v>60</v>
      </c>
      <c r="Y467" s="101">
        <f t="shared" si="132"/>
        <v>40</v>
      </c>
      <c r="Z467" s="101">
        <v>0</v>
      </c>
      <c r="AA467" s="164">
        <v>0</v>
      </c>
      <c r="AB467" s="101">
        <f t="shared" si="133"/>
        <v>0</v>
      </c>
      <c r="AC467" s="135">
        <v>0</v>
      </c>
      <c r="AD467" s="101">
        <v>0</v>
      </c>
      <c r="AE467" s="101">
        <f t="shared" si="134"/>
        <v>0</v>
      </c>
      <c r="AF467" s="135">
        <v>0</v>
      </c>
      <c r="AG467" s="9" t="s">
        <v>69</v>
      </c>
      <c r="AH467" s="9" t="s">
        <v>1500</v>
      </c>
      <c r="AN467" s="32"/>
      <c r="AO467" s="32"/>
      <c r="AP467" s="32"/>
      <c r="AQ467" s="32"/>
      <c r="AW467" s="32"/>
      <c r="AX467" s="32"/>
      <c r="AY467" s="32"/>
      <c r="AZ467" s="32"/>
    </row>
    <row r="468" spans="1:52" s="9" customFormat="1">
      <c r="A468" s="9" t="s">
        <v>1505</v>
      </c>
      <c r="B468" s="98" t="s">
        <v>1497</v>
      </c>
      <c r="C468" s="99" t="s">
        <v>162</v>
      </c>
      <c r="D468" s="99" t="s">
        <v>642</v>
      </c>
      <c r="E468" s="9" t="s">
        <v>643</v>
      </c>
      <c r="G468" s="9" t="s">
        <v>755</v>
      </c>
      <c r="H468" s="9" t="s">
        <v>1498</v>
      </c>
      <c r="J468" s="9">
        <v>250</v>
      </c>
      <c r="K468" s="9">
        <v>500</v>
      </c>
      <c r="L468" s="9" t="s">
        <v>64</v>
      </c>
      <c r="M468" s="9" t="s">
        <v>26</v>
      </c>
      <c r="N468" s="9" t="s">
        <v>1499</v>
      </c>
      <c r="O468" s="9" t="s">
        <v>800</v>
      </c>
      <c r="P468" s="9">
        <v>0</v>
      </c>
      <c r="R468" s="133">
        <v>0</v>
      </c>
      <c r="S468" s="100">
        <f t="shared" si="130"/>
        <v>100</v>
      </c>
      <c r="T468" s="100">
        <v>0</v>
      </c>
      <c r="U468" s="100">
        <v>0</v>
      </c>
      <c r="V468" s="133">
        <v>0</v>
      </c>
      <c r="W468" s="134">
        <f t="shared" si="131"/>
        <v>0</v>
      </c>
      <c r="X468" s="101">
        <f t="shared" si="135"/>
        <v>60</v>
      </c>
      <c r="Y468" s="101">
        <f t="shared" si="132"/>
        <v>40</v>
      </c>
      <c r="Z468" s="101">
        <v>0</v>
      </c>
      <c r="AA468" s="133">
        <v>0</v>
      </c>
      <c r="AB468" s="101">
        <f t="shared" si="133"/>
        <v>0</v>
      </c>
      <c r="AC468" s="134">
        <v>0</v>
      </c>
      <c r="AD468" s="101">
        <v>0</v>
      </c>
      <c r="AE468" s="101">
        <f t="shared" si="134"/>
        <v>0</v>
      </c>
      <c r="AF468" s="134">
        <v>0</v>
      </c>
      <c r="AG468" s="9" t="s">
        <v>69</v>
      </c>
      <c r="AH468" s="9" t="s">
        <v>1500</v>
      </c>
      <c r="AN468" s="32"/>
      <c r="AO468" s="32"/>
      <c r="AP468" s="32"/>
      <c r="AQ468" s="32"/>
      <c r="AW468" s="32"/>
      <c r="AX468" s="32"/>
      <c r="AY468" s="32"/>
      <c r="AZ468" s="32"/>
    </row>
    <row r="469" spans="1:52" s="9" customFormat="1">
      <c r="A469" s="9" t="s">
        <v>1506</v>
      </c>
      <c r="B469" s="98" t="s">
        <v>1507</v>
      </c>
      <c r="C469" s="99" t="s">
        <v>162</v>
      </c>
      <c r="D469" s="99" t="s">
        <v>642</v>
      </c>
      <c r="E469" s="9" t="s">
        <v>643</v>
      </c>
      <c r="G469" s="9" t="s">
        <v>755</v>
      </c>
      <c r="H469" s="9" t="s">
        <v>1498</v>
      </c>
      <c r="J469" s="9">
        <v>0</v>
      </c>
      <c r="K469" s="9">
        <v>25</v>
      </c>
      <c r="L469" s="9" t="s">
        <v>64</v>
      </c>
      <c r="M469" s="9" t="s">
        <v>26</v>
      </c>
      <c r="N469" s="9" t="s">
        <v>1508</v>
      </c>
      <c r="O469" s="9" t="s">
        <v>800</v>
      </c>
      <c r="P469" s="9">
        <v>0</v>
      </c>
      <c r="R469" s="133">
        <v>0</v>
      </c>
      <c r="S469" s="100">
        <f t="shared" si="130"/>
        <v>100</v>
      </c>
      <c r="T469" s="100">
        <v>0</v>
      </c>
      <c r="U469" s="100">
        <v>0</v>
      </c>
      <c r="V469" s="133">
        <v>0</v>
      </c>
      <c r="W469" s="134">
        <f t="shared" si="131"/>
        <v>0</v>
      </c>
      <c r="X469" s="101">
        <v>40.6</v>
      </c>
      <c r="Y469" s="101">
        <f t="shared" si="132"/>
        <v>55.8</v>
      </c>
      <c r="Z469" s="101">
        <v>3.6</v>
      </c>
      <c r="AA469" s="133">
        <v>0</v>
      </c>
      <c r="AB469" s="101">
        <f t="shared" si="133"/>
        <v>0</v>
      </c>
      <c r="AC469" s="134">
        <v>0</v>
      </c>
      <c r="AD469" s="101">
        <v>0</v>
      </c>
      <c r="AE469" s="101">
        <f t="shared" si="134"/>
        <v>0</v>
      </c>
      <c r="AF469" s="134">
        <v>0</v>
      </c>
      <c r="AG469" s="9" t="s">
        <v>69</v>
      </c>
      <c r="AH469" s="29" t="s">
        <v>1509</v>
      </c>
      <c r="AJ469" s="102"/>
      <c r="AN469" s="32"/>
      <c r="AO469" s="32"/>
      <c r="AP469" s="32"/>
      <c r="AQ469" s="32"/>
      <c r="AW469" s="32"/>
      <c r="AX469" s="32"/>
      <c r="AY469" s="32"/>
      <c r="AZ469" s="32"/>
    </row>
    <row r="470" spans="1:52" s="9" customFormat="1">
      <c r="A470" s="9" t="s">
        <v>1510</v>
      </c>
      <c r="B470" s="98" t="s">
        <v>1507</v>
      </c>
      <c r="C470" s="99" t="s">
        <v>162</v>
      </c>
      <c r="D470" s="99" t="s">
        <v>642</v>
      </c>
      <c r="E470" s="9" t="s">
        <v>643</v>
      </c>
      <c r="G470" s="9" t="s">
        <v>755</v>
      </c>
      <c r="H470" s="9" t="s">
        <v>1498</v>
      </c>
      <c r="J470" s="9">
        <v>0</v>
      </c>
      <c r="K470" s="9">
        <v>25</v>
      </c>
      <c r="L470" s="9" t="s">
        <v>64</v>
      </c>
      <c r="M470" s="9" t="s">
        <v>26</v>
      </c>
      <c r="N470" s="9" t="s">
        <v>1508</v>
      </c>
      <c r="O470" s="9" t="s">
        <v>800</v>
      </c>
      <c r="P470" s="9">
        <v>0</v>
      </c>
      <c r="R470" s="133">
        <v>0</v>
      </c>
      <c r="S470" s="100">
        <f t="shared" si="130"/>
        <v>100</v>
      </c>
      <c r="T470" s="100">
        <v>0</v>
      </c>
      <c r="U470" s="100">
        <v>0</v>
      </c>
      <c r="V470" s="133">
        <v>0</v>
      </c>
      <c r="W470" s="134">
        <f t="shared" si="131"/>
        <v>0</v>
      </c>
      <c r="X470" s="101">
        <v>40.6</v>
      </c>
      <c r="Y470" s="101">
        <f t="shared" si="132"/>
        <v>55.8</v>
      </c>
      <c r="Z470" s="101">
        <v>3.6</v>
      </c>
      <c r="AA470" s="164">
        <v>0</v>
      </c>
      <c r="AB470" s="101">
        <f t="shared" si="133"/>
        <v>0</v>
      </c>
      <c r="AC470" s="135">
        <v>0</v>
      </c>
      <c r="AD470" s="101">
        <v>0</v>
      </c>
      <c r="AE470" s="101">
        <f t="shared" si="134"/>
        <v>0</v>
      </c>
      <c r="AF470" s="135">
        <v>0</v>
      </c>
      <c r="AG470" s="9" t="s">
        <v>69</v>
      </c>
      <c r="AH470" s="29" t="s">
        <v>1509</v>
      </c>
      <c r="AJ470" s="102"/>
      <c r="AN470" s="32"/>
      <c r="AO470" s="32"/>
      <c r="AP470" s="32"/>
      <c r="AQ470" s="32"/>
      <c r="AW470" s="32"/>
      <c r="AX470" s="32"/>
      <c r="AY470" s="32"/>
      <c r="AZ470" s="32"/>
    </row>
    <row r="471" spans="1:52" s="9" customFormat="1">
      <c r="A471" s="9" t="s">
        <v>1511</v>
      </c>
      <c r="B471" s="98" t="s">
        <v>1512</v>
      </c>
      <c r="C471" s="99" t="s">
        <v>162</v>
      </c>
      <c r="D471" s="99" t="s">
        <v>642</v>
      </c>
      <c r="E471" s="9" t="s">
        <v>643</v>
      </c>
      <c r="G471" s="9" t="s">
        <v>755</v>
      </c>
      <c r="H471" s="9" t="s">
        <v>1498</v>
      </c>
      <c r="J471" s="9">
        <v>25</v>
      </c>
      <c r="K471" s="9">
        <v>45</v>
      </c>
      <c r="L471" s="9" t="s">
        <v>64</v>
      </c>
      <c r="M471" s="9" t="s">
        <v>26</v>
      </c>
      <c r="N471" s="9" t="s">
        <v>1508</v>
      </c>
      <c r="O471" s="9" t="s">
        <v>800</v>
      </c>
      <c r="P471" s="9">
        <v>0</v>
      </c>
      <c r="R471" s="133">
        <v>0</v>
      </c>
      <c r="S471" s="100">
        <f t="shared" si="130"/>
        <v>100</v>
      </c>
      <c r="T471" s="100">
        <v>0</v>
      </c>
      <c r="U471" s="100">
        <v>0</v>
      </c>
      <c r="V471" s="133">
        <v>0</v>
      </c>
      <c r="W471" s="134">
        <f t="shared" si="131"/>
        <v>0</v>
      </c>
      <c r="X471" s="101">
        <v>40.6</v>
      </c>
      <c r="Y471" s="101">
        <f t="shared" si="132"/>
        <v>55.8</v>
      </c>
      <c r="Z471" s="101">
        <v>3.6</v>
      </c>
      <c r="AA471" s="133">
        <v>0</v>
      </c>
      <c r="AB471" s="101">
        <f t="shared" si="133"/>
        <v>0</v>
      </c>
      <c r="AC471" s="134">
        <v>0</v>
      </c>
      <c r="AD471" s="101">
        <v>0</v>
      </c>
      <c r="AE471" s="101">
        <f t="shared" si="134"/>
        <v>0</v>
      </c>
      <c r="AF471" s="134">
        <v>0</v>
      </c>
      <c r="AG471" s="9" t="s">
        <v>69</v>
      </c>
      <c r="AH471" s="29" t="s">
        <v>1509</v>
      </c>
      <c r="AJ471" s="102"/>
      <c r="AN471" s="32"/>
      <c r="AO471" s="32"/>
      <c r="AP471" s="32"/>
      <c r="AQ471" s="32"/>
      <c r="AW471" s="32"/>
      <c r="AX471" s="32"/>
      <c r="AY471" s="32"/>
      <c r="AZ471" s="32"/>
    </row>
    <row r="472" spans="1:52" s="9" customFormat="1">
      <c r="A472" s="9" t="s">
        <v>1513</v>
      </c>
      <c r="B472" s="98" t="s">
        <v>1514</v>
      </c>
      <c r="C472" s="99" t="s">
        <v>162</v>
      </c>
      <c r="D472" s="99" t="s">
        <v>642</v>
      </c>
      <c r="E472" s="9" t="s">
        <v>643</v>
      </c>
      <c r="G472" s="9" t="s">
        <v>755</v>
      </c>
      <c r="H472" s="9" t="s">
        <v>1498</v>
      </c>
      <c r="J472" s="9">
        <v>45</v>
      </c>
      <c r="K472" s="9">
        <v>75</v>
      </c>
      <c r="L472" s="9" t="s">
        <v>64</v>
      </c>
      <c r="M472" s="9" t="s">
        <v>26</v>
      </c>
      <c r="N472" s="9" t="s">
        <v>1508</v>
      </c>
      <c r="O472" s="9" t="s">
        <v>800</v>
      </c>
      <c r="P472" s="9">
        <v>0</v>
      </c>
      <c r="R472" s="133">
        <v>0</v>
      </c>
      <c r="S472" s="100">
        <f t="shared" si="130"/>
        <v>100</v>
      </c>
      <c r="T472" s="100">
        <v>0</v>
      </c>
      <c r="U472" s="100">
        <v>0</v>
      </c>
      <c r="V472" s="133">
        <v>0</v>
      </c>
      <c r="W472" s="134">
        <f t="shared" si="131"/>
        <v>0</v>
      </c>
      <c r="X472" s="101">
        <v>40.6</v>
      </c>
      <c r="Y472" s="101">
        <f t="shared" si="132"/>
        <v>55.8</v>
      </c>
      <c r="Z472" s="101">
        <v>3.6</v>
      </c>
      <c r="AA472" s="164">
        <v>0</v>
      </c>
      <c r="AB472" s="101">
        <f t="shared" si="133"/>
        <v>0</v>
      </c>
      <c r="AC472" s="135">
        <v>0</v>
      </c>
      <c r="AD472" s="101">
        <v>0</v>
      </c>
      <c r="AE472" s="101">
        <f t="shared" si="134"/>
        <v>0</v>
      </c>
      <c r="AF472" s="135">
        <v>0</v>
      </c>
      <c r="AG472" s="9" t="s">
        <v>69</v>
      </c>
      <c r="AH472" s="29" t="s">
        <v>1509</v>
      </c>
      <c r="AJ472" s="102"/>
      <c r="AN472" s="32"/>
      <c r="AO472" s="32"/>
      <c r="AP472" s="32"/>
      <c r="AQ472" s="32"/>
      <c r="AW472" s="32"/>
      <c r="AX472" s="32"/>
      <c r="AY472" s="32"/>
      <c r="AZ472" s="32"/>
    </row>
    <row r="473" spans="1:52" s="9" customFormat="1">
      <c r="A473" s="9" t="s">
        <v>1515</v>
      </c>
      <c r="B473" s="98" t="s">
        <v>1516</v>
      </c>
      <c r="C473" s="99" t="s">
        <v>961</v>
      </c>
      <c r="D473" s="99" t="s">
        <v>642</v>
      </c>
      <c r="E473" s="9" t="s">
        <v>643</v>
      </c>
      <c r="G473" s="9" t="s">
        <v>755</v>
      </c>
      <c r="H473" s="9" t="s">
        <v>1517</v>
      </c>
      <c r="J473" s="9">
        <v>75</v>
      </c>
      <c r="K473" s="9">
        <v>125</v>
      </c>
      <c r="L473" s="9" t="s">
        <v>64</v>
      </c>
      <c r="M473" s="9" t="s">
        <v>26</v>
      </c>
      <c r="N473" s="9" t="s">
        <v>1453</v>
      </c>
      <c r="O473" s="9" t="s">
        <v>768</v>
      </c>
      <c r="P473" s="9">
        <v>0</v>
      </c>
      <c r="Q473" s="9" t="s">
        <v>1518</v>
      </c>
      <c r="R473" s="133">
        <v>0</v>
      </c>
      <c r="S473" s="100">
        <f t="shared" si="130"/>
        <v>100</v>
      </c>
      <c r="T473" s="100">
        <v>0</v>
      </c>
      <c r="U473" s="100">
        <v>0</v>
      </c>
      <c r="V473" s="133">
        <v>0</v>
      </c>
      <c r="W473" s="134">
        <f t="shared" si="131"/>
        <v>0</v>
      </c>
      <c r="X473" s="101">
        <f>0.019/2*100</f>
        <v>0.95</v>
      </c>
      <c r="Y473" s="101">
        <f t="shared" si="132"/>
        <v>99.05</v>
      </c>
      <c r="Z473" s="101">
        <v>0</v>
      </c>
      <c r="AA473" s="164">
        <v>0</v>
      </c>
      <c r="AB473" s="101">
        <f t="shared" si="133"/>
        <v>0</v>
      </c>
      <c r="AC473" s="135">
        <v>0</v>
      </c>
      <c r="AD473" s="101">
        <v>0</v>
      </c>
      <c r="AE473" s="101">
        <f t="shared" si="134"/>
        <v>0</v>
      </c>
      <c r="AF473" s="135">
        <v>0</v>
      </c>
      <c r="AG473" s="9" t="s">
        <v>69</v>
      </c>
      <c r="AH473" s="29" t="s">
        <v>1455</v>
      </c>
      <c r="AI473" s="102"/>
      <c r="AJ473" s="102"/>
      <c r="AN473" s="32"/>
      <c r="AO473" s="32"/>
      <c r="AP473" s="32"/>
      <c r="AQ473" s="32"/>
      <c r="AW473" s="32"/>
      <c r="AX473" s="32"/>
      <c r="AY473" s="32"/>
      <c r="AZ473" s="32"/>
    </row>
    <row r="474" spans="1:52" s="9" customFormat="1">
      <c r="A474" s="9" t="s">
        <v>1519</v>
      </c>
      <c r="B474" s="98" t="s">
        <v>1520</v>
      </c>
      <c r="C474" s="99" t="s">
        <v>186</v>
      </c>
      <c r="D474" s="99" t="s">
        <v>642</v>
      </c>
      <c r="E474" s="9" t="s">
        <v>643</v>
      </c>
      <c r="G474" s="9" t="s">
        <v>755</v>
      </c>
      <c r="H474" s="9" t="s">
        <v>1498</v>
      </c>
      <c r="J474" s="9">
        <v>45</v>
      </c>
      <c r="K474" s="9">
        <v>75</v>
      </c>
      <c r="M474" s="9" t="s">
        <v>1521</v>
      </c>
      <c r="N474" s="9" t="s">
        <v>1508</v>
      </c>
      <c r="P474" s="9">
        <v>0</v>
      </c>
      <c r="R474" s="133">
        <v>0</v>
      </c>
      <c r="S474" s="100">
        <f t="shared" si="130"/>
        <v>100</v>
      </c>
      <c r="T474" s="100">
        <v>0</v>
      </c>
      <c r="U474" s="100">
        <v>0</v>
      </c>
      <c r="V474" s="133">
        <v>0</v>
      </c>
      <c r="W474" s="134">
        <f t="shared" si="131"/>
        <v>0</v>
      </c>
      <c r="X474" s="101">
        <v>40.6</v>
      </c>
      <c r="Y474" s="101">
        <f t="shared" si="132"/>
        <v>55.8</v>
      </c>
      <c r="Z474" s="101">
        <v>3.6</v>
      </c>
      <c r="AA474" s="133">
        <v>0</v>
      </c>
      <c r="AB474" s="101">
        <f t="shared" si="133"/>
        <v>0</v>
      </c>
      <c r="AC474" s="134">
        <v>0</v>
      </c>
      <c r="AD474" s="101">
        <v>0</v>
      </c>
      <c r="AE474" s="101">
        <f t="shared" si="134"/>
        <v>0</v>
      </c>
      <c r="AF474" s="134">
        <v>0</v>
      </c>
      <c r="AG474" s="9" t="s">
        <v>69</v>
      </c>
      <c r="AH474" s="29" t="s">
        <v>1509</v>
      </c>
      <c r="AJ474" s="102"/>
      <c r="AN474" s="32"/>
      <c r="AO474" s="32"/>
      <c r="AP474" s="32"/>
      <c r="AQ474" s="32"/>
      <c r="AW474" s="32"/>
      <c r="AX474" s="32"/>
      <c r="AY474" s="32"/>
      <c r="AZ474" s="32"/>
    </row>
    <row r="475" spans="1:52" s="9" customFormat="1">
      <c r="A475" s="9" t="s">
        <v>1522</v>
      </c>
      <c r="B475" s="98" t="s">
        <v>1523</v>
      </c>
      <c r="C475" s="99" t="s">
        <v>890</v>
      </c>
      <c r="D475" s="99" t="s">
        <v>642</v>
      </c>
      <c r="E475" s="9" t="s">
        <v>643</v>
      </c>
      <c r="G475" s="9" t="s">
        <v>755</v>
      </c>
      <c r="H475" s="9" t="s">
        <v>1524</v>
      </c>
      <c r="J475" s="9">
        <v>0</v>
      </c>
      <c r="K475" s="9">
        <v>45</v>
      </c>
      <c r="L475" s="9" t="s">
        <v>64</v>
      </c>
      <c r="M475" s="9" t="s">
        <v>26</v>
      </c>
      <c r="N475" s="9" t="s">
        <v>1525</v>
      </c>
      <c r="O475" s="9" t="s">
        <v>957</v>
      </c>
      <c r="P475" s="9">
        <v>11</v>
      </c>
      <c r="Q475" s="9" t="s">
        <v>1526</v>
      </c>
      <c r="R475" s="133">
        <v>0</v>
      </c>
      <c r="S475" s="100">
        <f t="shared" si="130"/>
        <v>100</v>
      </c>
      <c r="T475" s="100">
        <v>0</v>
      </c>
      <c r="U475" s="100">
        <v>0</v>
      </c>
      <c r="V475" s="133">
        <v>0</v>
      </c>
      <c r="W475" s="134">
        <f t="shared" si="131"/>
        <v>0</v>
      </c>
      <c r="X475" s="101">
        <f>INDEX(Chemical_analyses!$A:$L, MATCH($P475, Chemical_analyses!$A:$A), 9)/$R$2/(INDEX(Chemical_analyses!$A:$L, MATCH($P475, Chemical_analyses!$A:$A), 9)/$R$2+INDEX(Chemical_analyses!$A:$L, MATCH($P475, Chemical_analyses!$A:$A), 11)/$S$2+INDEX(Chemical_analyses!$A:$L, MATCH($P475, Chemical_analyses!$A:$A), 12)/$T$2)*100</f>
        <v>28.189838597105382</v>
      </c>
      <c r="Y475" s="101">
        <f t="shared" si="132"/>
        <v>68.490863396480037</v>
      </c>
      <c r="Z475" s="101">
        <f>INDEX(Chemical_analyses!$A:$L, MATCH($P475, Chemical_analyses!$A:$A), 12)/$T$2/(INDEX(Chemical_analyses!$A:$L, MATCH($P475, Chemical_analyses!$A:$A), 9)/$R$2+INDEX(Chemical_analyses!$A:$L, MATCH($P475, Chemical_analyses!$A:$A), 11)/$S$2+INDEX(Chemical_analyses!$A:$L, MATCH($P475, Chemical_analyses!$A:$A), 12)/$T$2)*100</f>
        <v>3.3192980064145847</v>
      </c>
      <c r="AA475" s="164">
        <v>0</v>
      </c>
      <c r="AB475" s="101">
        <f t="shared" si="133"/>
        <v>0</v>
      </c>
      <c r="AC475" s="135">
        <v>0</v>
      </c>
      <c r="AD475" s="101">
        <v>0</v>
      </c>
      <c r="AE475" s="101">
        <f t="shared" si="134"/>
        <v>0</v>
      </c>
      <c r="AF475" s="135">
        <v>0</v>
      </c>
      <c r="AG475" s="9" t="s">
        <v>69</v>
      </c>
      <c r="AH475" s="102" t="str">
        <f>_xlfn.CONCAT("FeO: ", INDEX(Chemical_analyses!$A:$M, MATCH($P475, Chemical_analyses!$A:$A), 9), ", MgO: ", INDEX(Chemical_analyses!$A:$M, MATCH($P475, Chemical_analyses!$A:$A), 11), ", CaO: ", INDEX(Chemical_analyses!$A:$M, MATCH($P475, Chemical_analyses!$A:$A), 12), ", MnO: ", INDEX(Chemical_analyses!$A:$M, MATCH($P475, Chemical_analyses!$A:$A), 10), ", NaO2: ", INDEX(Chemical_analyses!$A:$M, MATCH($P475, Chemical_analyses!$A:$A), 13), ", Fe2O3: ", INDEX(Chemical_analyses!$A:$M, MATCH($P475, Chemical_analyses!$A:$A), 8), ", Al2O3: ", INDEX(Chemical_analyses!$A:$M, MATCH($P475, Chemical_analyses!$A:$A), 6))</f>
        <v>FeO: 17.3, MgO: 23.58, CaO: 1.59, MnO: 0.29, NaO2: 0.05, Fe2O3: 1.43, Al2O3: 5.46</v>
      </c>
      <c r="AI475" s="102"/>
      <c r="AJ475" s="102"/>
      <c r="AN475" s="32"/>
      <c r="AO475" s="32"/>
      <c r="AP475" s="32"/>
      <c r="AQ475" s="32"/>
      <c r="AW475" s="32"/>
      <c r="AX475" s="32"/>
      <c r="AY475" s="32"/>
      <c r="AZ475" s="32"/>
    </row>
    <row r="476" spans="1:52" s="9" customFormat="1">
      <c r="A476" s="9" t="s">
        <v>1527</v>
      </c>
      <c r="B476" s="98" t="s">
        <v>1528</v>
      </c>
      <c r="C476" s="99" t="s">
        <v>890</v>
      </c>
      <c r="D476" s="99" t="s">
        <v>642</v>
      </c>
      <c r="E476" s="9" t="s">
        <v>643</v>
      </c>
      <c r="G476" s="9" t="s">
        <v>1195</v>
      </c>
      <c r="H476" s="9" t="s">
        <v>1524</v>
      </c>
      <c r="J476" s="9">
        <v>0</v>
      </c>
      <c r="K476" s="9">
        <v>45</v>
      </c>
      <c r="L476" s="9" t="s">
        <v>64</v>
      </c>
      <c r="M476" s="9" t="s">
        <v>26</v>
      </c>
      <c r="N476" s="9" t="s">
        <v>1529</v>
      </c>
      <c r="O476" s="9" t="s">
        <v>957</v>
      </c>
      <c r="P476" s="9">
        <v>13</v>
      </c>
      <c r="Q476" s="9" t="s">
        <v>1530</v>
      </c>
      <c r="R476" s="133">
        <v>0</v>
      </c>
      <c r="S476" s="100">
        <f t="shared" si="130"/>
        <v>100</v>
      </c>
      <c r="T476" s="100">
        <v>0</v>
      </c>
      <c r="U476" s="100">
        <v>0</v>
      </c>
      <c r="V476" s="133">
        <v>0</v>
      </c>
      <c r="W476" s="134">
        <f t="shared" si="131"/>
        <v>0</v>
      </c>
      <c r="X476" s="101">
        <f>INDEX(Chemical_analyses!$A:$L, MATCH($P476, Chemical_analyses!$A:$A), 9)/$R$2/(INDEX(Chemical_analyses!$A:$L, MATCH($P476, Chemical_analyses!$A:$A), 9)/$R$2+INDEX(Chemical_analyses!$A:$L, MATCH($P476, Chemical_analyses!$A:$A), 11)/$S$2+INDEX(Chemical_analyses!$A:$L, MATCH($P476, Chemical_analyses!$A:$A), 12)/$T$2)*100</f>
        <v>24.614840042257761</v>
      </c>
      <c r="Y476" s="101">
        <f t="shared" si="132"/>
        <v>74.702573485617165</v>
      </c>
      <c r="Z476" s="101">
        <f>INDEX(Chemical_analyses!$A:$L, MATCH($P476, Chemical_analyses!$A:$A), 12)/$T$2/(INDEX(Chemical_analyses!$A:$L, MATCH($P476, Chemical_analyses!$A:$A), 9)/$R$2+INDEX(Chemical_analyses!$A:$L, MATCH($P476, Chemical_analyses!$A:$A), 11)/$S$2+INDEX(Chemical_analyses!$A:$L, MATCH($P476, Chemical_analyses!$A:$A), 12)/$T$2)*100</f>
        <v>0.68258647212508639</v>
      </c>
      <c r="AA476" s="164">
        <v>0</v>
      </c>
      <c r="AB476" s="101">
        <f t="shared" si="133"/>
        <v>0</v>
      </c>
      <c r="AC476" s="135">
        <v>0</v>
      </c>
      <c r="AD476" s="101">
        <v>0</v>
      </c>
      <c r="AE476" s="101">
        <f t="shared" si="134"/>
        <v>0</v>
      </c>
      <c r="AF476" s="135">
        <v>0</v>
      </c>
      <c r="AG476" s="9" t="s">
        <v>69</v>
      </c>
      <c r="AH476" s="102" t="str">
        <f>_xlfn.CONCAT("FeO: ", INDEX(Chemical_analyses!$A:$M, MATCH($P476, Chemical_analyses!$A:$A), 9), ", MgO: ", INDEX(Chemical_analyses!$A:$M, MATCH($P476, Chemical_analyses!$A:$A), 11), ", CaO: ", INDEX(Chemical_analyses!$A:$M, MATCH($P476, Chemical_analyses!$A:$A), 12), ", MnO: ", INDEX(Chemical_analyses!$A:$M, MATCH($P476, Chemical_analyses!$A:$A), 10), ", NaO2: ", INDEX(Chemical_analyses!$A:$M, MATCH($P476, Chemical_analyses!$A:$A), 13), ", Fe2O3: ", INDEX(Chemical_analyses!$A:$M, MATCH($P476, Chemical_analyses!$A:$A), 8), ", Al2O3: ", INDEX(Chemical_analyses!$A:$M, MATCH($P476, Chemical_analyses!$A:$A), 6))</f>
        <v>FeO: 16.17, MgO: 27.53, CaO: 0.35, MnO: 0.44, NaO2: 0, Fe2O3: 1.02, Al2O3: 1.54</v>
      </c>
      <c r="AN476" s="32"/>
      <c r="AO476" s="32"/>
      <c r="AP476" s="32"/>
      <c r="AQ476" s="32"/>
      <c r="AW476" s="32"/>
      <c r="AX476" s="32"/>
      <c r="AY476" s="32"/>
      <c r="AZ476" s="32"/>
    </row>
    <row r="477" spans="1:52" s="9" customFormat="1">
      <c r="A477" s="9" t="s">
        <v>1531</v>
      </c>
      <c r="B477" s="98" t="s">
        <v>1532</v>
      </c>
      <c r="C477" s="99" t="s">
        <v>890</v>
      </c>
      <c r="D477" s="99" t="s">
        <v>642</v>
      </c>
      <c r="E477" s="9" t="s">
        <v>643</v>
      </c>
      <c r="G477" s="9" t="s">
        <v>755</v>
      </c>
      <c r="H477" s="9" t="s">
        <v>1533</v>
      </c>
      <c r="J477" s="9">
        <v>45</v>
      </c>
      <c r="K477" s="9">
        <v>90</v>
      </c>
      <c r="L477" s="9" t="s">
        <v>64</v>
      </c>
      <c r="M477" s="9" t="s">
        <v>26</v>
      </c>
      <c r="O477" s="9" t="s">
        <v>957</v>
      </c>
      <c r="P477" s="9">
        <v>405</v>
      </c>
      <c r="Q477" s="9" t="s">
        <v>1534</v>
      </c>
      <c r="R477" s="133">
        <v>0</v>
      </c>
      <c r="S477" s="100">
        <f t="shared" si="130"/>
        <v>100</v>
      </c>
      <c r="T477" s="100">
        <v>0</v>
      </c>
      <c r="U477" s="100">
        <v>0</v>
      </c>
      <c r="V477" s="133">
        <v>0</v>
      </c>
      <c r="W477" s="134">
        <f t="shared" si="131"/>
        <v>0</v>
      </c>
      <c r="X477" s="101">
        <f>INDEX(Chemical_analyses!$A:$L, MATCH($P477, Chemical_analyses!$A:$A), 9)/$R$2/(INDEX(Chemical_analyses!$A:$L, MATCH($P477, Chemical_analyses!$A:$A), 9)/$R$2+INDEX(Chemical_analyses!$A:$L, MATCH($P477, Chemical_analyses!$A:$A), 11)/$S$2+INDEX(Chemical_analyses!$A:$L, MATCH($P477, Chemical_analyses!$A:$A), 12)/$T$2)*100</f>
        <v>13.121348773035796</v>
      </c>
      <c r="Y477" s="101">
        <f t="shared" si="132"/>
        <v>86.329885654659648</v>
      </c>
      <c r="Z477" s="101">
        <f>INDEX(Chemical_analyses!$A:$L, MATCH($P477, Chemical_analyses!$A:$A), 12)/$T$2/(INDEX(Chemical_analyses!$A:$L, MATCH($P477, Chemical_analyses!$A:$A), 9)/$R$2+INDEX(Chemical_analyses!$A:$L, MATCH($P477, Chemical_analyses!$A:$A), 11)/$S$2+INDEX(Chemical_analyses!$A:$L, MATCH($P477, Chemical_analyses!$A:$A), 12)/$T$2)*100</f>
        <v>0.54876557230456513</v>
      </c>
      <c r="AA477" s="133">
        <v>0</v>
      </c>
      <c r="AB477" s="101">
        <f t="shared" si="133"/>
        <v>0</v>
      </c>
      <c r="AC477" s="134">
        <v>0</v>
      </c>
      <c r="AD477" s="101">
        <v>0</v>
      </c>
      <c r="AE477" s="101">
        <f t="shared" si="134"/>
        <v>0</v>
      </c>
      <c r="AF477" s="134">
        <v>0</v>
      </c>
      <c r="AG477" s="9" t="s">
        <v>69</v>
      </c>
      <c r="AH477" s="102" t="str">
        <f>_xlfn.CONCAT("FeO: ", INDEX(Chemical_analyses!$A:$M, MATCH($P477, Chemical_analyses!$A:$A), 9), ", MgO: ", INDEX(Chemical_analyses!$A:$M, MATCH($P477, Chemical_analyses!$A:$A), 11), ", CaO: ", INDEX(Chemical_analyses!$A:$M, MATCH($P477, Chemical_analyses!$A:$A), 12), ", MnO: ", INDEX(Chemical_analyses!$A:$M, MATCH($P477, Chemical_analyses!$A:$A), 10), ", NaO2: ", INDEX(Chemical_analyses!$A:$M, MATCH($P477, Chemical_analyses!$A:$A), 13), ", Fe2O3: ", INDEX(Chemical_analyses!$A:$M, MATCH($P477, Chemical_analyses!$A:$A), 8), ", Al2O3: ", INDEX(Chemical_analyses!$A:$M, MATCH($P477, Chemical_analyses!$A:$A), 6))</f>
        <v>FeO: 9.19, MgO: 33.92, CaO: 0.3, MnO: 0.04, NaO2: 0, Fe2O3: 0.44, Al2O3: 0.03</v>
      </c>
      <c r="AN477" s="32"/>
      <c r="AO477" s="32"/>
      <c r="AP477" s="32"/>
      <c r="AQ477" s="32"/>
      <c r="AW477" s="32"/>
      <c r="AX477" s="32"/>
      <c r="AY477" s="32"/>
      <c r="AZ477" s="32"/>
    </row>
    <row r="478" spans="1:52" s="9" customFormat="1">
      <c r="A478" s="9" t="s">
        <v>1535</v>
      </c>
      <c r="B478" s="98" t="s">
        <v>1536</v>
      </c>
      <c r="C478" s="99" t="s">
        <v>890</v>
      </c>
      <c r="D478" s="99" t="s">
        <v>642</v>
      </c>
      <c r="E478" s="9" t="s">
        <v>643</v>
      </c>
      <c r="G478" s="9" t="s">
        <v>755</v>
      </c>
      <c r="H478" s="9" t="s">
        <v>1533</v>
      </c>
      <c r="J478" s="9">
        <v>45</v>
      </c>
      <c r="K478" s="9">
        <v>90</v>
      </c>
      <c r="L478" s="9" t="s">
        <v>64</v>
      </c>
      <c r="M478" s="9" t="s">
        <v>26</v>
      </c>
      <c r="N478" s="9" t="s">
        <v>1537</v>
      </c>
      <c r="O478" s="9" t="s">
        <v>957</v>
      </c>
      <c r="P478" s="9">
        <v>408</v>
      </c>
      <c r="Q478" s="9" t="s">
        <v>1538</v>
      </c>
      <c r="R478" s="133">
        <v>0</v>
      </c>
      <c r="S478" s="100">
        <f t="shared" si="130"/>
        <v>100</v>
      </c>
      <c r="T478" s="100">
        <v>0</v>
      </c>
      <c r="U478" s="100">
        <v>0</v>
      </c>
      <c r="V478" s="133">
        <v>0</v>
      </c>
      <c r="W478" s="134">
        <f t="shared" si="131"/>
        <v>0</v>
      </c>
      <c r="X478" s="101">
        <f>INDEX(Chemical_analyses!$A:$L, MATCH($P478, Chemical_analyses!$A:$A), 9)/$R$2/(INDEX(Chemical_analyses!$A:$L, MATCH($P478, Chemical_analyses!$A:$A), 9)/$R$2+INDEX(Chemical_analyses!$A:$L, MATCH($P478, Chemical_analyses!$A:$A), 11)/$S$2+INDEX(Chemical_analyses!$A:$L, MATCH($P478, Chemical_analyses!$A:$A), 12)/$T$2)*100</f>
        <v>14.61733073473696</v>
      </c>
      <c r="Y478" s="101">
        <f t="shared" si="132"/>
        <v>85.023984742793303</v>
      </c>
      <c r="Z478" s="101">
        <f>INDEX(Chemical_analyses!$A:$L, MATCH($P478, Chemical_analyses!$A:$A), 12)/$T$2/(INDEX(Chemical_analyses!$A:$L, MATCH($P478, Chemical_analyses!$A:$A), 9)/$R$2+INDEX(Chemical_analyses!$A:$L, MATCH($P478, Chemical_analyses!$A:$A), 11)/$S$2+INDEX(Chemical_analyses!$A:$L, MATCH($P478, Chemical_analyses!$A:$A), 12)/$T$2)*100</f>
        <v>0.35868452246975008</v>
      </c>
      <c r="AA478" s="164">
        <v>0</v>
      </c>
      <c r="AB478" s="101">
        <f t="shared" si="133"/>
        <v>0</v>
      </c>
      <c r="AC478" s="135">
        <v>0</v>
      </c>
      <c r="AD478" s="101">
        <v>0</v>
      </c>
      <c r="AE478" s="101">
        <f t="shared" si="134"/>
        <v>0</v>
      </c>
      <c r="AF478" s="135">
        <v>0</v>
      </c>
      <c r="AG478" s="9" t="s">
        <v>69</v>
      </c>
      <c r="AH478" s="102" t="str">
        <f>_xlfn.CONCAT("FeO: ", INDEX(Chemical_analyses!$A:$M, MATCH($P478, Chemical_analyses!$A:$A), 9), ", MgO: ", INDEX(Chemical_analyses!$A:$M, MATCH($P478, Chemical_analyses!$A:$A), 11), ", CaO: ", INDEX(Chemical_analyses!$A:$M, MATCH($P478, Chemical_analyses!$A:$A), 12), ", MnO: ", INDEX(Chemical_analyses!$A:$M, MATCH($P478, Chemical_analyses!$A:$A), 10), ", NaO2: ", INDEX(Chemical_analyses!$A:$M, MATCH($P478, Chemical_analyses!$A:$A), 13), ", Fe2O3: ", INDEX(Chemical_analyses!$A:$M, MATCH($P478, Chemical_analyses!$A:$A), 8), ", Al2O3: ", INDEX(Chemical_analyses!$A:$M, MATCH($P478, Chemical_analyses!$A:$A), 6))</f>
        <v>FeO: 9.92, MgO: 32.37, CaO: 0.19, MnO: 0.26, NaO2: 0, Fe2O3: 0.72, Al2O3: 1.31</v>
      </c>
      <c r="AN478" s="32"/>
      <c r="AO478" s="32"/>
      <c r="AP478" s="32"/>
      <c r="AQ478" s="32"/>
      <c r="AW478" s="32"/>
      <c r="AX478" s="32"/>
      <c r="AY478" s="32"/>
      <c r="AZ478" s="32"/>
    </row>
    <row r="479" spans="1:52" s="9" customFormat="1">
      <c r="A479" s="9" t="s">
        <v>1539</v>
      </c>
      <c r="B479" s="98" t="s">
        <v>1540</v>
      </c>
      <c r="C479" s="99" t="s">
        <v>890</v>
      </c>
      <c r="D479" s="99" t="s">
        <v>642</v>
      </c>
      <c r="E479" s="9" t="s">
        <v>643</v>
      </c>
      <c r="G479" s="9" t="s">
        <v>755</v>
      </c>
      <c r="H479" s="9" t="s">
        <v>1541</v>
      </c>
      <c r="J479" s="9">
        <v>45</v>
      </c>
      <c r="K479" s="9">
        <v>90</v>
      </c>
      <c r="L479" s="9" t="s">
        <v>64</v>
      </c>
      <c r="M479" s="9" t="s">
        <v>26</v>
      </c>
      <c r="N479" s="9" t="s">
        <v>1453</v>
      </c>
      <c r="O479" s="9" t="s">
        <v>957</v>
      </c>
      <c r="P479" s="9">
        <v>421</v>
      </c>
      <c r="Q479" s="9" t="s">
        <v>1542</v>
      </c>
      <c r="R479" s="133">
        <v>0</v>
      </c>
      <c r="S479" s="100">
        <f t="shared" si="130"/>
        <v>100</v>
      </c>
      <c r="T479" s="100">
        <v>0</v>
      </c>
      <c r="U479" s="100">
        <v>0</v>
      </c>
      <c r="V479" s="133">
        <v>0</v>
      </c>
      <c r="W479" s="134">
        <f t="shared" si="131"/>
        <v>0</v>
      </c>
      <c r="X479" s="101">
        <f>INDEX(Chemical_analyses!$A:$L, MATCH($P479, Chemical_analyses!$A:$A), 9)/$R$2/(INDEX(Chemical_analyses!$A:$L, MATCH($P479, Chemical_analyses!$A:$A), 9)/$R$2+INDEX(Chemical_analyses!$A:$L, MATCH($P479, Chemical_analyses!$A:$A), 11)/$S$2+INDEX(Chemical_analyses!$A:$L, MATCH($P479, Chemical_analyses!$A:$A), 12)/$T$2)*100</f>
        <v>12.829586617520366</v>
      </c>
      <c r="Y479" s="101">
        <f t="shared" si="132"/>
        <v>86.765477260159386</v>
      </c>
      <c r="Z479" s="101">
        <f>INDEX(Chemical_analyses!$A:$L, MATCH($P479, Chemical_analyses!$A:$A), 12)/$T$2/(INDEX(Chemical_analyses!$A:$L, MATCH($P479, Chemical_analyses!$A:$A), 9)/$R$2+INDEX(Chemical_analyses!$A:$L, MATCH($P479, Chemical_analyses!$A:$A), 11)/$S$2+INDEX(Chemical_analyses!$A:$L, MATCH($P479, Chemical_analyses!$A:$A), 12)/$T$2)*100</f>
        <v>0.40493612232025228</v>
      </c>
      <c r="AA479" s="164">
        <v>0</v>
      </c>
      <c r="AB479" s="101">
        <f t="shared" si="133"/>
        <v>0</v>
      </c>
      <c r="AC479" s="135">
        <v>0</v>
      </c>
      <c r="AD479" s="101">
        <v>0</v>
      </c>
      <c r="AE479" s="101">
        <f t="shared" si="134"/>
        <v>0</v>
      </c>
      <c r="AF479" s="135">
        <v>0</v>
      </c>
      <c r="AG479" s="9" t="s">
        <v>69</v>
      </c>
      <c r="AH479" s="102" t="str">
        <f>_xlfn.CONCAT("FeO: ", INDEX(Chemical_analyses!$A:$M, MATCH($P479, Chemical_analyses!$A:$A), 9), ", MgO: ", INDEX(Chemical_analyses!$A:$M, MATCH($P479, Chemical_analyses!$A:$A), 11), ", CaO: ", INDEX(Chemical_analyses!$A:$M, MATCH($P479, Chemical_analyses!$A:$A), 12), ", MnO: ", INDEX(Chemical_analyses!$A:$M, MATCH($P479, Chemical_analyses!$A:$A), 10), ", NaO2: ", INDEX(Chemical_analyses!$A:$M, MATCH($P479, Chemical_analyses!$A:$A), 13), ", Fe2O3: ", INDEX(Chemical_analyses!$A:$M, MATCH($P479, Chemical_analyses!$A:$A), 8), ", Al2O3: ", INDEX(Chemical_analyses!$A:$M, MATCH($P479, Chemical_analyses!$A:$A), 6))</f>
        <v>FeO: 8.93, MgO: 33.88, CaO: 0.22, MnO: 0.04, NaO2: 0, Fe2O3: 0.84, Al2O3: 0.09</v>
      </c>
      <c r="AN479" s="32"/>
      <c r="AO479" s="32"/>
      <c r="AP479" s="32"/>
      <c r="AQ479" s="32"/>
      <c r="AW479" s="32"/>
      <c r="AX479" s="32"/>
      <c r="AY479" s="32"/>
      <c r="AZ479" s="32"/>
    </row>
    <row r="480" spans="1:52" s="9" customFormat="1">
      <c r="A480" s="9" t="s">
        <v>1543</v>
      </c>
      <c r="B480" s="98" t="s">
        <v>1544</v>
      </c>
      <c r="C480" s="99" t="s">
        <v>1301</v>
      </c>
      <c r="D480" s="99" t="s">
        <v>642</v>
      </c>
      <c r="E480" s="9" t="s">
        <v>643</v>
      </c>
      <c r="G480" s="9" t="s">
        <v>1195</v>
      </c>
      <c r="H480" s="9" t="s">
        <v>1049</v>
      </c>
      <c r="I480" s="9" t="s">
        <v>64</v>
      </c>
      <c r="J480" s="9">
        <v>0</v>
      </c>
      <c r="K480" s="9">
        <v>250</v>
      </c>
      <c r="L480" s="9" t="s">
        <v>64</v>
      </c>
      <c r="M480" s="9" t="s">
        <v>26</v>
      </c>
      <c r="N480" s="9" t="s">
        <v>1545</v>
      </c>
      <c r="O480" s="9" t="s">
        <v>1303</v>
      </c>
      <c r="P480" s="9">
        <v>0</v>
      </c>
      <c r="Q480" s="9" t="s">
        <v>1546</v>
      </c>
      <c r="R480" s="133">
        <v>0</v>
      </c>
      <c r="S480" s="100">
        <f t="shared" si="130"/>
        <v>100</v>
      </c>
      <c r="T480" s="100">
        <v>0</v>
      </c>
      <c r="U480" s="100">
        <v>0</v>
      </c>
      <c r="V480" s="133">
        <v>0</v>
      </c>
      <c r="W480" s="134">
        <f t="shared" si="131"/>
        <v>0</v>
      </c>
      <c r="X480" s="101">
        <v>14</v>
      </c>
      <c r="Y480" s="101">
        <f t="shared" si="132"/>
        <v>86</v>
      </c>
      <c r="Z480" s="101">
        <v>0</v>
      </c>
      <c r="AA480" s="133">
        <v>0</v>
      </c>
      <c r="AB480" s="101">
        <f t="shared" si="133"/>
        <v>0</v>
      </c>
      <c r="AC480" s="134">
        <v>0</v>
      </c>
      <c r="AD480" s="101">
        <v>0</v>
      </c>
      <c r="AE480" s="101">
        <f t="shared" si="134"/>
        <v>0</v>
      </c>
      <c r="AF480" s="134">
        <v>0</v>
      </c>
      <c r="AG480" s="9" t="s">
        <v>69</v>
      </c>
      <c r="AH480" s="9" t="s">
        <v>1176</v>
      </c>
      <c r="AJ480" s="102"/>
      <c r="AN480" s="32"/>
      <c r="AO480" s="32"/>
      <c r="AP480" s="32"/>
      <c r="AQ480" s="32"/>
      <c r="AW480" s="32"/>
      <c r="AX480" s="32"/>
      <c r="AY480" s="32"/>
      <c r="AZ480" s="32"/>
    </row>
    <row r="481" spans="1:265" s="9" customFormat="1">
      <c r="A481" s="9" t="s">
        <v>1547</v>
      </c>
      <c r="B481" s="98" t="s">
        <v>1548</v>
      </c>
      <c r="C481" s="99" t="s">
        <v>360</v>
      </c>
      <c r="D481" s="99" t="s">
        <v>642</v>
      </c>
      <c r="E481" s="9" t="s">
        <v>643</v>
      </c>
      <c r="G481" s="9" t="s">
        <v>755</v>
      </c>
      <c r="H481" s="9" t="s">
        <v>1541</v>
      </c>
      <c r="J481" s="9">
        <v>0</v>
      </c>
      <c r="K481" s="9">
        <v>125</v>
      </c>
      <c r="L481" s="9" t="s">
        <v>64</v>
      </c>
      <c r="M481" s="9" t="s">
        <v>65</v>
      </c>
      <c r="N481" s="9" t="s">
        <v>1549</v>
      </c>
      <c r="O481" s="9" t="s">
        <v>944</v>
      </c>
      <c r="P481" s="9">
        <v>0</v>
      </c>
      <c r="Q481" s="9" t="s">
        <v>750</v>
      </c>
      <c r="R481" s="133">
        <v>0</v>
      </c>
      <c r="S481" s="100">
        <f t="shared" si="130"/>
        <v>100</v>
      </c>
      <c r="T481" s="100">
        <v>0</v>
      </c>
      <c r="U481" s="100">
        <v>0</v>
      </c>
      <c r="V481" s="133">
        <v>0</v>
      </c>
      <c r="W481" s="134">
        <f t="shared" si="131"/>
        <v>0</v>
      </c>
      <c r="X481" s="100">
        <v>7</v>
      </c>
      <c r="Y481" s="101">
        <f t="shared" si="132"/>
        <v>92</v>
      </c>
      <c r="Z481" s="100">
        <v>1</v>
      </c>
      <c r="AA481" s="133">
        <v>0</v>
      </c>
      <c r="AB481" s="101">
        <f t="shared" si="133"/>
        <v>0</v>
      </c>
      <c r="AC481" s="134">
        <v>0</v>
      </c>
      <c r="AD481" s="101">
        <v>0</v>
      </c>
      <c r="AE481" s="101">
        <f t="shared" si="134"/>
        <v>0</v>
      </c>
      <c r="AF481" s="134">
        <v>0</v>
      </c>
      <c r="AG481" s="9" t="s">
        <v>69</v>
      </c>
      <c r="AH481" s="29" t="s">
        <v>1420</v>
      </c>
      <c r="AI481" s="9" t="s">
        <v>1421</v>
      </c>
      <c r="AJ481" s="102"/>
      <c r="AN481" s="32"/>
      <c r="AO481" s="32"/>
      <c r="AP481" s="32"/>
      <c r="AQ481" s="32"/>
      <c r="AW481" s="32"/>
      <c r="AX481" s="32"/>
      <c r="AY481" s="32"/>
      <c r="AZ481" s="32"/>
    </row>
    <row r="482" spans="1:265" s="9" customFormat="1">
      <c r="A482" s="9" t="s">
        <v>1550</v>
      </c>
      <c r="B482" s="98" t="s">
        <v>1551</v>
      </c>
      <c r="C482" s="99" t="s">
        <v>753</v>
      </c>
      <c r="D482" s="99" t="s">
        <v>754</v>
      </c>
      <c r="E482" s="9" t="s">
        <v>643</v>
      </c>
      <c r="G482" s="9" t="s">
        <v>755</v>
      </c>
      <c r="H482" s="9" t="s">
        <v>1552</v>
      </c>
      <c r="J482" s="9">
        <v>0</v>
      </c>
      <c r="K482" s="9">
        <v>25</v>
      </c>
      <c r="L482" s="9" t="s">
        <v>64</v>
      </c>
      <c r="M482" s="9" t="s">
        <v>757</v>
      </c>
      <c r="N482" s="9" t="s">
        <v>758</v>
      </c>
      <c r="O482" s="9" t="s">
        <v>355</v>
      </c>
      <c r="P482" s="9">
        <v>0</v>
      </c>
      <c r="R482" s="133">
        <v>0</v>
      </c>
      <c r="S482" s="100">
        <f t="shared" si="130"/>
        <v>100</v>
      </c>
      <c r="T482" s="100">
        <v>0</v>
      </c>
      <c r="U482" s="100">
        <v>0</v>
      </c>
      <c r="V482" s="133">
        <v>0</v>
      </c>
      <c r="W482" s="134">
        <f t="shared" si="131"/>
        <v>0</v>
      </c>
      <c r="X482" s="101">
        <v>61.4</v>
      </c>
      <c r="Y482" s="101">
        <f t="shared" si="132"/>
        <v>35.300000000000004</v>
      </c>
      <c r="Z482" s="101">
        <v>3.3</v>
      </c>
      <c r="AA482" s="164">
        <v>0</v>
      </c>
      <c r="AB482" s="101">
        <f t="shared" si="133"/>
        <v>0</v>
      </c>
      <c r="AC482" s="135">
        <v>0</v>
      </c>
      <c r="AD482" s="101">
        <v>0</v>
      </c>
      <c r="AE482" s="101">
        <f t="shared" si="134"/>
        <v>0</v>
      </c>
      <c r="AF482" s="135">
        <v>0</v>
      </c>
      <c r="AG482" s="9" t="s">
        <v>69</v>
      </c>
      <c r="AH482" s="9" t="s">
        <v>1014</v>
      </c>
      <c r="AI482" s="102"/>
      <c r="AJ482" s="102"/>
      <c r="AN482" s="32"/>
      <c r="AO482" s="32"/>
      <c r="AP482" s="32"/>
      <c r="AQ482" s="32"/>
      <c r="AW482" s="32"/>
      <c r="AX482" s="32"/>
      <c r="AY482" s="32"/>
      <c r="AZ482" s="32"/>
    </row>
    <row r="483" spans="1:265" s="9" customFormat="1">
      <c r="A483" s="9" t="s">
        <v>1553</v>
      </c>
      <c r="B483" s="98" t="s">
        <v>1498</v>
      </c>
      <c r="C483" s="99" t="s">
        <v>1301</v>
      </c>
      <c r="D483" s="99" t="s">
        <v>642</v>
      </c>
      <c r="E483" s="9" t="s">
        <v>643</v>
      </c>
      <c r="G483" s="9" t="s">
        <v>755</v>
      </c>
      <c r="H483" s="9" t="s">
        <v>1498</v>
      </c>
      <c r="J483" s="9">
        <v>0</v>
      </c>
      <c r="K483" s="9">
        <v>500</v>
      </c>
      <c r="L483" s="9" t="s">
        <v>64</v>
      </c>
      <c r="M483" s="9" t="s">
        <v>26</v>
      </c>
      <c r="N483" s="9" t="s">
        <v>1554</v>
      </c>
      <c r="O483" s="9" t="s">
        <v>1303</v>
      </c>
      <c r="P483" s="9">
        <v>290</v>
      </c>
      <c r="Q483" s="9" t="s">
        <v>1555</v>
      </c>
      <c r="R483" s="133">
        <v>0</v>
      </c>
      <c r="S483" s="100">
        <f t="shared" si="130"/>
        <v>100</v>
      </c>
      <c r="T483" s="100">
        <v>0</v>
      </c>
      <c r="U483" s="100">
        <v>0</v>
      </c>
      <c r="V483" s="133">
        <v>0</v>
      </c>
      <c r="W483" s="134">
        <f t="shared" si="131"/>
        <v>0</v>
      </c>
      <c r="X483" s="101">
        <f>INDEX(Chemical_analyses!$A:$L, MATCH($P483, Chemical_analyses!$A:$A), 9)/$R$2/(INDEX(Chemical_analyses!$A:$L, MATCH($P483, Chemical_analyses!$A:$A), 9)/$R$2+INDEX(Chemical_analyses!$A:$L, MATCH($P483, Chemical_analyses!$A:$A), 11)/$S$2+INDEX(Chemical_analyses!$A:$L, MATCH($P483, Chemical_analyses!$A:$A), 12)/$T$2)*100</f>
        <v>50.665945941216663</v>
      </c>
      <c r="Y483" s="101">
        <f t="shared" si="132"/>
        <v>47.836435361053582</v>
      </c>
      <c r="Z483" s="101">
        <f>INDEX(Chemical_analyses!$A:$L, MATCH($P483, Chemical_analyses!$A:$A), 12)/$T$2/(INDEX(Chemical_analyses!$A:$L, MATCH($P483, Chemical_analyses!$A:$A), 9)/$R$2+INDEX(Chemical_analyses!$A:$L, MATCH($P483, Chemical_analyses!$A:$A), 11)/$S$2+INDEX(Chemical_analyses!$A:$L, MATCH($P483, Chemical_analyses!$A:$A), 12)/$T$2)*100</f>
        <v>1.4976186977297536</v>
      </c>
      <c r="AA483" s="164">
        <v>0</v>
      </c>
      <c r="AB483" s="101">
        <f t="shared" si="133"/>
        <v>0</v>
      </c>
      <c r="AC483" s="135">
        <v>0</v>
      </c>
      <c r="AD483" s="101">
        <v>0</v>
      </c>
      <c r="AE483" s="101">
        <f t="shared" si="134"/>
        <v>0</v>
      </c>
      <c r="AF483" s="135">
        <v>0</v>
      </c>
      <c r="AG483" s="9" t="s">
        <v>69</v>
      </c>
      <c r="AH483" s="102" t="str">
        <f>_xlfn.CONCAT("FeO: ", INDEX(Chemical_analyses!$A:$M, MATCH($P483, Chemical_analyses!$A:$A), 9), ", MgO: ", INDEX(Chemical_analyses!$A:$M, MATCH($P483, Chemical_analyses!$A:$A), 11), ", CaO: ", INDEX(Chemical_analyses!$A:$M, MATCH($P483, Chemical_analyses!$A:$A), 12), ", MnO: ", INDEX(Chemical_analyses!$A:$M, MATCH($P483, Chemical_analyses!$A:$A), 10), ", NaO2: ", INDEX(Chemical_analyses!$A:$M, MATCH($P483, Chemical_analyses!$A:$A), 13), ", Fe2O3: ", INDEX(Chemical_analyses!$A:$M, MATCH($P483, Chemical_analyses!$A:$A), 8), ", Al2O3: ", INDEX(Chemical_analyses!$A:$M, MATCH($P483, Chemical_analyses!$A:$A), 6))</f>
        <v>FeO: 30.34, MgO: 16.07, CaO: 0.7, MnO: 1.01, NaO2: 0, Fe2O3: 0, Al2O3: 1.59</v>
      </c>
      <c r="AN483" s="32"/>
      <c r="AO483" s="32"/>
      <c r="AP483" s="32"/>
      <c r="AQ483" s="32"/>
      <c r="AW483" s="32"/>
      <c r="AX483" s="32"/>
      <c r="AY483" s="32"/>
      <c r="AZ483" s="32"/>
    </row>
    <row r="484" spans="1:265" s="170" customFormat="1">
      <c r="A484" s="9" t="s">
        <v>1556</v>
      </c>
      <c r="B484" s="98" t="s">
        <v>1557</v>
      </c>
      <c r="C484" s="99" t="s">
        <v>1301</v>
      </c>
      <c r="D484" s="99" t="s">
        <v>642</v>
      </c>
      <c r="E484" s="9" t="s">
        <v>643</v>
      </c>
      <c r="F484" s="9"/>
      <c r="G484" s="9" t="s">
        <v>755</v>
      </c>
      <c r="H484" s="9" t="s">
        <v>1498</v>
      </c>
      <c r="I484" s="9"/>
      <c r="J484" s="9">
        <v>0</v>
      </c>
      <c r="K484" s="9">
        <v>500</v>
      </c>
      <c r="L484" s="9" t="s">
        <v>64</v>
      </c>
      <c r="M484" s="9" t="s">
        <v>26</v>
      </c>
      <c r="N484" s="9" t="s">
        <v>1554</v>
      </c>
      <c r="O484" s="9" t="s">
        <v>1303</v>
      </c>
      <c r="P484" s="9">
        <v>290</v>
      </c>
      <c r="Q484" s="9" t="s">
        <v>1558</v>
      </c>
      <c r="R484" s="133">
        <v>0</v>
      </c>
      <c r="S484" s="100">
        <f t="shared" si="130"/>
        <v>100</v>
      </c>
      <c r="T484" s="100">
        <v>0</v>
      </c>
      <c r="U484" s="100">
        <v>0</v>
      </c>
      <c r="V484" s="133">
        <v>0</v>
      </c>
      <c r="W484" s="134">
        <f t="shared" si="131"/>
        <v>0</v>
      </c>
      <c r="X484" s="101">
        <f>INDEX(Chemical_analyses!$A:$L, MATCH($P484, Chemical_analyses!$A:$A), 9)/$R$2/(INDEX(Chemical_analyses!$A:$L, MATCH($P484, Chemical_analyses!$A:$A), 9)/$R$2+INDEX(Chemical_analyses!$A:$L, MATCH($P484, Chemical_analyses!$A:$A), 11)/$S$2+INDEX(Chemical_analyses!$A:$L, MATCH($P484, Chemical_analyses!$A:$A), 12)/$T$2)*100</f>
        <v>50.665945941216663</v>
      </c>
      <c r="Y484" s="101">
        <f t="shared" si="132"/>
        <v>47.836435361053582</v>
      </c>
      <c r="Z484" s="101">
        <f>INDEX(Chemical_analyses!$A:$L, MATCH($P484, Chemical_analyses!$A:$A), 12)/$T$2/(INDEX(Chemical_analyses!$A:$L, MATCH($P484, Chemical_analyses!$A:$A), 9)/$R$2+INDEX(Chemical_analyses!$A:$L, MATCH($P484, Chemical_analyses!$A:$A), 11)/$S$2+INDEX(Chemical_analyses!$A:$L, MATCH($P484, Chemical_analyses!$A:$A), 12)/$T$2)*100</f>
        <v>1.4976186977297536</v>
      </c>
      <c r="AA484" s="164">
        <v>0</v>
      </c>
      <c r="AB484" s="101">
        <f t="shared" si="133"/>
        <v>0</v>
      </c>
      <c r="AC484" s="135">
        <v>0</v>
      </c>
      <c r="AD484" s="101">
        <v>0</v>
      </c>
      <c r="AE484" s="101">
        <f t="shared" si="134"/>
        <v>0</v>
      </c>
      <c r="AF484" s="135">
        <v>0</v>
      </c>
      <c r="AG484" s="9" t="s">
        <v>69</v>
      </c>
      <c r="AH484" s="102" t="str">
        <f>_xlfn.CONCAT("FeO: ", INDEX(Chemical_analyses!$A:$M, MATCH($P484, Chemical_analyses!$A:$A), 9), ", MgO: ", INDEX(Chemical_analyses!$A:$M, MATCH($P484, Chemical_analyses!$A:$A), 11), ", CaO: ", INDEX(Chemical_analyses!$A:$M, MATCH($P484, Chemical_analyses!$A:$A), 12), ", MnO: ", INDEX(Chemical_analyses!$A:$M, MATCH($P484, Chemical_analyses!$A:$A), 10), ", NaO2: ", INDEX(Chemical_analyses!$A:$M, MATCH($P484, Chemical_analyses!$A:$A), 13), ", Fe2O3: ", INDEX(Chemical_analyses!$A:$M, MATCH($P484, Chemical_analyses!$A:$A), 8), ", Al2O3: ", INDEX(Chemical_analyses!$A:$M, MATCH($P484, Chemical_analyses!$A:$A), 6))</f>
        <v>FeO: 30.34, MgO: 16.07, CaO: 0.7, MnO: 1.01, NaO2: 0, Fe2O3: 0, Al2O3: 1.59</v>
      </c>
      <c r="AI484" s="9"/>
      <c r="AJ484" s="9"/>
      <c r="AK484" s="9"/>
      <c r="AL484" s="9"/>
      <c r="AM484" s="9"/>
      <c r="AN484" s="32"/>
      <c r="AO484" s="32"/>
      <c r="AP484" s="32"/>
      <c r="AQ484" s="32"/>
      <c r="AR484" s="9"/>
      <c r="AS484" s="9"/>
      <c r="AT484" s="9"/>
      <c r="AU484" s="9"/>
      <c r="AV484" s="9"/>
      <c r="AW484" s="32"/>
      <c r="AX484" s="32"/>
      <c r="AY484" s="32"/>
      <c r="AZ484" s="32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  <c r="HF484" s="9"/>
      <c r="HG484" s="9"/>
      <c r="HH484" s="9"/>
      <c r="HI484" s="9"/>
      <c r="HJ484" s="9"/>
      <c r="HK484" s="9"/>
      <c r="HL484" s="9"/>
      <c r="HM484" s="9"/>
      <c r="HN484" s="9"/>
      <c r="HO484" s="9"/>
      <c r="HP484" s="9"/>
      <c r="HQ484" s="9"/>
      <c r="HR484" s="9"/>
      <c r="HS484" s="9"/>
      <c r="HT484" s="9"/>
      <c r="HU484" s="9"/>
      <c r="HV484" s="9"/>
      <c r="HW484" s="9"/>
      <c r="HX484" s="9"/>
      <c r="HY484" s="9"/>
      <c r="HZ484" s="9"/>
      <c r="IA484" s="9"/>
      <c r="IB484" s="9"/>
      <c r="IC484" s="9"/>
      <c r="ID484" s="9"/>
      <c r="IE484" s="9"/>
      <c r="IF484" s="9"/>
      <c r="IG484" s="9"/>
      <c r="IH484" s="9"/>
      <c r="II484" s="9"/>
      <c r="IJ484" s="9"/>
      <c r="IK484" s="9"/>
      <c r="IL484" s="9"/>
      <c r="IM484" s="9"/>
      <c r="IN484" s="9"/>
      <c r="IO484" s="9"/>
      <c r="IP484" s="9"/>
      <c r="IQ484" s="9"/>
      <c r="IR484" s="9"/>
      <c r="IS484" s="9"/>
      <c r="IT484" s="9"/>
      <c r="IU484" s="9"/>
      <c r="IV484" s="9"/>
      <c r="IW484" s="9"/>
      <c r="IX484" s="9"/>
      <c r="IY484" s="9"/>
      <c r="IZ484" s="9"/>
      <c r="JA484" s="9"/>
      <c r="JB484" s="9"/>
      <c r="JC484" s="9"/>
      <c r="JD484" s="9"/>
      <c r="JE484" s="9"/>
    </row>
    <row r="485" spans="1:265" s="170" customFormat="1">
      <c r="A485" s="9" t="s">
        <v>1559</v>
      </c>
      <c r="B485" s="98" t="s">
        <v>1560</v>
      </c>
      <c r="C485" s="99" t="s">
        <v>1301</v>
      </c>
      <c r="D485" s="99" t="s">
        <v>642</v>
      </c>
      <c r="E485" s="9" t="s">
        <v>643</v>
      </c>
      <c r="F485" s="9"/>
      <c r="G485" s="9" t="s">
        <v>755</v>
      </c>
      <c r="H485" s="9" t="s">
        <v>1498</v>
      </c>
      <c r="I485" s="9"/>
      <c r="J485" s="9">
        <v>0</v>
      </c>
      <c r="K485" s="9">
        <v>500</v>
      </c>
      <c r="L485" s="9" t="s">
        <v>64</v>
      </c>
      <c r="M485" s="9" t="s">
        <v>26</v>
      </c>
      <c r="N485" s="9" t="s">
        <v>1554</v>
      </c>
      <c r="O485" s="9" t="s">
        <v>1303</v>
      </c>
      <c r="P485" s="9">
        <v>290</v>
      </c>
      <c r="Q485" s="9" t="s">
        <v>1561</v>
      </c>
      <c r="R485" s="133">
        <v>0</v>
      </c>
      <c r="S485" s="100">
        <f t="shared" ref="S485:S548" si="136">100 - R485 - U485 - T485</f>
        <v>100</v>
      </c>
      <c r="T485" s="100">
        <v>0</v>
      </c>
      <c r="U485" s="100">
        <v>0</v>
      </c>
      <c r="V485" s="133">
        <v>0</v>
      </c>
      <c r="W485" s="134">
        <f t="shared" ref="W485:W548" si="137">IF($R485 &gt; 0, 100 - $V485, 0)</f>
        <v>0</v>
      </c>
      <c r="X485" s="101">
        <f>INDEX(Chemical_analyses!$A:$L, MATCH($P485, Chemical_analyses!$A:$A), 9)/$R$2/(INDEX(Chemical_analyses!$A:$L, MATCH($P485, Chemical_analyses!$A:$A), 9)/$R$2+INDEX(Chemical_analyses!$A:$L, MATCH($P485, Chemical_analyses!$A:$A), 11)/$S$2+INDEX(Chemical_analyses!$A:$L, MATCH($P485, Chemical_analyses!$A:$A), 12)/$T$2)*100</f>
        <v>50.665945941216663</v>
      </c>
      <c r="Y485" s="101">
        <f t="shared" ref="Y485:Y547" si="138">IF($S485 &gt; 0, 100 - $X485 - $Z485, 0)</f>
        <v>47.836435361053582</v>
      </c>
      <c r="Z485" s="101">
        <f>INDEX(Chemical_analyses!$A:$L, MATCH($P485, Chemical_analyses!$A:$A), 12)/$T$2/(INDEX(Chemical_analyses!$A:$L, MATCH($P485, Chemical_analyses!$A:$A), 9)/$R$2+INDEX(Chemical_analyses!$A:$L, MATCH($P485, Chemical_analyses!$A:$A), 11)/$S$2+INDEX(Chemical_analyses!$A:$L, MATCH($P485, Chemical_analyses!$A:$A), 12)/$T$2)*100</f>
        <v>1.4976186977297536</v>
      </c>
      <c r="AA485" s="133">
        <v>0</v>
      </c>
      <c r="AB485" s="101">
        <f t="shared" ref="AB485:AB547" si="139">IF($T485 &gt; 0, 100 - $AA485 - $AC485, 0)</f>
        <v>0</v>
      </c>
      <c r="AC485" s="134">
        <v>0</v>
      </c>
      <c r="AD485" s="101">
        <v>0</v>
      </c>
      <c r="AE485" s="101">
        <f t="shared" ref="AE485:AE547" si="140">IF($U485 &gt; 0, 100 - $AD485 - $AF485, 0)</f>
        <v>0</v>
      </c>
      <c r="AF485" s="134">
        <v>0</v>
      </c>
      <c r="AG485" s="9" t="s">
        <v>69</v>
      </c>
      <c r="AH485" s="102" t="str">
        <f>_xlfn.CONCAT("FeO: ", INDEX(Chemical_analyses!$A:$M, MATCH($P485, Chemical_analyses!$A:$A), 9), ", MgO: ", INDEX(Chemical_analyses!$A:$M, MATCH($P485, Chemical_analyses!$A:$A), 11), ", CaO: ", INDEX(Chemical_analyses!$A:$M, MATCH($P485, Chemical_analyses!$A:$A), 12), ", MnO: ", INDEX(Chemical_analyses!$A:$M, MATCH($P485, Chemical_analyses!$A:$A), 10), ", NaO2: ", INDEX(Chemical_analyses!$A:$M, MATCH($P485, Chemical_analyses!$A:$A), 13), ", Fe2O3: ", INDEX(Chemical_analyses!$A:$M, MATCH($P485, Chemical_analyses!$A:$A), 8), ", Al2O3: ", INDEX(Chemical_analyses!$A:$M, MATCH($P485, Chemical_analyses!$A:$A), 6))</f>
        <v>FeO: 30.34, MgO: 16.07, CaO: 0.7, MnO: 1.01, NaO2: 0, Fe2O3: 0, Al2O3: 1.59</v>
      </c>
      <c r="AI485" s="9"/>
      <c r="AJ485" s="9"/>
      <c r="AK485" s="9"/>
      <c r="AL485" s="9"/>
      <c r="AM485" s="9"/>
      <c r="AN485" s="32"/>
      <c r="AO485" s="32"/>
      <c r="AP485" s="32"/>
      <c r="AQ485" s="32"/>
      <c r="AR485" s="9"/>
      <c r="AS485" s="9"/>
      <c r="AT485" s="9"/>
      <c r="AU485" s="9"/>
      <c r="AV485" s="9"/>
      <c r="AW485" s="32"/>
      <c r="AX485" s="32"/>
      <c r="AY485" s="32"/>
      <c r="AZ485" s="32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  <c r="GL485" s="9"/>
      <c r="GM485" s="9"/>
      <c r="GN485" s="9"/>
      <c r="GO485" s="9"/>
      <c r="GP485" s="9"/>
      <c r="GQ485" s="9"/>
      <c r="GR485" s="9"/>
      <c r="GS485" s="9"/>
      <c r="GT485" s="9"/>
      <c r="GU485" s="9"/>
      <c r="GV485" s="9"/>
      <c r="GW485" s="9"/>
      <c r="GX485" s="9"/>
      <c r="GY485" s="9"/>
      <c r="GZ485" s="9"/>
      <c r="HA485" s="9"/>
      <c r="HB485" s="9"/>
      <c r="HC485" s="9"/>
      <c r="HD485" s="9"/>
      <c r="HE485" s="9"/>
      <c r="HF485" s="9"/>
      <c r="HG485" s="9"/>
      <c r="HH485" s="9"/>
      <c r="HI485" s="9"/>
      <c r="HJ485" s="9"/>
      <c r="HK485" s="9"/>
      <c r="HL485" s="9"/>
      <c r="HM485" s="9"/>
      <c r="HN485" s="9"/>
      <c r="HO485" s="9"/>
      <c r="HP485" s="9"/>
      <c r="HQ485" s="9"/>
      <c r="HR485" s="9"/>
      <c r="HS485" s="9"/>
      <c r="HT485" s="9"/>
      <c r="HU485" s="9"/>
      <c r="HV485" s="9"/>
      <c r="HW485" s="9"/>
      <c r="HX485" s="9"/>
      <c r="HY485" s="9"/>
      <c r="HZ485" s="9"/>
      <c r="IA485" s="9"/>
      <c r="IB485" s="9"/>
      <c r="IC485" s="9"/>
      <c r="ID485" s="9"/>
      <c r="IE485" s="9"/>
      <c r="IF485" s="9"/>
      <c r="IG485" s="9"/>
      <c r="IH485" s="9"/>
      <c r="II485" s="9"/>
      <c r="IJ485" s="9"/>
      <c r="IK485" s="9"/>
      <c r="IL485" s="9"/>
      <c r="IM485" s="9"/>
      <c r="IN485" s="9"/>
      <c r="IO485" s="9"/>
      <c r="IP485" s="9"/>
      <c r="IQ485" s="9"/>
      <c r="IR485" s="9"/>
      <c r="IS485" s="9"/>
      <c r="IT485" s="9"/>
      <c r="IU485" s="9"/>
      <c r="IV485" s="9"/>
      <c r="IW485" s="9"/>
      <c r="IX485" s="9"/>
      <c r="IY485" s="9"/>
      <c r="IZ485" s="9"/>
      <c r="JA485" s="9"/>
      <c r="JB485" s="9"/>
      <c r="JC485" s="9"/>
      <c r="JD485" s="9"/>
      <c r="JE485" s="9"/>
    </row>
    <row r="486" spans="1:265" s="9" customFormat="1">
      <c r="A486" s="9" t="s">
        <v>1562</v>
      </c>
      <c r="B486" s="98" t="s">
        <v>1563</v>
      </c>
      <c r="C486" s="99" t="s">
        <v>1301</v>
      </c>
      <c r="D486" s="99" t="s">
        <v>642</v>
      </c>
      <c r="E486" s="9" t="s">
        <v>643</v>
      </c>
      <c r="G486" s="9" t="s">
        <v>755</v>
      </c>
      <c r="H486" s="9" t="s">
        <v>1498</v>
      </c>
      <c r="J486" s="9">
        <v>0</v>
      </c>
      <c r="K486" s="9">
        <v>500</v>
      </c>
      <c r="L486" s="9" t="s">
        <v>64</v>
      </c>
      <c r="M486" s="9" t="s">
        <v>26</v>
      </c>
      <c r="N486" s="9" t="s">
        <v>1564</v>
      </c>
      <c r="O486" s="9" t="s">
        <v>1303</v>
      </c>
      <c r="P486" s="9">
        <v>290</v>
      </c>
      <c r="Q486" s="9" t="s">
        <v>1565</v>
      </c>
      <c r="R486" s="133">
        <v>0</v>
      </c>
      <c r="S486" s="100">
        <f t="shared" si="136"/>
        <v>100</v>
      </c>
      <c r="T486" s="100">
        <v>0</v>
      </c>
      <c r="U486" s="100">
        <v>0</v>
      </c>
      <c r="V486" s="133">
        <v>0</v>
      </c>
      <c r="W486" s="134">
        <f t="shared" si="137"/>
        <v>0</v>
      </c>
      <c r="X486" s="101">
        <f>INDEX(Chemical_analyses!$A:$L, MATCH($P486, Chemical_analyses!$A:$A), 9)/$R$2/(INDEX(Chemical_analyses!$A:$L, MATCH($P486, Chemical_analyses!$A:$A), 9)/$R$2+INDEX(Chemical_analyses!$A:$L, MATCH($P486, Chemical_analyses!$A:$A), 11)/$S$2+INDEX(Chemical_analyses!$A:$L, MATCH($P486, Chemical_analyses!$A:$A), 12)/$T$2)*100</f>
        <v>50.665945941216663</v>
      </c>
      <c r="Y486" s="101">
        <f t="shared" si="138"/>
        <v>47.836435361053582</v>
      </c>
      <c r="Z486" s="101">
        <f>INDEX(Chemical_analyses!$A:$L, MATCH($P486, Chemical_analyses!$A:$A), 12)/$T$2/(INDEX(Chemical_analyses!$A:$L, MATCH($P486, Chemical_analyses!$A:$A), 9)/$R$2+INDEX(Chemical_analyses!$A:$L, MATCH($P486, Chemical_analyses!$A:$A), 11)/$S$2+INDEX(Chemical_analyses!$A:$L, MATCH($P486, Chemical_analyses!$A:$A), 12)/$T$2)*100</f>
        <v>1.4976186977297536</v>
      </c>
      <c r="AA486" s="164">
        <v>0</v>
      </c>
      <c r="AB486" s="101">
        <f t="shared" si="139"/>
        <v>0</v>
      </c>
      <c r="AC486" s="135">
        <v>0</v>
      </c>
      <c r="AD486" s="101">
        <v>0</v>
      </c>
      <c r="AE486" s="101">
        <f t="shared" si="140"/>
        <v>0</v>
      </c>
      <c r="AF486" s="135">
        <v>0</v>
      </c>
      <c r="AG486" s="9" t="s">
        <v>69</v>
      </c>
      <c r="AH486" s="102" t="str">
        <f>_xlfn.CONCAT("FeO: ", INDEX(Chemical_analyses!$A:$M, MATCH($P486, Chemical_analyses!$A:$A), 9), ", MgO: ", INDEX(Chemical_analyses!$A:$M, MATCH($P486, Chemical_analyses!$A:$A), 11), ", CaO: ", INDEX(Chemical_analyses!$A:$M, MATCH($P486, Chemical_analyses!$A:$A), 12), ", MnO: ", INDEX(Chemical_analyses!$A:$M, MATCH($P486, Chemical_analyses!$A:$A), 10), ", NaO2: ", INDEX(Chemical_analyses!$A:$M, MATCH($P486, Chemical_analyses!$A:$A), 13), ", Fe2O3: ", INDEX(Chemical_analyses!$A:$M, MATCH($P486, Chemical_analyses!$A:$A), 8), ", Al2O3: ", INDEX(Chemical_analyses!$A:$M, MATCH($P486, Chemical_analyses!$A:$A), 6))</f>
        <v>FeO: 30.34, MgO: 16.07, CaO: 0.7, MnO: 1.01, NaO2: 0, Fe2O3: 0, Al2O3: 1.59</v>
      </c>
      <c r="AN486" s="32"/>
      <c r="AO486" s="32"/>
      <c r="AP486" s="32"/>
      <c r="AQ486" s="32"/>
      <c r="AW486" s="32"/>
      <c r="AX486" s="32"/>
      <c r="AY486" s="32"/>
      <c r="AZ486" s="32"/>
    </row>
    <row r="487" spans="1:265" s="9" customFormat="1">
      <c r="A487" s="9" t="s">
        <v>1566</v>
      </c>
      <c r="B487" s="98" t="s">
        <v>1567</v>
      </c>
      <c r="C487" s="99" t="s">
        <v>1301</v>
      </c>
      <c r="D487" s="99" t="s">
        <v>642</v>
      </c>
      <c r="E487" s="9" t="s">
        <v>643</v>
      </c>
      <c r="G487" s="9" t="s">
        <v>755</v>
      </c>
      <c r="H487" s="9" t="s">
        <v>1498</v>
      </c>
      <c r="J487" s="9">
        <v>0</v>
      </c>
      <c r="K487" s="9">
        <v>500</v>
      </c>
      <c r="L487" s="9" t="s">
        <v>64</v>
      </c>
      <c r="M487" s="9" t="s">
        <v>26</v>
      </c>
      <c r="N487" s="9" t="s">
        <v>1564</v>
      </c>
      <c r="O487" s="9" t="s">
        <v>1303</v>
      </c>
      <c r="P487" s="9">
        <v>290</v>
      </c>
      <c r="Q487" s="9" t="s">
        <v>1568</v>
      </c>
      <c r="R487" s="133">
        <v>0</v>
      </c>
      <c r="S487" s="100">
        <f t="shared" si="136"/>
        <v>100</v>
      </c>
      <c r="T487" s="100">
        <v>0</v>
      </c>
      <c r="U487" s="100">
        <v>0</v>
      </c>
      <c r="V487" s="133">
        <v>0</v>
      </c>
      <c r="W487" s="134">
        <f t="shared" si="137"/>
        <v>0</v>
      </c>
      <c r="X487" s="101">
        <f>INDEX(Chemical_analyses!$A:$L, MATCH($P487, Chemical_analyses!$A:$A), 9)/$R$2/(INDEX(Chemical_analyses!$A:$L, MATCH($P487, Chemical_analyses!$A:$A), 9)/$R$2+INDEX(Chemical_analyses!$A:$L, MATCH($P487, Chemical_analyses!$A:$A), 11)/$S$2+INDEX(Chemical_analyses!$A:$L, MATCH($P487, Chemical_analyses!$A:$A), 12)/$T$2)*100</f>
        <v>50.665945941216663</v>
      </c>
      <c r="Y487" s="101">
        <f t="shared" si="138"/>
        <v>47.836435361053582</v>
      </c>
      <c r="Z487" s="101">
        <f>INDEX(Chemical_analyses!$A:$L, MATCH($P487, Chemical_analyses!$A:$A), 12)/$T$2/(INDEX(Chemical_analyses!$A:$L, MATCH($P487, Chemical_analyses!$A:$A), 9)/$R$2+INDEX(Chemical_analyses!$A:$L, MATCH($P487, Chemical_analyses!$A:$A), 11)/$S$2+INDEX(Chemical_analyses!$A:$L, MATCH($P487, Chemical_analyses!$A:$A), 12)/$T$2)*100</f>
        <v>1.4976186977297536</v>
      </c>
      <c r="AA487" s="133">
        <v>0</v>
      </c>
      <c r="AB487" s="101">
        <f t="shared" si="139"/>
        <v>0</v>
      </c>
      <c r="AC487" s="134">
        <v>0</v>
      </c>
      <c r="AD487" s="101">
        <v>0</v>
      </c>
      <c r="AE487" s="101">
        <f t="shared" si="140"/>
        <v>0</v>
      </c>
      <c r="AF487" s="134">
        <v>0</v>
      </c>
      <c r="AG487" s="9" t="s">
        <v>69</v>
      </c>
      <c r="AH487" s="102" t="str">
        <f>_xlfn.CONCAT("FeO: ", INDEX(Chemical_analyses!$A:$M, MATCH($P487, Chemical_analyses!$A:$A), 9), ", MgO: ", INDEX(Chemical_analyses!$A:$M, MATCH($P487, Chemical_analyses!$A:$A), 11), ", CaO: ", INDEX(Chemical_analyses!$A:$M, MATCH($P487, Chemical_analyses!$A:$A), 12), ", MnO: ", INDEX(Chemical_analyses!$A:$M, MATCH($P487, Chemical_analyses!$A:$A), 10), ", NaO2: ", INDEX(Chemical_analyses!$A:$M, MATCH($P487, Chemical_analyses!$A:$A), 13), ", Fe2O3: ", INDEX(Chemical_analyses!$A:$M, MATCH($P487, Chemical_analyses!$A:$A), 8), ", Al2O3: ", INDEX(Chemical_analyses!$A:$M, MATCH($P487, Chemical_analyses!$A:$A), 6))</f>
        <v>FeO: 30.34, MgO: 16.07, CaO: 0.7, MnO: 1.01, NaO2: 0, Fe2O3: 0, Al2O3: 1.59</v>
      </c>
      <c r="AN487" s="32"/>
      <c r="AO487" s="32"/>
      <c r="AP487" s="32"/>
      <c r="AQ487" s="32"/>
      <c r="AR487" s="170"/>
      <c r="AS487" s="170"/>
      <c r="AT487" s="170"/>
      <c r="AU487" s="170"/>
      <c r="AV487" s="170"/>
      <c r="AW487" s="32"/>
      <c r="AX487" s="32"/>
      <c r="AY487" s="32"/>
      <c r="AZ487" s="32"/>
      <c r="BA487" s="170"/>
      <c r="BB487" s="170"/>
      <c r="BC487" s="170"/>
      <c r="BD487" s="170"/>
      <c r="BE487" s="170"/>
      <c r="BF487" s="170"/>
      <c r="BG487" s="170"/>
      <c r="BH487" s="170"/>
      <c r="BI487" s="170"/>
      <c r="BJ487" s="170"/>
      <c r="BK487" s="170"/>
      <c r="BL487" s="170"/>
      <c r="BM487" s="170"/>
      <c r="BN487" s="170"/>
      <c r="BO487" s="170"/>
      <c r="BP487" s="170"/>
      <c r="BQ487" s="170"/>
      <c r="BR487" s="170"/>
      <c r="BS487" s="170"/>
      <c r="BT487" s="170"/>
      <c r="BU487" s="170"/>
      <c r="BV487" s="170"/>
      <c r="BW487" s="170"/>
      <c r="BX487" s="170"/>
      <c r="BY487" s="170"/>
      <c r="BZ487" s="170"/>
      <c r="CA487" s="170"/>
      <c r="CB487" s="170"/>
      <c r="CC487" s="170"/>
      <c r="CD487" s="170"/>
      <c r="CE487" s="170"/>
      <c r="CF487" s="170"/>
      <c r="CG487" s="170"/>
      <c r="CH487" s="170"/>
      <c r="CI487" s="170"/>
      <c r="CJ487" s="170"/>
      <c r="CK487" s="170"/>
      <c r="CL487" s="170"/>
      <c r="CM487" s="170"/>
      <c r="CN487" s="170"/>
      <c r="CO487" s="170"/>
      <c r="CP487" s="170"/>
      <c r="CQ487" s="170"/>
      <c r="CR487" s="170"/>
      <c r="CS487" s="170"/>
      <c r="CT487" s="170"/>
      <c r="CU487" s="170"/>
      <c r="CV487" s="170"/>
      <c r="CW487" s="170"/>
      <c r="CX487" s="170"/>
      <c r="CY487" s="170"/>
      <c r="CZ487" s="170"/>
      <c r="DA487" s="170"/>
      <c r="DB487" s="170"/>
      <c r="DC487" s="170"/>
      <c r="DD487" s="170"/>
      <c r="DE487" s="170"/>
      <c r="DF487" s="170"/>
      <c r="DG487" s="170"/>
      <c r="DH487" s="170"/>
      <c r="DI487" s="170"/>
      <c r="DJ487" s="170"/>
      <c r="DK487" s="170"/>
      <c r="DL487" s="170"/>
      <c r="DM487" s="170"/>
      <c r="DN487" s="170"/>
      <c r="DO487" s="170"/>
      <c r="DP487" s="170"/>
      <c r="DQ487" s="170"/>
      <c r="DR487" s="170"/>
      <c r="DS487" s="170"/>
      <c r="DT487" s="170"/>
      <c r="DU487" s="170"/>
      <c r="DV487" s="170"/>
      <c r="DW487" s="170"/>
      <c r="DX487" s="170"/>
      <c r="DY487" s="170"/>
      <c r="DZ487" s="170"/>
      <c r="EA487" s="170"/>
      <c r="EB487" s="170"/>
      <c r="EC487" s="170"/>
      <c r="ED487" s="170"/>
      <c r="EE487" s="170"/>
      <c r="EF487" s="170"/>
      <c r="EG487" s="170"/>
      <c r="EH487" s="170"/>
      <c r="EI487" s="170"/>
      <c r="EJ487" s="170"/>
      <c r="EK487" s="170"/>
      <c r="EL487" s="170"/>
      <c r="EM487" s="170"/>
      <c r="EN487" s="170"/>
      <c r="EO487" s="170"/>
      <c r="EP487" s="170"/>
      <c r="EQ487" s="170"/>
      <c r="ER487" s="170"/>
      <c r="ES487" s="170"/>
      <c r="ET487" s="170"/>
      <c r="EU487" s="170"/>
      <c r="EV487" s="170"/>
      <c r="EW487" s="170"/>
      <c r="EX487" s="170"/>
      <c r="EY487" s="170"/>
      <c r="EZ487" s="170"/>
      <c r="FA487" s="170"/>
      <c r="FB487" s="170"/>
      <c r="FC487" s="170"/>
      <c r="FD487" s="170"/>
      <c r="FE487" s="170"/>
      <c r="FF487" s="170"/>
      <c r="FG487" s="170"/>
      <c r="FH487" s="170"/>
      <c r="FI487" s="170"/>
      <c r="FJ487" s="170"/>
      <c r="FK487" s="170"/>
      <c r="FL487" s="170"/>
      <c r="FM487" s="170"/>
      <c r="FN487" s="170"/>
      <c r="FO487" s="170"/>
      <c r="FP487" s="170"/>
      <c r="FQ487" s="170"/>
      <c r="FR487" s="170"/>
      <c r="FS487" s="170"/>
      <c r="FT487" s="170"/>
      <c r="FU487" s="170"/>
      <c r="FV487" s="170"/>
      <c r="FW487" s="170"/>
      <c r="FX487" s="170"/>
      <c r="FY487" s="170"/>
      <c r="FZ487" s="170"/>
      <c r="GA487" s="170"/>
      <c r="GB487" s="170"/>
      <c r="GC487" s="170"/>
      <c r="GD487" s="170"/>
      <c r="GE487" s="170"/>
      <c r="GF487" s="170"/>
      <c r="GG487" s="170"/>
      <c r="GH487" s="170"/>
      <c r="GI487" s="170"/>
      <c r="GJ487" s="170"/>
      <c r="GK487" s="170"/>
      <c r="GL487" s="170"/>
      <c r="GM487" s="170"/>
      <c r="GN487" s="170"/>
      <c r="GO487" s="170"/>
      <c r="GP487" s="170"/>
      <c r="GQ487" s="170"/>
      <c r="GR487" s="170"/>
      <c r="GS487" s="170"/>
      <c r="GT487" s="170"/>
      <c r="GU487" s="170"/>
      <c r="GV487" s="170"/>
      <c r="GW487" s="170"/>
      <c r="GX487" s="170"/>
      <c r="GY487" s="170"/>
      <c r="GZ487" s="170"/>
      <c r="HA487" s="170"/>
      <c r="HB487" s="170"/>
      <c r="HC487" s="170"/>
      <c r="HD487" s="170"/>
      <c r="HE487" s="170"/>
      <c r="HF487" s="170"/>
      <c r="HG487" s="170"/>
      <c r="HH487" s="170"/>
      <c r="HI487" s="170"/>
      <c r="HJ487" s="170"/>
      <c r="HK487" s="170"/>
      <c r="HL487" s="170"/>
      <c r="HM487" s="170"/>
      <c r="HN487" s="170"/>
      <c r="HO487" s="170"/>
      <c r="HP487" s="170"/>
      <c r="HQ487" s="170"/>
      <c r="HR487" s="170"/>
      <c r="HS487" s="170"/>
      <c r="HT487" s="170"/>
      <c r="HU487" s="170"/>
      <c r="HV487" s="170"/>
      <c r="HW487" s="170"/>
      <c r="HX487" s="170"/>
      <c r="HY487" s="170"/>
      <c r="HZ487" s="170"/>
      <c r="IA487" s="170"/>
      <c r="IB487" s="170"/>
      <c r="IC487" s="170"/>
      <c r="ID487" s="170"/>
      <c r="IE487" s="170"/>
      <c r="IF487" s="170"/>
      <c r="IG487" s="170"/>
      <c r="IH487" s="170"/>
      <c r="II487" s="170"/>
      <c r="IJ487" s="170"/>
      <c r="IK487" s="170"/>
      <c r="IL487" s="170"/>
      <c r="IM487" s="170"/>
      <c r="IN487" s="170"/>
      <c r="IO487" s="170"/>
      <c r="IP487" s="170"/>
      <c r="IQ487" s="170"/>
      <c r="IR487" s="170"/>
      <c r="IS487" s="170"/>
      <c r="IT487" s="170"/>
      <c r="IU487" s="170"/>
      <c r="IV487" s="170"/>
      <c r="IW487" s="170"/>
      <c r="IX487" s="170"/>
      <c r="IY487" s="170"/>
      <c r="IZ487" s="170"/>
      <c r="JA487" s="170"/>
      <c r="JB487" s="170"/>
      <c r="JC487" s="170"/>
      <c r="JD487" s="170"/>
      <c r="JE487" s="170"/>
    </row>
    <row r="488" spans="1:265" s="9" customFormat="1">
      <c r="A488" s="9" t="s">
        <v>1569</v>
      </c>
      <c r="B488" s="98" t="s">
        <v>1570</v>
      </c>
      <c r="C488" s="99" t="s">
        <v>1301</v>
      </c>
      <c r="D488" s="99" t="s">
        <v>642</v>
      </c>
      <c r="E488" s="9" t="s">
        <v>643</v>
      </c>
      <c r="G488" s="9" t="s">
        <v>755</v>
      </c>
      <c r="H488" s="9" t="s">
        <v>1498</v>
      </c>
      <c r="J488" s="9">
        <v>0</v>
      </c>
      <c r="K488" s="9">
        <v>500</v>
      </c>
      <c r="L488" s="9" t="s">
        <v>64</v>
      </c>
      <c r="M488" s="9" t="s">
        <v>26</v>
      </c>
      <c r="N488" s="9" t="s">
        <v>1571</v>
      </c>
      <c r="O488" s="9" t="s">
        <v>1303</v>
      </c>
      <c r="P488" s="9">
        <v>291</v>
      </c>
      <c r="Q488" s="9" t="s">
        <v>1572</v>
      </c>
      <c r="R488" s="133">
        <v>0</v>
      </c>
      <c r="S488" s="100">
        <f t="shared" si="136"/>
        <v>100</v>
      </c>
      <c r="T488" s="100">
        <v>0</v>
      </c>
      <c r="U488" s="100">
        <v>0</v>
      </c>
      <c r="V488" s="133">
        <v>0</v>
      </c>
      <c r="W488" s="134">
        <f t="shared" si="137"/>
        <v>0</v>
      </c>
      <c r="X488" s="101">
        <f>INDEX(Chemical_analyses!$A:$L, MATCH($P488, Chemical_analyses!$A:$A), 9)/$R$2/(INDEX(Chemical_analyses!$A:$L, MATCH($P488, Chemical_analyses!$A:$A), 9)/$R$2+INDEX(Chemical_analyses!$A:$L, MATCH($P488, Chemical_analyses!$A:$A), 11)/$S$2+INDEX(Chemical_analyses!$A:$L, MATCH($P488, Chemical_analyses!$A:$A), 12)/$T$2)*100</f>
        <v>43.365690943334897</v>
      </c>
      <c r="Y488" s="101">
        <f t="shared" si="138"/>
        <v>54.111137606517147</v>
      </c>
      <c r="Z488" s="101">
        <f>INDEX(Chemical_analyses!$A:$L, MATCH($P488, Chemical_analyses!$A:$A), 12)/$T$2/(INDEX(Chemical_analyses!$A:$L, MATCH($P488, Chemical_analyses!$A:$A), 9)/$R$2+INDEX(Chemical_analyses!$A:$L, MATCH($P488, Chemical_analyses!$A:$A), 11)/$S$2+INDEX(Chemical_analyses!$A:$L, MATCH($P488, Chemical_analyses!$A:$A), 12)/$T$2)*100</f>
        <v>2.5231714501479581</v>
      </c>
      <c r="AA488" s="164">
        <v>0</v>
      </c>
      <c r="AB488" s="101">
        <f t="shared" si="139"/>
        <v>0</v>
      </c>
      <c r="AC488" s="135">
        <v>0</v>
      </c>
      <c r="AD488" s="101">
        <v>0</v>
      </c>
      <c r="AE488" s="101">
        <f t="shared" si="140"/>
        <v>0</v>
      </c>
      <c r="AF488" s="135">
        <v>0</v>
      </c>
      <c r="AG488" s="9" t="s">
        <v>69</v>
      </c>
      <c r="AH488" s="102" t="str">
        <f>_xlfn.CONCAT("FeO: ", INDEX(Chemical_analyses!$A:$M, MATCH($P488, Chemical_analyses!$A:$A), 9), ", MgO: ", INDEX(Chemical_analyses!$A:$M, MATCH($P488, Chemical_analyses!$A:$A), 11), ", CaO: ", INDEX(Chemical_analyses!$A:$M, MATCH($P488, Chemical_analyses!$A:$A), 12), ", MnO: ", INDEX(Chemical_analyses!$A:$M, MATCH($P488, Chemical_analyses!$A:$A), 10), ", NaO2: ", INDEX(Chemical_analyses!$A:$M, MATCH($P488, Chemical_analyses!$A:$A), 13), ", Fe2O3: ", INDEX(Chemical_analyses!$A:$M, MATCH($P488, Chemical_analyses!$A:$A), 8), ", Al2O3: ", INDEX(Chemical_analyses!$A:$M, MATCH($P488, Chemical_analyses!$A:$A), 6))</f>
        <v>FeO: 22.9, MgO: 16.03, CaO: 1.04, MnO: 7.32, NaO2: 0, Fe2O3: 1.04, Al2O3: 1.82</v>
      </c>
      <c r="AN488" s="32"/>
      <c r="AO488" s="32"/>
      <c r="AP488" s="32"/>
      <c r="AQ488" s="32"/>
      <c r="AR488" s="170"/>
      <c r="AS488" s="170"/>
      <c r="AT488" s="170"/>
      <c r="AU488" s="170"/>
      <c r="AV488" s="170"/>
      <c r="AW488" s="32"/>
      <c r="AX488" s="32"/>
      <c r="AY488" s="32"/>
      <c r="AZ488" s="32"/>
      <c r="BA488" s="170"/>
      <c r="BB488" s="170"/>
      <c r="BC488" s="170"/>
      <c r="BD488" s="170"/>
      <c r="BE488" s="170"/>
      <c r="BF488" s="170"/>
      <c r="BG488" s="170"/>
      <c r="BH488" s="170"/>
      <c r="BI488" s="170"/>
      <c r="BJ488" s="170"/>
      <c r="BK488" s="170"/>
      <c r="BL488" s="170"/>
      <c r="BM488" s="170"/>
      <c r="BN488" s="170"/>
      <c r="BO488" s="170"/>
      <c r="BP488" s="170"/>
      <c r="BQ488" s="170"/>
      <c r="BR488" s="170"/>
      <c r="BS488" s="170"/>
      <c r="BT488" s="170"/>
      <c r="BU488" s="170"/>
      <c r="BV488" s="170"/>
      <c r="BW488" s="170"/>
      <c r="BX488" s="170"/>
      <c r="BY488" s="170"/>
      <c r="BZ488" s="170"/>
      <c r="CA488" s="170"/>
      <c r="CB488" s="170"/>
      <c r="CC488" s="170"/>
      <c r="CD488" s="170"/>
      <c r="CE488" s="170"/>
      <c r="CF488" s="170"/>
      <c r="CG488" s="170"/>
      <c r="CH488" s="170"/>
      <c r="CI488" s="170"/>
      <c r="CJ488" s="170"/>
      <c r="CK488" s="170"/>
      <c r="CL488" s="170"/>
      <c r="CM488" s="170"/>
      <c r="CN488" s="170"/>
      <c r="CO488" s="170"/>
      <c r="CP488" s="170"/>
      <c r="CQ488" s="170"/>
      <c r="CR488" s="170"/>
      <c r="CS488" s="170"/>
      <c r="CT488" s="170"/>
      <c r="CU488" s="170"/>
      <c r="CV488" s="170"/>
      <c r="CW488" s="170"/>
      <c r="CX488" s="170"/>
      <c r="CY488" s="170"/>
      <c r="CZ488" s="170"/>
      <c r="DA488" s="170"/>
      <c r="DB488" s="170"/>
      <c r="DC488" s="170"/>
      <c r="DD488" s="170"/>
      <c r="DE488" s="170"/>
      <c r="DF488" s="170"/>
      <c r="DG488" s="170"/>
      <c r="DH488" s="170"/>
      <c r="DI488" s="170"/>
      <c r="DJ488" s="170"/>
      <c r="DK488" s="170"/>
      <c r="DL488" s="170"/>
      <c r="DM488" s="170"/>
      <c r="DN488" s="170"/>
      <c r="DO488" s="170"/>
      <c r="DP488" s="170"/>
      <c r="DQ488" s="170"/>
      <c r="DR488" s="170"/>
      <c r="DS488" s="170"/>
      <c r="DT488" s="170"/>
      <c r="DU488" s="170"/>
      <c r="DV488" s="170"/>
      <c r="DW488" s="170"/>
      <c r="DX488" s="170"/>
      <c r="DY488" s="170"/>
      <c r="DZ488" s="170"/>
      <c r="EA488" s="170"/>
      <c r="EB488" s="170"/>
      <c r="EC488" s="170"/>
      <c r="ED488" s="170"/>
      <c r="EE488" s="170"/>
      <c r="EF488" s="170"/>
      <c r="EG488" s="170"/>
      <c r="EH488" s="170"/>
      <c r="EI488" s="170"/>
      <c r="EJ488" s="170"/>
      <c r="EK488" s="170"/>
      <c r="EL488" s="170"/>
      <c r="EM488" s="170"/>
      <c r="EN488" s="170"/>
      <c r="EO488" s="170"/>
      <c r="EP488" s="170"/>
      <c r="EQ488" s="170"/>
      <c r="ER488" s="170"/>
      <c r="ES488" s="170"/>
      <c r="ET488" s="170"/>
      <c r="EU488" s="170"/>
      <c r="EV488" s="170"/>
      <c r="EW488" s="170"/>
      <c r="EX488" s="170"/>
      <c r="EY488" s="170"/>
      <c r="EZ488" s="170"/>
      <c r="FA488" s="170"/>
      <c r="FB488" s="170"/>
      <c r="FC488" s="170"/>
      <c r="FD488" s="170"/>
      <c r="FE488" s="170"/>
      <c r="FF488" s="170"/>
      <c r="FG488" s="170"/>
      <c r="FH488" s="170"/>
      <c r="FI488" s="170"/>
      <c r="FJ488" s="170"/>
      <c r="FK488" s="170"/>
      <c r="FL488" s="170"/>
      <c r="FM488" s="170"/>
      <c r="FN488" s="170"/>
      <c r="FO488" s="170"/>
      <c r="FP488" s="170"/>
      <c r="FQ488" s="170"/>
      <c r="FR488" s="170"/>
      <c r="FS488" s="170"/>
      <c r="FT488" s="170"/>
      <c r="FU488" s="170"/>
      <c r="FV488" s="170"/>
      <c r="FW488" s="170"/>
      <c r="FX488" s="170"/>
      <c r="FY488" s="170"/>
      <c r="FZ488" s="170"/>
      <c r="GA488" s="170"/>
      <c r="GB488" s="170"/>
      <c r="GC488" s="170"/>
      <c r="GD488" s="170"/>
      <c r="GE488" s="170"/>
      <c r="GF488" s="170"/>
      <c r="GG488" s="170"/>
      <c r="GH488" s="170"/>
      <c r="GI488" s="170"/>
      <c r="GJ488" s="170"/>
      <c r="GK488" s="170"/>
      <c r="GL488" s="170"/>
      <c r="GM488" s="170"/>
      <c r="GN488" s="170"/>
      <c r="GO488" s="170"/>
      <c r="GP488" s="170"/>
      <c r="GQ488" s="170"/>
      <c r="GR488" s="170"/>
      <c r="GS488" s="170"/>
      <c r="GT488" s="170"/>
      <c r="GU488" s="170"/>
      <c r="GV488" s="170"/>
      <c r="GW488" s="170"/>
      <c r="GX488" s="170"/>
      <c r="GY488" s="170"/>
      <c r="GZ488" s="170"/>
      <c r="HA488" s="170"/>
      <c r="HB488" s="170"/>
      <c r="HC488" s="170"/>
      <c r="HD488" s="170"/>
      <c r="HE488" s="170"/>
      <c r="HF488" s="170"/>
      <c r="HG488" s="170"/>
      <c r="HH488" s="170"/>
      <c r="HI488" s="170"/>
      <c r="HJ488" s="170"/>
      <c r="HK488" s="170"/>
      <c r="HL488" s="170"/>
      <c r="HM488" s="170"/>
      <c r="HN488" s="170"/>
      <c r="HO488" s="170"/>
      <c r="HP488" s="170"/>
      <c r="HQ488" s="170"/>
      <c r="HR488" s="170"/>
      <c r="HS488" s="170"/>
      <c r="HT488" s="170"/>
      <c r="HU488" s="170"/>
      <c r="HV488" s="170"/>
      <c r="HW488" s="170"/>
      <c r="HX488" s="170"/>
      <c r="HY488" s="170"/>
      <c r="HZ488" s="170"/>
      <c r="IA488" s="170"/>
      <c r="IB488" s="170"/>
      <c r="IC488" s="170"/>
      <c r="ID488" s="170"/>
      <c r="IE488" s="170"/>
      <c r="IF488" s="170"/>
      <c r="IG488" s="170"/>
      <c r="IH488" s="170"/>
      <c r="II488" s="170"/>
      <c r="IJ488" s="170"/>
      <c r="IK488" s="170"/>
      <c r="IL488" s="170"/>
      <c r="IM488" s="170"/>
      <c r="IN488" s="170"/>
      <c r="IO488" s="170"/>
      <c r="IP488" s="170"/>
      <c r="IQ488" s="170"/>
      <c r="IR488" s="170"/>
      <c r="IS488" s="170"/>
      <c r="IT488" s="170"/>
      <c r="IU488" s="170"/>
      <c r="IV488" s="170"/>
      <c r="IW488" s="170"/>
      <c r="IX488" s="170"/>
      <c r="IY488" s="170"/>
      <c r="IZ488" s="170"/>
      <c r="JA488" s="170"/>
      <c r="JB488" s="170"/>
      <c r="JC488" s="170"/>
      <c r="JD488" s="170"/>
      <c r="JE488" s="170"/>
    </row>
    <row r="489" spans="1:265" s="9" customFormat="1">
      <c r="A489" s="9" t="s">
        <v>1573</v>
      </c>
      <c r="B489" s="98" t="s">
        <v>1574</v>
      </c>
      <c r="C489" s="99" t="s">
        <v>1301</v>
      </c>
      <c r="D489" s="99" t="s">
        <v>642</v>
      </c>
      <c r="E489" s="9" t="s">
        <v>643</v>
      </c>
      <c r="G489" s="9" t="s">
        <v>755</v>
      </c>
      <c r="H489" s="9" t="s">
        <v>1498</v>
      </c>
      <c r="I489" s="9" t="s">
        <v>64</v>
      </c>
      <c r="J489" s="9">
        <v>0</v>
      </c>
      <c r="K489" s="9">
        <v>500</v>
      </c>
      <c r="L489" s="9" t="s">
        <v>64</v>
      </c>
      <c r="M489" s="9" t="s">
        <v>26</v>
      </c>
      <c r="N489" s="9" t="s">
        <v>1571</v>
      </c>
      <c r="O489" s="9" t="s">
        <v>1303</v>
      </c>
      <c r="P489" s="9">
        <v>291</v>
      </c>
      <c r="Q489" s="9" t="s">
        <v>1575</v>
      </c>
      <c r="R489" s="133">
        <v>0</v>
      </c>
      <c r="S489" s="100">
        <f t="shared" si="136"/>
        <v>100</v>
      </c>
      <c r="T489" s="100">
        <v>0</v>
      </c>
      <c r="U489" s="100">
        <v>0</v>
      </c>
      <c r="V489" s="133">
        <v>0</v>
      </c>
      <c r="W489" s="134">
        <f t="shared" si="137"/>
        <v>0</v>
      </c>
      <c r="X489" s="101">
        <f>INDEX(Chemical_analyses!$A:$L, MATCH($P489, Chemical_analyses!$A:$A), 9)/$R$2/(INDEX(Chemical_analyses!$A:$L, MATCH($P489, Chemical_analyses!$A:$A), 9)/$R$2+INDEX(Chemical_analyses!$A:$L, MATCH($P489, Chemical_analyses!$A:$A), 11)/$S$2+INDEX(Chemical_analyses!$A:$L, MATCH($P489, Chemical_analyses!$A:$A), 12)/$T$2)*100</f>
        <v>43.365690943334897</v>
      </c>
      <c r="Y489" s="101">
        <f t="shared" si="138"/>
        <v>54.111137606517147</v>
      </c>
      <c r="Z489" s="101">
        <f>INDEX(Chemical_analyses!$A:$L, MATCH($P489, Chemical_analyses!$A:$A), 12)/$T$2/(INDEX(Chemical_analyses!$A:$L, MATCH($P489, Chemical_analyses!$A:$A), 9)/$R$2+INDEX(Chemical_analyses!$A:$L, MATCH($P489, Chemical_analyses!$A:$A), 11)/$S$2+INDEX(Chemical_analyses!$A:$L, MATCH($P489, Chemical_analyses!$A:$A), 12)/$T$2)*100</f>
        <v>2.5231714501479581</v>
      </c>
      <c r="AA489" s="133">
        <v>0</v>
      </c>
      <c r="AB489" s="101">
        <f t="shared" si="139"/>
        <v>0</v>
      </c>
      <c r="AC489" s="134">
        <v>0</v>
      </c>
      <c r="AD489" s="101">
        <v>0</v>
      </c>
      <c r="AE489" s="101">
        <f t="shared" si="140"/>
        <v>0</v>
      </c>
      <c r="AF489" s="134">
        <v>0</v>
      </c>
      <c r="AG489" s="9" t="s">
        <v>69</v>
      </c>
      <c r="AH489" s="102" t="str">
        <f>_xlfn.CONCAT("FeO: ", INDEX(Chemical_analyses!$A:$M, MATCH($P489, Chemical_analyses!$A:$A), 9), ", MgO: ", INDEX(Chemical_analyses!$A:$M, MATCH($P489, Chemical_analyses!$A:$A), 11), ", CaO: ", INDEX(Chemical_analyses!$A:$M, MATCH($P489, Chemical_analyses!$A:$A), 12), ", MnO: ", INDEX(Chemical_analyses!$A:$M, MATCH($P489, Chemical_analyses!$A:$A), 10), ", NaO2: ", INDEX(Chemical_analyses!$A:$M, MATCH($P489, Chemical_analyses!$A:$A), 13), ", Fe2O3: ", INDEX(Chemical_analyses!$A:$M, MATCH($P489, Chemical_analyses!$A:$A), 8), ", Al2O3: ", INDEX(Chemical_analyses!$A:$M, MATCH($P489, Chemical_analyses!$A:$A), 6))</f>
        <v>FeO: 22.9, MgO: 16.03, CaO: 1.04, MnO: 7.32, NaO2: 0, Fe2O3: 1.04, Al2O3: 1.82</v>
      </c>
      <c r="AN489" s="32"/>
      <c r="AO489" s="32"/>
      <c r="AP489" s="32"/>
      <c r="AQ489" s="32"/>
      <c r="AW489" s="32"/>
      <c r="AX489" s="32"/>
      <c r="AY489" s="32"/>
      <c r="AZ489" s="32"/>
    </row>
    <row r="490" spans="1:265" s="9" customFormat="1">
      <c r="A490" s="9" t="s">
        <v>1576</v>
      </c>
      <c r="B490" s="98" t="s">
        <v>1577</v>
      </c>
      <c r="C490" s="99" t="s">
        <v>1301</v>
      </c>
      <c r="D490" s="99" t="s">
        <v>642</v>
      </c>
      <c r="E490" s="9" t="s">
        <v>643</v>
      </c>
      <c r="G490" s="9" t="s">
        <v>755</v>
      </c>
      <c r="H490" s="9" t="s">
        <v>1498</v>
      </c>
      <c r="I490" s="9" t="s">
        <v>64</v>
      </c>
      <c r="J490" s="9">
        <v>0</v>
      </c>
      <c r="K490" s="9">
        <v>500</v>
      </c>
      <c r="L490" s="9" t="s">
        <v>64</v>
      </c>
      <c r="M490" s="9" t="s">
        <v>26</v>
      </c>
      <c r="N490" s="9" t="s">
        <v>1571</v>
      </c>
      <c r="O490" s="9" t="s">
        <v>1303</v>
      </c>
      <c r="P490" s="9">
        <v>292</v>
      </c>
      <c r="Q490" s="9" t="s">
        <v>1578</v>
      </c>
      <c r="R490" s="133">
        <v>0</v>
      </c>
      <c r="S490" s="100">
        <f t="shared" si="136"/>
        <v>100</v>
      </c>
      <c r="T490" s="100">
        <v>0</v>
      </c>
      <c r="U490" s="100">
        <v>0</v>
      </c>
      <c r="V490" s="133">
        <v>0</v>
      </c>
      <c r="W490" s="134">
        <f t="shared" si="137"/>
        <v>0</v>
      </c>
      <c r="X490" s="101">
        <f>INDEX(Chemical_analyses!$A:$L, MATCH($P490, Chemical_analyses!$A:$A), 9)/$R$2/(INDEX(Chemical_analyses!$A:$L, MATCH($P490, Chemical_analyses!$A:$A), 9)/$R$2+INDEX(Chemical_analyses!$A:$L, MATCH($P490, Chemical_analyses!$A:$A), 11)/$S$2+INDEX(Chemical_analyses!$A:$L, MATCH($P490, Chemical_analyses!$A:$A), 12)/$T$2)*100</f>
        <v>35.736630846272163</v>
      </c>
      <c r="Y490" s="101">
        <f t="shared" si="138"/>
        <v>62.515242696143041</v>
      </c>
      <c r="Z490" s="101">
        <f>INDEX(Chemical_analyses!$A:$L, MATCH($P490, Chemical_analyses!$A:$A), 12)/$T$2/(INDEX(Chemical_analyses!$A:$L, MATCH($P490, Chemical_analyses!$A:$A), 9)/$R$2+INDEX(Chemical_analyses!$A:$L, MATCH($P490, Chemical_analyses!$A:$A), 11)/$S$2+INDEX(Chemical_analyses!$A:$L, MATCH($P490, Chemical_analyses!$A:$A), 12)/$T$2)*100</f>
        <v>1.7481264575847966</v>
      </c>
      <c r="AA490" s="164">
        <v>0</v>
      </c>
      <c r="AB490" s="101">
        <f t="shared" si="139"/>
        <v>0</v>
      </c>
      <c r="AC490" s="135">
        <v>0</v>
      </c>
      <c r="AD490" s="101">
        <v>0</v>
      </c>
      <c r="AE490" s="101">
        <f t="shared" si="140"/>
        <v>0</v>
      </c>
      <c r="AF490" s="135">
        <v>0</v>
      </c>
      <c r="AG490" s="9" t="s">
        <v>69</v>
      </c>
      <c r="AH490" s="102" t="str">
        <f>_xlfn.CONCAT("FeO: ", INDEX(Chemical_analyses!$A:$M, MATCH($P490, Chemical_analyses!$A:$A), 9), ", MgO: ", INDEX(Chemical_analyses!$A:$M, MATCH($P490, Chemical_analyses!$A:$A), 11), ", CaO: ", INDEX(Chemical_analyses!$A:$M, MATCH($P490, Chemical_analyses!$A:$A), 12), ", MnO: ", INDEX(Chemical_analyses!$A:$M, MATCH($P490, Chemical_analyses!$A:$A), 10), ", NaO2: ", INDEX(Chemical_analyses!$A:$M, MATCH($P490, Chemical_analyses!$A:$A), 13), ", Fe2O3: ", INDEX(Chemical_analyses!$A:$M, MATCH($P490, Chemical_analyses!$A:$A), 8), ", Al2O3: ", INDEX(Chemical_analyses!$A:$M, MATCH($P490, Chemical_analyses!$A:$A), 6))</f>
        <v>FeO: 22, MgO: 21.59, CaO: 0.84, MnO: 0.83, NaO2: 0, Fe2O3: 1.55, Al2O3: 1.3</v>
      </c>
      <c r="AN490" s="32"/>
      <c r="AO490" s="32"/>
      <c r="AP490" s="32"/>
      <c r="AQ490" s="32"/>
      <c r="AW490" s="32"/>
      <c r="AX490" s="32"/>
      <c r="AY490" s="32"/>
      <c r="AZ490" s="32"/>
    </row>
    <row r="491" spans="1:265" s="9" customFormat="1">
      <c r="A491" s="9" t="s">
        <v>1579</v>
      </c>
      <c r="B491" s="98" t="s">
        <v>1498</v>
      </c>
      <c r="C491" s="99" t="s">
        <v>1301</v>
      </c>
      <c r="D491" s="99" t="s">
        <v>754</v>
      </c>
      <c r="E491" s="9" t="s">
        <v>643</v>
      </c>
      <c r="G491" s="9" t="s">
        <v>1580</v>
      </c>
      <c r="H491" s="9" t="s">
        <v>1581</v>
      </c>
      <c r="J491" s="9">
        <v>0</v>
      </c>
      <c r="K491" s="9">
        <v>500</v>
      </c>
      <c r="L491" s="9" t="s">
        <v>64</v>
      </c>
      <c r="M491" s="9" t="s">
        <v>26</v>
      </c>
      <c r="N491" s="9" t="s">
        <v>1012</v>
      </c>
      <c r="O491" s="9" t="s">
        <v>1303</v>
      </c>
      <c r="P491" s="9">
        <v>0</v>
      </c>
      <c r="Q491" s="9" t="s">
        <v>1582</v>
      </c>
      <c r="R491" s="133">
        <v>0</v>
      </c>
      <c r="S491" s="100">
        <f t="shared" si="136"/>
        <v>100</v>
      </c>
      <c r="T491" s="100">
        <v>0</v>
      </c>
      <c r="U491" s="100">
        <v>0</v>
      </c>
      <c r="V491" s="133">
        <v>0</v>
      </c>
      <c r="W491" s="134">
        <f t="shared" si="137"/>
        <v>0</v>
      </c>
      <c r="X491" s="101">
        <v>85</v>
      </c>
      <c r="Y491" s="101">
        <f t="shared" si="138"/>
        <v>15</v>
      </c>
      <c r="Z491" s="101">
        <v>0</v>
      </c>
      <c r="AA491" s="133">
        <v>0</v>
      </c>
      <c r="AB491" s="101">
        <f t="shared" si="139"/>
        <v>0</v>
      </c>
      <c r="AC491" s="134">
        <v>0</v>
      </c>
      <c r="AD491" s="101">
        <v>0</v>
      </c>
      <c r="AE491" s="101">
        <f t="shared" si="140"/>
        <v>0</v>
      </c>
      <c r="AF491" s="134">
        <v>0</v>
      </c>
      <c r="AG491" s="9" t="s">
        <v>69</v>
      </c>
      <c r="AH491" s="9" t="s">
        <v>1014</v>
      </c>
      <c r="AJ491" s="102"/>
      <c r="AN491" s="32"/>
      <c r="AO491" s="32"/>
      <c r="AP491" s="32"/>
      <c r="AQ491" s="32"/>
      <c r="AW491" s="32"/>
      <c r="AX491" s="32"/>
      <c r="AY491" s="32"/>
      <c r="AZ491" s="32"/>
    </row>
    <row r="492" spans="1:265" s="9" customFormat="1">
      <c r="A492" s="9" t="s">
        <v>1583</v>
      </c>
      <c r="B492" s="98" t="s">
        <v>1528</v>
      </c>
      <c r="C492" s="99" t="s">
        <v>890</v>
      </c>
      <c r="D492" s="99" t="s">
        <v>642</v>
      </c>
      <c r="E492" s="9" t="s">
        <v>643</v>
      </c>
      <c r="G492" s="9" t="s">
        <v>755</v>
      </c>
      <c r="H492" s="9" t="s">
        <v>1049</v>
      </c>
      <c r="J492" s="9">
        <v>45</v>
      </c>
      <c r="K492" s="9">
        <v>90</v>
      </c>
      <c r="L492" s="9" t="s">
        <v>64</v>
      </c>
      <c r="M492" s="9" t="s">
        <v>26</v>
      </c>
      <c r="N492" s="9" t="s">
        <v>1584</v>
      </c>
      <c r="O492" s="9" t="s">
        <v>957</v>
      </c>
      <c r="P492" s="9">
        <v>13</v>
      </c>
      <c r="Q492" s="9" t="s">
        <v>1585</v>
      </c>
      <c r="R492" s="133">
        <v>0</v>
      </c>
      <c r="S492" s="100">
        <f t="shared" si="136"/>
        <v>100</v>
      </c>
      <c r="T492" s="100">
        <v>0</v>
      </c>
      <c r="U492" s="100">
        <v>0</v>
      </c>
      <c r="V492" s="133">
        <v>0</v>
      </c>
      <c r="W492" s="134">
        <f t="shared" si="137"/>
        <v>0</v>
      </c>
      <c r="X492" s="101">
        <f>INDEX(Chemical_analyses!$A:$L, MATCH($P492, Chemical_analyses!$A:$A), 9)/$R$2/(INDEX(Chemical_analyses!$A:$L, MATCH($P492, Chemical_analyses!$A:$A), 9)/$R$2+INDEX(Chemical_analyses!$A:$L, MATCH($P492, Chemical_analyses!$A:$A), 11)/$S$2+INDEX(Chemical_analyses!$A:$L, MATCH($P492, Chemical_analyses!$A:$A), 12)/$T$2)*100</f>
        <v>24.614840042257761</v>
      </c>
      <c r="Y492" s="101">
        <f t="shared" si="138"/>
        <v>74.702573485617165</v>
      </c>
      <c r="Z492" s="101">
        <f>INDEX(Chemical_analyses!$A:$L, MATCH($P492, Chemical_analyses!$A:$A), 12)/$T$2/(INDEX(Chemical_analyses!$A:$L, MATCH($P492, Chemical_analyses!$A:$A), 9)/$R$2+INDEX(Chemical_analyses!$A:$L, MATCH($P492, Chemical_analyses!$A:$A), 11)/$S$2+INDEX(Chemical_analyses!$A:$L, MATCH($P492, Chemical_analyses!$A:$A), 12)/$T$2)*100</f>
        <v>0.68258647212508639</v>
      </c>
      <c r="AA492" s="133">
        <v>0</v>
      </c>
      <c r="AB492" s="101">
        <f t="shared" si="139"/>
        <v>0</v>
      </c>
      <c r="AC492" s="134">
        <v>0</v>
      </c>
      <c r="AD492" s="101">
        <v>0</v>
      </c>
      <c r="AE492" s="101">
        <f t="shared" si="140"/>
        <v>0</v>
      </c>
      <c r="AF492" s="134">
        <v>0</v>
      </c>
      <c r="AG492" s="9" t="s">
        <v>69</v>
      </c>
      <c r="AH492" s="102" t="str">
        <f>_xlfn.CONCAT("FeO: ", INDEX(Chemical_analyses!$A:$M, MATCH($P492, Chemical_analyses!$A:$A), 9), ", MgO: ", INDEX(Chemical_analyses!$A:$M, MATCH($P492, Chemical_analyses!$A:$A), 11), ", CaO: ", INDEX(Chemical_analyses!$A:$M, MATCH($P492, Chemical_analyses!$A:$A), 12), ", MnO: ", INDEX(Chemical_analyses!$A:$M, MATCH($P492, Chemical_analyses!$A:$A), 10), ", NaO2: ", INDEX(Chemical_analyses!$A:$M, MATCH($P492, Chemical_analyses!$A:$A), 13), ", Fe2O3: ", INDEX(Chemical_analyses!$A:$M, MATCH($P492, Chemical_analyses!$A:$A), 8), ", Al2O3: ", INDEX(Chemical_analyses!$A:$M, MATCH($P492, Chemical_analyses!$A:$A), 6))</f>
        <v>FeO: 16.17, MgO: 27.53, CaO: 0.35, MnO: 0.44, NaO2: 0, Fe2O3: 1.02, Al2O3: 1.54</v>
      </c>
      <c r="AN492" s="32"/>
      <c r="AO492" s="32"/>
      <c r="AP492" s="32"/>
      <c r="AQ492" s="32"/>
      <c r="AW492" s="32"/>
      <c r="AX492" s="32"/>
      <c r="AY492" s="32"/>
      <c r="AZ492" s="32"/>
    </row>
    <row r="493" spans="1:265" s="9" customFormat="1">
      <c r="A493" s="9" t="s">
        <v>1586</v>
      </c>
      <c r="B493" s="98" t="s">
        <v>1587</v>
      </c>
      <c r="C493" s="99" t="s">
        <v>890</v>
      </c>
      <c r="D493" s="99" t="s">
        <v>642</v>
      </c>
      <c r="E493" s="9" t="s">
        <v>643</v>
      </c>
      <c r="G493" s="9" t="s">
        <v>755</v>
      </c>
      <c r="H493" s="9" t="s">
        <v>1308</v>
      </c>
      <c r="J493" s="9">
        <v>45</v>
      </c>
      <c r="K493" s="9">
        <v>90</v>
      </c>
      <c r="L493" s="9" t="s">
        <v>64</v>
      </c>
      <c r="M493" s="9" t="s">
        <v>26</v>
      </c>
      <c r="N493" s="9" t="s">
        <v>1588</v>
      </c>
      <c r="O493" s="9" t="s">
        <v>957</v>
      </c>
      <c r="P493" s="9">
        <v>30</v>
      </c>
      <c r="Q493" s="9" t="s">
        <v>1589</v>
      </c>
      <c r="R493" s="133">
        <v>0</v>
      </c>
      <c r="S493" s="100">
        <f t="shared" si="136"/>
        <v>100</v>
      </c>
      <c r="T493" s="100">
        <v>0</v>
      </c>
      <c r="U493" s="100">
        <v>0</v>
      </c>
      <c r="V493" s="133">
        <v>0</v>
      </c>
      <c r="W493" s="134">
        <f t="shared" si="137"/>
        <v>0</v>
      </c>
      <c r="X493" s="101">
        <f>INDEX(Chemical_analyses!$A:$L, MATCH($P493, Chemical_analyses!$A:$A), 9)/$R$2/(INDEX(Chemical_analyses!$A:$L, MATCH($P493, Chemical_analyses!$A:$A), 9)/$R$2+INDEX(Chemical_analyses!$A:$L, MATCH($P493, Chemical_analyses!$A:$A), 11)/$S$2+INDEX(Chemical_analyses!$A:$L, MATCH($P493, Chemical_analyses!$A:$A), 12)/$T$2)*100</f>
        <v>41.486504334428943</v>
      </c>
      <c r="Y493" s="101">
        <f t="shared" si="138"/>
        <v>54.94014648687488</v>
      </c>
      <c r="Z493" s="101">
        <f>INDEX(Chemical_analyses!$A:$L, MATCH($P493, Chemical_analyses!$A:$A), 12)/$T$2/(INDEX(Chemical_analyses!$A:$L, MATCH($P493, Chemical_analyses!$A:$A), 9)/$R$2+INDEX(Chemical_analyses!$A:$L, MATCH($P493, Chemical_analyses!$A:$A), 11)/$S$2+INDEX(Chemical_analyses!$A:$L, MATCH($P493, Chemical_analyses!$A:$A), 12)/$T$2)*100</f>
        <v>3.5733491786961786</v>
      </c>
      <c r="AA493" s="133">
        <v>0</v>
      </c>
      <c r="AB493" s="101">
        <f t="shared" si="139"/>
        <v>0</v>
      </c>
      <c r="AC493" s="134">
        <v>0</v>
      </c>
      <c r="AD493" s="101">
        <v>0</v>
      </c>
      <c r="AE493" s="101">
        <f t="shared" si="140"/>
        <v>0</v>
      </c>
      <c r="AF493" s="134">
        <v>0</v>
      </c>
      <c r="AG493" s="9" t="s">
        <v>69</v>
      </c>
      <c r="AH493" s="102" t="str">
        <f>_xlfn.CONCAT("FeO: ", INDEX(Chemical_analyses!$A:$M, MATCH($P493, Chemical_analyses!$A:$A), 9), ", MgO: ", INDEX(Chemical_analyses!$A:$M, MATCH($P493, Chemical_analyses!$A:$A), 11), ", CaO: ", INDEX(Chemical_analyses!$A:$M, MATCH($P493, Chemical_analyses!$A:$A), 12), ", MnO: ", INDEX(Chemical_analyses!$A:$M, MATCH($P493, Chemical_analyses!$A:$A), 10), ", NaO2: ", INDEX(Chemical_analyses!$A:$M, MATCH($P493, Chemical_analyses!$A:$A), 13), ", Fe2O3: ", INDEX(Chemical_analyses!$A:$M, MATCH($P493, Chemical_analyses!$A:$A), 8), ", Al2O3: ", INDEX(Chemical_analyses!$A:$M, MATCH($P493, Chemical_analyses!$A:$A), 6))</f>
        <v>FeO: 23.65, MgO: 17.57, CaO: 1.59, MnO: 0.53, NaO2: 0, Fe2O3: 5.11, Al2O3: 1.24</v>
      </c>
      <c r="AN493" s="32"/>
      <c r="AO493" s="32"/>
      <c r="AP493" s="32"/>
      <c r="AQ493" s="32"/>
      <c r="AW493" s="32"/>
      <c r="AX493" s="32"/>
      <c r="AY493" s="32"/>
      <c r="AZ493" s="32"/>
    </row>
    <row r="494" spans="1:265" s="9" customFormat="1">
      <c r="A494" s="9" t="s">
        <v>1590</v>
      </c>
      <c r="B494" s="98" t="s">
        <v>1591</v>
      </c>
      <c r="C494" s="99" t="s">
        <v>106</v>
      </c>
      <c r="D494" s="99" t="s">
        <v>60</v>
      </c>
      <c r="E494" s="9" t="s">
        <v>643</v>
      </c>
      <c r="G494" s="9" t="s">
        <v>755</v>
      </c>
      <c r="H494" s="9" t="s">
        <v>1592</v>
      </c>
      <c r="J494" s="9">
        <v>0</v>
      </c>
      <c r="K494" s="9">
        <v>125</v>
      </c>
      <c r="L494" s="9" t="s">
        <v>64</v>
      </c>
      <c r="M494" s="9" t="s">
        <v>108</v>
      </c>
      <c r="N494" s="9" t="s">
        <v>1593</v>
      </c>
      <c r="O494" s="9" t="s">
        <v>413</v>
      </c>
      <c r="P494" s="9">
        <v>0</v>
      </c>
      <c r="Q494" s="9" t="s">
        <v>1594</v>
      </c>
      <c r="R494" s="133">
        <v>0</v>
      </c>
      <c r="S494" s="100">
        <f t="shared" si="136"/>
        <v>100</v>
      </c>
      <c r="T494" s="100">
        <v>0</v>
      </c>
      <c r="U494" s="100">
        <v>0</v>
      </c>
      <c r="V494" s="133">
        <v>0</v>
      </c>
      <c r="W494" s="134">
        <f t="shared" si="137"/>
        <v>0</v>
      </c>
      <c r="X494" s="101">
        <v>0.05</v>
      </c>
      <c r="Y494" s="101">
        <f t="shared" si="138"/>
        <v>99.4</v>
      </c>
      <c r="Z494" s="101">
        <v>0.55000000000000004</v>
      </c>
      <c r="AA494" s="133">
        <v>0</v>
      </c>
      <c r="AB494" s="101">
        <f t="shared" si="139"/>
        <v>0</v>
      </c>
      <c r="AC494" s="134">
        <v>0</v>
      </c>
      <c r="AD494" s="101">
        <v>0</v>
      </c>
      <c r="AE494" s="101">
        <f t="shared" si="140"/>
        <v>0</v>
      </c>
      <c r="AF494" s="134">
        <v>0</v>
      </c>
      <c r="AG494" s="9" t="s">
        <v>69</v>
      </c>
      <c r="AH494" s="29" t="s">
        <v>1595</v>
      </c>
      <c r="AJ494" s="102"/>
      <c r="AN494" s="32"/>
      <c r="AO494" s="32"/>
      <c r="AP494" s="32"/>
      <c r="AQ494" s="32"/>
      <c r="AW494" s="32"/>
      <c r="AX494" s="32"/>
      <c r="AY494" s="32"/>
      <c r="AZ494" s="32"/>
    </row>
    <row r="495" spans="1:265" s="10" customFormat="1">
      <c r="A495" s="10" t="s">
        <v>1596</v>
      </c>
      <c r="B495" s="103" t="s">
        <v>1597</v>
      </c>
      <c r="C495" s="104" t="s">
        <v>106</v>
      </c>
      <c r="D495" s="104" t="s">
        <v>642</v>
      </c>
      <c r="E495" s="10" t="s">
        <v>643</v>
      </c>
      <c r="G495" s="10" t="s">
        <v>1598</v>
      </c>
      <c r="H495" s="10" t="s">
        <v>1599</v>
      </c>
      <c r="J495" s="10">
        <v>0</v>
      </c>
      <c r="K495" s="10">
        <v>45</v>
      </c>
      <c r="L495" s="10" t="s">
        <v>64</v>
      </c>
      <c r="M495" s="10" t="s">
        <v>65</v>
      </c>
      <c r="N495" s="10" t="s">
        <v>1600</v>
      </c>
      <c r="O495" s="10" t="s">
        <v>646</v>
      </c>
      <c r="P495" s="10">
        <v>634</v>
      </c>
      <c r="Q495" s="10" t="s">
        <v>647</v>
      </c>
      <c r="R495" s="136">
        <v>100</v>
      </c>
      <c r="S495" s="105">
        <f t="shared" si="136"/>
        <v>0</v>
      </c>
      <c r="T495" s="105">
        <v>0</v>
      </c>
      <c r="U495" s="105">
        <v>0</v>
      </c>
      <c r="V495" s="156">
        <f>INDEX(Chemical_analyses!$A:$L, MATCH($P495, Chemical_analyses!$A:$A), 9)/$R$2/(INDEX(Chemical_analyses!$A:$L, MATCH($P495, Chemical_analyses!$A:$A), 9)/$R$2+INDEX(Chemical_analyses!$A:$L, MATCH($P495, Chemical_analyses!$A:$A), 11)/$S$2)*100</f>
        <v>9.7804519475474958</v>
      </c>
      <c r="W495" s="157">
        <f t="shared" si="137"/>
        <v>90.21954805245251</v>
      </c>
      <c r="X495" s="106">
        <v>0</v>
      </c>
      <c r="Y495" s="106">
        <f t="shared" si="138"/>
        <v>0</v>
      </c>
      <c r="Z495" s="106">
        <v>0</v>
      </c>
      <c r="AA495" s="156">
        <v>0</v>
      </c>
      <c r="AB495" s="106">
        <f t="shared" si="139"/>
        <v>0</v>
      </c>
      <c r="AC495" s="137">
        <v>0</v>
      </c>
      <c r="AD495" s="106">
        <v>0</v>
      </c>
      <c r="AE495" s="106">
        <f t="shared" si="140"/>
        <v>0</v>
      </c>
      <c r="AF495" s="137">
        <v>0</v>
      </c>
      <c r="AG495" s="10" t="s">
        <v>69</v>
      </c>
      <c r="AH495" s="107" t="str">
        <f>_xlfn.CONCAT("FeO: ", INDEX(Chemical_analyses!$A:$M, MATCH($P495, Chemical_analyses!$A:$A), 9), ", MgO: ", INDEX(Chemical_analyses!$A:$M, MATCH($P495, Chemical_analyses!$A:$A), 11), ", CaO: ", INDEX(Chemical_analyses!$A:$M, MATCH($P495, Chemical_analyses!$A:$A), 12), ", MnO: ", INDEX(Chemical_analyses!$A:$M, MATCH($P495, Chemical_analyses!$A:$A), 10), ", NaO2: ", INDEX(Chemical_analyses!$A:$M, MATCH($P495, Chemical_analyses!$A:$A), 13), ", Fe2O3: ", INDEX(Chemical_analyses!$A:$M, MATCH($P495, Chemical_analyses!$A:$A), 8), ", Al2O3: ", INDEX(Chemical_analyses!$A:$M, MATCH($P495, Chemical_analyses!$A:$A), 6))</f>
        <v>FeO: 9.55, MgO: 49.42, CaO: 0.05, MnO: 0.14, NaO2: 0, Fe2O3: 0, Al2O3: 0</v>
      </c>
      <c r="AI495" s="107"/>
      <c r="AJ495" s="107"/>
      <c r="AN495" s="31"/>
      <c r="AO495" s="31"/>
      <c r="AP495" s="31"/>
      <c r="AQ495" s="31"/>
      <c r="AW495" s="31"/>
      <c r="AX495" s="31"/>
      <c r="AY495" s="31"/>
      <c r="AZ495" s="31"/>
    </row>
    <row r="496" spans="1:265" s="10" customFormat="1">
      <c r="A496" s="10" t="s">
        <v>1601</v>
      </c>
      <c r="B496" s="103" t="s">
        <v>1602</v>
      </c>
      <c r="C496" s="104" t="s">
        <v>162</v>
      </c>
      <c r="D496" s="104" t="s">
        <v>642</v>
      </c>
      <c r="E496" s="10" t="s">
        <v>643</v>
      </c>
      <c r="G496" s="10" t="s">
        <v>1598</v>
      </c>
      <c r="H496" s="10" t="s">
        <v>1603</v>
      </c>
      <c r="J496" s="10">
        <v>0</v>
      </c>
      <c r="K496" s="10">
        <v>75</v>
      </c>
      <c r="L496" s="10" t="s">
        <v>64</v>
      </c>
      <c r="M496" s="10" t="s">
        <v>26</v>
      </c>
      <c r="N496" s="10" t="s">
        <v>1604</v>
      </c>
      <c r="O496" s="10" t="s">
        <v>768</v>
      </c>
      <c r="P496" s="10">
        <v>0</v>
      </c>
      <c r="Q496" s="10" t="s">
        <v>1605</v>
      </c>
      <c r="R496" s="136">
        <v>100</v>
      </c>
      <c r="S496" s="105">
        <f t="shared" si="136"/>
        <v>0</v>
      </c>
      <c r="T496" s="105">
        <v>0</v>
      </c>
      <c r="U496" s="105">
        <v>0</v>
      </c>
      <c r="V496" s="136">
        <v>9.6</v>
      </c>
      <c r="W496" s="157">
        <f t="shared" si="137"/>
        <v>90.4</v>
      </c>
      <c r="X496" s="106">
        <v>0</v>
      </c>
      <c r="Y496" s="106">
        <f t="shared" si="138"/>
        <v>0</v>
      </c>
      <c r="Z496" s="106">
        <v>0</v>
      </c>
      <c r="AA496" s="156">
        <v>0</v>
      </c>
      <c r="AB496" s="106">
        <f t="shared" si="139"/>
        <v>0</v>
      </c>
      <c r="AC496" s="137">
        <v>0</v>
      </c>
      <c r="AD496" s="106">
        <v>0</v>
      </c>
      <c r="AE496" s="106">
        <f t="shared" si="140"/>
        <v>0</v>
      </c>
      <c r="AF496" s="137">
        <v>0</v>
      </c>
      <c r="AG496" s="10" t="s">
        <v>69</v>
      </c>
      <c r="AH496" s="10" t="s">
        <v>1606</v>
      </c>
      <c r="AI496" s="107"/>
      <c r="AJ496" s="107"/>
      <c r="AN496" s="31"/>
      <c r="AO496" s="31"/>
      <c r="AP496" s="31"/>
      <c r="AQ496" s="31"/>
      <c r="AW496" s="31"/>
      <c r="AX496" s="31"/>
      <c r="AY496" s="31"/>
      <c r="AZ496" s="31"/>
    </row>
    <row r="497" spans="1:52" s="10" customFormat="1">
      <c r="A497" s="10" t="s">
        <v>1607</v>
      </c>
      <c r="B497" s="103" t="s">
        <v>1608</v>
      </c>
      <c r="C497" s="104" t="s">
        <v>989</v>
      </c>
      <c r="D497" s="104" t="s">
        <v>754</v>
      </c>
      <c r="E497" s="10" t="s">
        <v>643</v>
      </c>
      <c r="G497" s="10" t="s">
        <v>1598</v>
      </c>
      <c r="H497" s="10" t="s">
        <v>1599</v>
      </c>
      <c r="J497" s="10">
        <v>0</v>
      </c>
      <c r="K497" s="10">
        <v>45</v>
      </c>
      <c r="L497" s="10" t="s">
        <v>64</v>
      </c>
      <c r="M497" s="10" t="s">
        <v>65</v>
      </c>
      <c r="N497" s="10" t="s">
        <v>1012</v>
      </c>
      <c r="P497" s="10">
        <v>0</v>
      </c>
      <c r="Q497" s="10" t="s">
        <v>1609</v>
      </c>
      <c r="R497" s="136">
        <v>100</v>
      </c>
      <c r="S497" s="105">
        <f t="shared" si="136"/>
        <v>0</v>
      </c>
      <c r="T497" s="105">
        <v>0</v>
      </c>
      <c r="U497" s="105">
        <v>0</v>
      </c>
      <c r="V497" s="136">
        <v>10</v>
      </c>
      <c r="W497" s="157">
        <f t="shared" si="137"/>
        <v>90</v>
      </c>
      <c r="X497" s="106">
        <v>0</v>
      </c>
      <c r="Y497" s="106">
        <f t="shared" si="138"/>
        <v>0</v>
      </c>
      <c r="Z497" s="106">
        <v>0</v>
      </c>
      <c r="AA497" s="156">
        <v>0</v>
      </c>
      <c r="AB497" s="106">
        <f t="shared" si="139"/>
        <v>0</v>
      </c>
      <c r="AC497" s="137">
        <v>0</v>
      </c>
      <c r="AD497" s="106">
        <v>0</v>
      </c>
      <c r="AE497" s="106">
        <f t="shared" si="140"/>
        <v>0</v>
      </c>
      <c r="AF497" s="137">
        <v>0</v>
      </c>
      <c r="AG497" s="10" t="s">
        <v>69</v>
      </c>
      <c r="AH497" s="10" t="s">
        <v>1014</v>
      </c>
      <c r="AI497" s="107"/>
      <c r="AJ497" s="107"/>
      <c r="AN497" s="31"/>
      <c r="AO497" s="31"/>
      <c r="AP497" s="31"/>
      <c r="AQ497" s="31"/>
      <c r="AW497" s="31"/>
      <c r="AX497" s="31"/>
      <c r="AY497" s="31"/>
      <c r="AZ497" s="31"/>
    </row>
    <row r="498" spans="1:52" s="10" customFormat="1">
      <c r="A498" s="10" t="s">
        <v>1610</v>
      </c>
      <c r="B498" s="103" t="s">
        <v>1611</v>
      </c>
      <c r="C498" s="104" t="s">
        <v>989</v>
      </c>
      <c r="D498" s="104" t="s">
        <v>754</v>
      </c>
      <c r="E498" s="10" t="s">
        <v>643</v>
      </c>
      <c r="G498" s="10" t="s">
        <v>1598</v>
      </c>
      <c r="H498" s="10" t="s">
        <v>1599</v>
      </c>
      <c r="J498" s="10">
        <v>0</v>
      </c>
      <c r="K498" s="10">
        <v>45</v>
      </c>
      <c r="L498" s="10" t="s">
        <v>64</v>
      </c>
      <c r="M498" s="10" t="s">
        <v>65</v>
      </c>
      <c r="N498" s="10" t="s">
        <v>1012</v>
      </c>
      <c r="P498" s="10">
        <v>0</v>
      </c>
      <c r="Q498" s="10" t="s">
        <v>1609</v>
      </c>
      <c r="R498" s="136">
        <v>100</v>
      </c>
      <c r="S498" s="105">
        <f t="shared" si="136"/>
        <v>0</v>
      </c>
      <c r="T498" s="105">
        <v>0</v>
      </c>
      <c r="U498" s="105">
        <v>0</v>
      </c>
      <c r="V498" s="136">
        <v>20</v>
      </c>
      <c r="W498" s="157">
        <f t="shared" si="137"/>
        <v>80</v>
      </c>
      <c r="X498" s="106">
        <v>0</v>
      </c>
      <c r="Y498" s="106">
        <f t="shared" si="138"/>
        <v>0</v>
      </c>
      <c r="Z498" s="106">
        <v>0</v>
      </c>
      <c r="AA498" s="156">
        <v>0</v>
      </c>
      <c r="AB498" s="106">
        <f t="shared" si="139"/>
        <v>0</v>
      </c>
      <c r="AC498" s="137">
        <v>0</v>
      </c>
      <c r="AD498" s="106">
        <v>0</v>
      </c>
      <c r="AE498" s="106">
        <f t="shared" si="140"/>
        <v>0</v>
      </c>
      <c r="AF498" s="137">
        <v>0</v>
      </c>
      <c r="AG498" s="10" t="s">
        <v>69</v>
      </c>
      <c r="AH498" s="10" t="s">
        <v>1014</v>
      </c>
      <c r="AI498" s="107"/>
      <c r="AJ498" s="107"/>
      <c r="AN498" s="31"/>
      <c r="AO498" s="31"/>
      <c r="AP498" s="31"/>
      <c r="AQ498" s="31"/>
      <c r="AW498" s="31"/>
      <c r="AX498" s="31"/>
      <c r="AY498" s="31"/>
      <c r="AZ498" s="31"/>
    </row>
    <row r="499" spans="1:52" s="10" customFormat="1">
      <c r="A499" s="10" t="s">
        <v>1612</v>
      </c>
      <c r="B499" s="103" t="s">
        <v>1613</v>
      </c>
      <c r="C499" s="104" t="s">
        <v>989</v>
      </c>
      <c r="D499" s="104" t="s">
        <v>754</v>
      </c>
      <c r="E499" s="10" t="s">
        <v>643</v>
      </c>
      <c r="G499" s="10" t="s">
        <v>1598</v>
      </c>
      <c r="H499" s="10" t="s">
        <v>1599</v>
      </c>
      <c r="J499" s="10">
        <v>0</v>
      </c>
      <c r="K499" s="10">
        <v>45</v>
      </c>
      <c r="L499" s="10" t="s">
        <v>64</v>
      </c>
      <c r="M499" s="10" t="s">
        <v>65</v>
      </c>
      <c r="N499" s="10" t="s">
        <v>1012</v>
      </c>
      <c r="P499" s="10">
        <v>0</v>
      </c>
      <c r="Q499" s="10" t="s">
        <v>1609</v>
      </c>
      <c r="R499" s="136">
        <v>100</v>
      </c>
      <c r="S499" s="105">
        <f t="shared" si="136"/>
        <v>0</v>
      </c>
      <c r="T499" s="105">
        <v>0</v>
      </c>
      <c r="U499" s="105">
        <v>0</v>
      </c>
      <c r="V499" s="136">
        <v>30</v>
      </c>
      <c r="W499" s="157">
        <f t="shared" si="137"/>
        <v>70</v>
      </c>
      <c r="X499" s="106">
        <v>0</v>
      </c>
      <c r="Y499" s="106">
        <f t="shared" si="138"/>
        <v>0</v>
      </c>
      <c r="Z499" s="106">
        <v>0</v>
      </c>
      <c r="AA499" s="156">
        <v>0</v>
      </c>
      <c r="AB499" s="106">
        <f t="shared" si="139"/>
        <v>0</v>
      </c>
      <c r="AC499" s="137">
        <v>0</v>
      </c>
      <c r="AD499" s="106">
        <v>0</v>
      </c>
      <c r="AE499" s="106">
        <f t="shared" si="140"/>
        <v>0</v>
      </c>
      <c r="AF499" s="137">
        <v>0</v>
      </c>
      <c r="AG499" s="10" t="s">
        <v>69</v>
      </c>
      <c r="AH499" s="10" t="s">
        <v>1014</v>
      </c>
      <c r="AI499" s="107"/>
      <c r="AJ499" s="107"/>
      <c r="AN499" s="31"/>
      <c r="AO499" s="31"/>
      <c r="AP499" s="31"/>
      <c r="AQ499" s="31"/>
      <c r="AW499" s="31"/>
      <c r="AX499" s="31"/>
      <c r="AY499" s="31"/>
      <c r="AZ499" s="31"/>
    </row>
    <row r="500" spans="1:52" s="10" customFormat="1">
      <c r="A500" s="10" t="s">
        <v>1614</v>
      </c>
      <c r="B500" s="103" t="s">
        <v>1615</v>
      </c>
      <c r="C500" s="104" t="s">
        <v>989</v>
      </c>
      <c r="D500" s="104" t="s">
        <v>754</v>
      </c>
      <c r="E500" s="10" t="s">
        <v>643</v>
      </c>
      <c r="G500" s="10" t="s">
        <v>1598</v>
      </c>
      <c r="H500" s="10" t="s">
        <v>1599</v>
      </c>
      <c r="J500" s="10">
        <v>0</v>
      </c>
      <c r="K500" s="10">
        <v>45</v>
      </c>
      <c r="L500" s="10" t="s">
        <v>64</v>
      </c>
      <c r="M500" s="10" t="s">
        <v>65</v>
      </c>
      <c r="N500" s="10" t="s">
        <v>1012</v>
      </c>
      <c r="P500" s="10">
        <v>0</v>
      </c>
      <c r="Q500" s="10" t="s">
        <v>1609</v>
      </c>
      <c r="R500" s="136">
        <v>100</v>
      </c>
      <c r="S500" s="105">
        <f t="shared" si="136"/>
        <v>0</v>
      </c>
      <c r="T500" s="105">
        <v>0</v>
      </c>
      <c r="U500" s="105">
        <v>0</v>
      </c>
      <c r="V500" s="136">
        <v>40</v>
      </c>
      <c r="W500" s="157">
        <f t="shared" si="137"/>
        <v>60</v>
      </c>
      <c r="X500" s="106">
        <v>0</v>
      </c>
      <c r="Y500" s="106">
        <f t="shared" si="138"/>
        <v>0</v>
      </c>
      <c r="Z500" s="106">
        <v>0</v>
      </c>
      <c r="AA500" s="156">
        <v>0</v>
      </c>
      <c r="AB500" s="106">
        <f t="shared" si="139"/>
        <v>0</v>
      </c>
      <c r="AC500" s="137">
        <v>0</v>
      </c>
      <c r="AD500" s="106">
        <v>0</v>
      </c>
      <c r="AE500" s="106">
        <f t="shared" si="140"/>
        <v>0</v>
      </c>
      <c r="AF500" s="137">
        <v>0</v>
      </c>
      <c r="AG500" s="10" t="s">
        <v>69</v>
      </c>
      <c r="AH500" s="10" t="s">
        <v>1014</v>
      </c>
      <c r="AI500" s="107"/>
      <c r="AJ500" s="107"/>
      <c r="AN500" s="31"/>
      <c r="AO500" s="31"/>
      <c r="AP500" s="31"/>
      <c r="AQ500" s="31"/>
      <c r="AW500" s="31"/>
      <c r="AX500" s="31"/>
      <c r="AY500" s="31"/>
      <c r="AZ500" s="31"/>
    </row>
    <row r="501" spans="1:52" s="10" customFormat="1">
      <c r="A501" s="10" t="s">
        <v>1616</v>
      </c>
      <c r="B501" s="103" t="s">
        <v>1617</v>
      </c>
      <c r="C501" s="104" t="s">
        <v>989</v>
      </c>
      <c r="D501" s="104" t="s">
        <v>754</v>
      </c>
      <c r="E501" s="10" t="s">
        <v>643</v>
      </c>
      <c r="G501" s="10" t="s">
        <v>1598</v>
      </c>
      <c r="H501" s="10" t="s">
        <v>1599</v>
      </c>
      <c r="J501" s="10">
        <v>0</v>
      </c>
      <c r="K501" s="10">
        <v>45</v>
      </c>
      <c r="L501" s="10" t="s">
        <v>64</v>
      </c>
      <c r="M501" s="10" t="s">
        <v>65</v>
      </c>
      <c r="N501" s="10" t="s">
        <v>1012</v>
      </c>
      <c r="P501" s="10">
        <v>0</v>
      </c>
      <c r="Q501" s="10" t="s">
        <v>1609</v>
      </c>
      <c r="R501" s="136">
        <v>100</v>
      </c>
      <c r="S501" s="105">
        <f t="shared" si="136"/>
        <v>0</v>
      </c>
      <c r="T501" s="105">
        <v>0</v>
      </c>
      <c r="U501" s="105">
        <v>0</v>
      </c>
      <c r="V501" s="136">
        <v>50</v>
      </c>
      <c r="W501" s="157">
        <f t="shared" si="137"/>
        <v>50</v>
      </c>
      <c r="X501" s="106">
        <v>0</v>
      </c>
      <c r="Y501" s="106">
        <f t="shared" si="138"/>
        <v>0</v>
      </c>
      <c r="Z501" s="106">
        <v>0</v>
      </c>
      <c r="AA501" s="156">
        <v>0</v>
      </c>
      <c r="AB501" s="106">
        <f t="shared" si="139"/>
        <v>0</v>
      </c>
      <c r="AC501" s="137">
        <v>0</v>
      </c>
      <c r="AD501" s="106">
        <v>0</v>
      </c>
      <c r="AE501" s="106">
        <f t="shared" si="140"/>
        <v>0</v>
      </c>
      <c r="AF501" s="137">
        <v>0</v>
      </c>
      <c r="AG501" s="10" t="s">
        <v>69</v>
      </c>
      <c r="AH501" s="10" t="s">
        <v>1014</v>
      </c>
      <c r="AI501" s="107"/>
      <c r="AJ501" s="107"/>
      <c r="AN501" s="31"/>
      <c r="AO501" s="31"/>
      <c r="AP501" s="31"/>
      <c r="AQ501" s="31"/>
      <c r="AW501" s="31"/>
      <c r="AX501" s="31"/>
      <c r="AY501" s="31"/>
      <c r="AZ501" s="31"/>
    </row>
    <row r="502" spans="1:52" s="10" customFormat="1">
      <c r="A502" s="10" t="s">
        <v>1618</v>
      </c>
      <c r="B502" s="103" t="s">
        <v>1619</v>
      </c>
      <c r="C502" s="104" t="s">
        <v>989</v>
      </c>
      <c r="D502" s="104" t="s">
        <v>754</v>
      </c>
      <c r="E502" s="10" t="s">
        <v>643</v>
      </c>
      <c r="G502" s="10" t="s">
        <v>1598</v>
      </c>
      <c r="H502" s="10" t="s">
        <v>1599</v>
      </c>
      <c r="J502" s="10">
        <v>0</v>
      </c>
      <c r="K502" s="10">
        <v>45</v>
      </c>
      <c r="L502" s="10" t="s">
        <v>64</v>
      </c>
      <c r="M502" s="10" t="s">
        <v>65</v>
      </c>
      <c r="N502" s="10" t="s">
        <v>1012</v>
      </c>
      <c r="P502" s="10">
        <v>0</v>
      </c>
      <c r="Q502" s="10" t="s">
        <v>1609</v>
      </c>
      <c r="R502" s="136">
        <v>100</v>
      </c>
      <c r="S502" s="105">
        <f t="shared" si="136"/>
        <v>0</v>
      </c>
      <c r="T502" s="105">
        <v>0</v>
      </c>
      <c r="U502" s="105">
        <v>0</v>
      </c>
      <c r="V502" s="136">
        <v>60</v>
      </c>
      <c r="W502" s="157">
        <f t="shared" si="137"/>
        <v>40</v>
      </c>
      <c r="X502" s="106">
        <v>0</v>
      </c>
      <c r="Y502" s="106">
        <f t="shared" si="138"/>
        <v>0</v>
      </c>
      <c r="Z502" s="106">
        <v>0</v>
      </c>
      <c r="AA502" s="156">
        <v>0</v>
      </c>
      <c r="AB502" s="106">
        <f t="shared" si="139"/>
        <v>0</v>
      </c>
      <c r="AC502" s="137">
        <v>0</v>
      </c>
      <c r="AD502" s="106">
        <v>0</v>
      </c>
      <c r="AE502" s="106">
        <f t="shared" si="140"/>
        <v>0</v>
      </c>
      <c r="AF502" s="137">
        <v>0</v>
      </c>
      <c r="AG502" s="10" t="s">
        <v>69</v>
      </c>
      <c r="AH502" s="10" t="s">
        <v>1014</v>
      </c>
      <c r="AI502" s="107"/>
      <c r="AJ502" s="107"/>
      <c r="AN502" s="31"/>
      <c r="AO502" s="31"/>
      <c r="AP502" s="31"/>
      <c r="AQ502" s="31"/>
      <c r="AW502" s="31"/>
      <c r="AX502" s="31"/>
      <c r="AY502" s="31"/>
      <c r="AZ502" s="31"/>
    </row>
    <row r="503" spans="1:52" s="10" customFormat="1">
      <c r="A503" s="10" t="s">
        <v>1620</v>
      </c>
      <c r="B503" s="103" t="s">
        <v>1621</v>
      </c>
      <c r="C503" s="104" t="s">
        <v>989</v>
      </c>
      <c r="D503" s="104" t="s">
        <v>754</v>
      </c>
      <c r="E503" s="10" t="s">
        <v>643</v>
      </c>
      <c r="G503" s="10" t="s">
        <v>1598</v>
      </c>
      <c r="H503" s="10" t="s">
        <v>1599</v>
      </c>
      <c r="J503" s="10">
        <v>0</v>
      </c>
      <c r="K503" s="10">
        <v>45</v>
      </c>
      <c r="L503" s="10" t="s">
        <v>64</v>
      </c>
      <c r="M503" s="10" t="s">
        <v>65</v>
      </c>
      <c r="N503" s="10" t="s">
        <v>1012</v>
      </c>
      <c r="P503" s="10">
        <v>0</v>
      </c>
      <c r="Q503" s="10" t="s">
        <v>1609</v>
      </c>
      <c r="R503" s="136">
        <v>100</v>
      </c>
      <c r="S503" s="105">
        <f t="shared" si="136"/>
        <v>0</v>
      </c>
      <c r="T503" s="105">
        <v>0</v>
      </c>
      <c r="U503" s="105">
        <v>0</v>
      </c>
      <c r="V503" s="136">
        <v>70</v>
      </c>
      <c r="W503" s="157">
        <f t="shared" si="137"/>
        <v>30</v>
      </c>
      <c r="X503" s="106">
        <v>0</v>
      </c>
      <c r="Y503" s="106">
        <f t="shared" si="138"/>
        <v>0</v>
      </c>
      <c r="Z503" s="106">
        <v>0</v>
      </c>
      <c r="AA503" s="156">
        <v>0</v>
      </c>
      <c r="AB503" s="106">
        <f t="shared" si="139"/>
        <v>0</v>
      </c>
      <c r="AC503" s="137">
        <v>0</v>
      </c>
      <c r="AD503" s="106">
        <v>0</v>
      </c>
      <c r="AE503" s="106">
        <f t="shared" si="140"/>
        <v>0</v>
      </c>
      <c r="AF503" s="137">
        <v>0</v>
      </c>
      <c r="AG503" s="10" t="s">
        <v>69</v>
      </c>
      <c r="AH503" s="10" t="s">
        <v>1014</v>
      </c>
      <c r="AI503" s="107"/>
      <c r="AJ503" s="107"/>
      <c r="AN503" s="31"/>
      <c r="AO503" s="31"/>
      <c r="AP503" s="31"/>
      <c r="AQ503" s="31"/>
      <c r="AW503" s="31"/>
      <c r="AX503" s="31"/>
      <c r="AY503" s="31"/>
      <c r="AZ503" s="31"/>
    </row>
    <row r="504" spans="1:52" s="10" customFormat="1">
      <c r="A504" s="10" t="s">
        <v>1622</v>
      </c>
      <c r="B504" s="103" t="s">
        <v>1623</v>
      </c>
      <c r="C504" s="104" t="s">
        <v>989</v>
      </c>
      <c r="D504" s="104" t="s">
        <v>754</v>
      </c>
      <c r="E504" s="10" t="s">
        <v>643</v>
      </c>
      <c r="G504" s="10" t="s">
        <v>1598</v>
      </c>
      <c r="H504" s="10" t="s">
        <v>1599</v>
      </c>
      <c r="J504" s="10">
        <v>0</v>
      </c>
      <c r="K504" s="10">
        <v>45</v>
      </c>
      <c r="L504" s="10" t="s">
        <v>64</v>
      </c>
      <c r="M504" s="10" t="s">
        <v>65</v>
      </c>
      <c r="N504" s="10" t="s">
        <v>1012</v>
      </c>
      <c r="P504" s="10">
        <v>0</v>
      </c>
      <c r="Q504" s="10" t="s">
        <v>1609</v>
      </c>
      <c r="R504" s="136">
        <v>100</v>
      </c>
      <c r="S504" s="105">
        <f t="shared" si="136"/>
        <v>0</v>
      </c>
      <c r="T504" s="105">
        <v>0</v>
      </c>
      <c r="U504" s="105">
        <v>0</v>
      </c>
      <c r="V504" s="136">
        <v>80</v>
      </c>
      <c r="W504" s="157">
        <f t="shared" si="137"/>
        <v>20</v>
      </c>
      <c r="X504" s="106">
        <v>0</v>
      </c>
      <c r="Y504" s="106">
        <f t="shared" si="138"/>
        <v>0</v>
      </c>
      <c r="Z504" s="106">
        <v>0</v>
      </c>
      <c r="AA504" s="156">
        <v>0</v>
      </c>
      <c r="AB504" s="106">
        <f t="shared" si="139"/>
        <v>0</v>
      </c>
      <c r="AC504" s="137">
        <v>0</v>
      </c>
      <c r="AD504" s="106">
        <v>0</v>
      </c>
      <c r="AE504" s="106">
        <f t="shared" si="140"/>
        <v>0</v>
      </c>
      <c r="AF504" s="137">
        <v>0</v>
      </c>
      <c r="AG504" s="10" t="s">
        <v>69</v>
      </c>
      <c r="AH504" s="10" t="s">
        <v>1014</v>
      </c>
      <c r="AI504" s="107"/>
      <c r="AJ504" s="107"/>
      <c r="AN504" s="31"/>
      <c r="AO504" s="31"/>
      <c r="AP504" s="31"/>
      <c r="AQ504" s="31"/>
      <c r="AW504" s="31"/>
      <c r="AX504" s="31"/>
      <c r="AY504" s="31"/>
      <c r="AZ504" s="31"/>
    </row>
    <row r="505" spans="1:52" s="10" customFormat="1">
      <c r="A505" s="10" t="s">
        <v>1624</v>
      </c>
      <c r="B505" s="103" t="s">
        <v>1625</v>
      </c>
      <c r="C505" s="104" t="s">
        <v>989</v>
      </c>
      <c r="D505" s="104" t="s">
        <v>754</v>
      </c>
      <c r="E505" s="10" t="s">
        <v>643</v>
      </c>
      <c r="G505" s="10" t="s">
        <v>1598</v>
      </c>
      <c r="H505" s="10" t="s">
        <v>1599</v>
      </c>
      <c r="J505" s="10">
        <v>0</v>
      </c>
      <c r="K505" s="10">
        <v>45</v>
      </c>
      <c r="L505" s="10" t="s">
        <v>64</v>
      </c>
      <c r="M505" s="10" t="s">
        <v>65</v>
      </c>
      <c r="N505" s="10" t="s">
        <v>1012</v>
      </c>
      <c r="P505" s="10">
        <v>0</v>
      </c>
      <c r="Q505" s="10" t="s">
        <v>1609</v>
      </c>
      <c r="R505" s="136">
        <v>100</v>
      </c>
      <c r="S505" s="105">
        <f t="shared" si="136"/>
        <v>0</v>
      </c>
      <c r="T505" s="105">
        <v>0</v>
      </c>
      <c r="U505" s="105">
        <v>0</v>
      </c>
      <c r="V505" s="136">
        <v>90</v>
      </c>
      <c r="W505" s="157">
        <f t="shared" si="137"/>
        <v>10</v>
      </c>
      <c r="X505" s="106">
        <v>0</v>
      </c>
      <c r="Y505" s="106">
        <f t="shared" si="138"/>
        <v>0</v>
      </c>
      <c r="Z505" s="106">
        <v>0</v>
      </c>
      <c r="AA505" s="156">
        <v>0</v>
      </c>
      <c r="AB505" s="106">
        <f t="shared" si="139"/>
        <v>0</v>
      </c>
      <c r="AC505" s="137">
        <v>0</v>
      </c>
      <c r="AD505" s="106">
        <v>0</v>
      </c>
      <c r="AE505" s="106">
        <f t="shared" si="140"/>
        <v>0</v>
      </c>
      <c r="AF505" s="137">
        <v>0</v>
      </c>
      <c r="AG505" s="10" t="s">
        <v>69</v>
      </c>
      <c r="AH505" s="10" t="s">
        <v>1014</v>
      </c>
      <c r="AI505" s="107"/>
      <c r="AJ505" s="107"/>
      <c r="AN505" s="31"/>
      <c r="AO505" s="31"/>
      <c r="AP505" s="31"/>
      <c r="AQ505" s="31"/>
      <c r="AW505" s="31"/>
      <c r="AX505" s="31"/>
      <c r="AY505" s="31"/>
      <c r="AZ505" s="31"/>
    </row>
    <row r="506" spans="1:52" s="10" customFormat="1">
      <c r="A506" s="10" t="s">
        <v>1626</v>
      </c>
      <c r="B506" s="103" t="s">
        <v>1627</v>
      </c>
      <c r="C506" s="104" t="s">
        <v>989</v>
      </c>
      <c r="D506" s="104" t="s">
        <v>642</v>
      </c>
      <c r="E506" s="10" t="s">
        <v>643</v>
      </c>
      <c r="G506" s="10" t="s">
        <v>1598</v>
      </c>
      <c r="H506" s="10" t="s">
        <v>1599</v>
      </c>
      <c r="J506" s="10">
        <v>0</v>
      </c>
      <c r="K506" s="10">
        <v>0</v>
      </c>
      <c r="L506" s="10" t="s">
        <v>64</v>
      </c>
      <c r="M506" s="10" t="s">
        <v>26</v>
      </c>
      <c r="N506" s="10" t="s">
        <v>1604</v>
      </c>
      <c r="P506" s="10">
        <v>0</v>
      </c>
      <c r="Q506" s="10" t="s">
        <v>1628</v>
      </c>
      <c r="R506" s="136">
        <v>100</v>
      </c>
      <c r="S506" s="105">
        <f t="shared" si="136"/>
        <v>0</v>
      </c>
      <c r="T506" s="105">
        <v>0</v>
      </c>
      <c r="U506" s="105">
        <v>0</v>
      </c>
      <c r="V506" s="136">
        <v>9.6</v>
      </c>
      <c r="W506" s="157">
        <f t="shared" si="137"/>
        <v>90.4</v>
      </c>
      <c r="X506" s="106">
        <v>0</v>
      </c>
      <c r="Y506" s="106">
        <f t="shared" si="138"/>
        <v>0</v>
      </c>
      <c r="Z506" s="106">
        <v>0</v>
      </c>
      <c r="AA506" s="156">
        <v>0</v>
      </c>
      <c r="AB506" s="106">
        <f t="shared" si="139"/>
        <v>0</v>
      </c>
      <c r="AC506" s="137">
        <v>0</v>
      </c>
      <c r="AD506" s="106">
        <v>0</v>
      </c>
      <c r="AE506" s="106">
        <f t="shared" si="140"/>
        <v>0</v>
      </c>
      <c r="AF506" s="137">
        <v>0</v>
      </c>
      <c r="AG506" s="10" t="s">
        <v>69</v>
      </c>
      <c r="AH506" s="10" t="s">
        <v>1606</v>
      </c>
      <c r="AI506" s="107"/>
      <c r="AJ506" s="107"/>
      <c r="AN506" s="31"/>
      <c r="AO506" s="31"/>
      <c r="AP506" s="31"/>
      <c r="AQ506" s="31"/>
      <c r="AW506" s="31"/>
      <c r="AX506" s="31"/>
      <c r="AY506" s="31"/>
      <c r="AZ506" s="31"/>
    </row>
    <row r="507" spans="1:52" s="10" customFormat="1">
      <c r="A507" s="10" t="s">
        <v>1629</v>
      </c>
      <c r="B507" s="103" t="s">
        <v>1630</v>
      </c>
      <c r="C507" s="104" t="s">
        <v>989</v>
      </c>
      <c r="D507" s="104" t="s">
        <v>754</v>
      </c>
      <c r="E507" s="10" t="s">
        <v>643</v>
      </c>
      <c r="G507" s="10" t="s">
        <v>1598</v>
      </c>
      <c r="H507" s="10" t="s">
        <v>1599</v>
      </c>
      <c r="J507" s="10">
        <v>0</v>
      </c>
      <c r="K507" s="10">
        <v>45</v>
      </c>
      <c r="L507" s="10" t="s">
        <v>64</v>
      </c>
      <c r="M507" s="10" t="s">
        <v>65</v>
      </c>
      <c r="N507" s="10" t="s">
        <v>1012</v>
      </c>
      <c r="P507" s="10">
        <v>0</v>
      </c>
      <c r="Q507" s="10" t="s">
        <v>1631</v>
      </c>
      <c r="R507" s="136">
        <v>100</v>
      </c>
      <c r="S507" s="105">
        <f t="shared" si="136"/>
        <v>0</v>
      </c>
      <c r="T507" s="105">
        <v>0</v>
      </c>
      <c r="U507" s="105">
        <v>0</v>
      </c>
      <c r="V507" s="136">
        <v>20</v>
      </c>
      <c r="W507" s="157">
        <f t="shared" si="137"/>
        <v>80</v>
      </c>
      <c r="X507" s="106">
        <v>0</v>
      </c>
      <c r="Y507" s="106">
        <f t="shared" si="138"/>
        <v>0</v>
      </c>
      <c r="Z507" s="106">
        <v>0</v>
      </c>
      <c r="AA507" s="156">
        <v>0</v>
      </c>
      <c r="AB507" s="106">
        <f t="shared" si="139"/>
        <v>0</v>
      </c>
      <c r="AC507" s="137">
        <v>0</v>
      </c>
      <c r="AD507" s="106">
        <v>0</v>
      </c>
      <c r="AE507" s="106">
        <f t="shared" si="140"/>
        <v>0</v>
      </c>
      <c r="AF507" s="137">
        <v>0</v>
      </c>
      <c r="AG507" s="10" t="s">
        <v>69</v>
      </c>
      <c r="AH507" s="10" t="s">
        <v>1014</v>
      </c>
      <c r="AI507" s="107"/>
      <c r="AJ507" s="107"/>
      <c r="AN507" s="31"/>
      <c r="AO507" s="31"/>
      <c r="AP507" s="31"/>
      <c r="AQ507" s="31"/>
      <c r="AW507" s="31"/>
      <c r="AX507" s="31"/>
      <c r="AY507" s="31"/>
      <c r="AZ507" s="31"/>
    </row>
    <row r="508" spans="1:52" s="10" customFormat="1" ht="34.200000000000003">
      <c r="A508" s="10" t="s">
        <v>1632</v>
      </c>
      <c r="B508" s="108" t="s">
        <v>1633</v>
      </c>
      <c r="C508" s="104" t="s">
        <v>989</v>
      </c>
      <c r="D508" s="104" t="s">
        <v>754</v>
      </c>
      <c r="E508" s="10" t="s">
        <v>643</v>
      </c>
      <c r="G508" s="10" t="s">
        <v>1598</v>
      </c>
      <c r="H508" s="10" t="s">
        <v>1599</v>
      </c>
      <c r="J508" s="10">
        <v>0</v>
      </c>
      <c r="K508" s="10">
        <v>45</v>
      </c>
      <c r="L508" s="10" t="s">
        <v>64</v>
      </c>
      <c r="M508" s="10" t="s">
        <v>65</v>
      </c>
      <c r="N508" s="10" t="s">
        <v>1012</v>
      </c>
      <c r="P508" s="10">
        <v>0</v>
      </c>
      <c r="Q508" s="10" t="s">
        <v>1631</v>
      </c>
      <c r="R508" s="136">
        <v>100</v>
      </c>
      <c r="S508" s="105">
        <f t="shared" si="136"/>
        <v>0</v>
      </c>
      <c r="T508" s="105">
        <v>0</v>
      </c>
      <c r="U508" s="105">
        <v>0</v>
      </c>
      <c r="V508" s="136">
        <v>25</v>
      </c>
      <c r="W508" s="157">
        <f t="shared" si="137"/>
        <v>75</v>
      </c>
      <c r="X508" s="106">
        <v>0</v>
      </c>
      <c r="Y508" s="106">
        <f t="shared" si="138"/>
        <v>0</v>
      </c>
      <c r="Z508" s="106">
        <v>0</v>
      </c>
      <c r="AA508" s="156">
        <v>0</v>
      </c>
      <c r="AB508" s="106">
        <f t="shared" si="139"/>
        <v>0</v>
      </c>
      <c r="AC508" s="137">
        <v>0</v>
      </c>
      <c r="AD508" s="106">
        <v>0</v>
      </c>
      <c r="AE508" s="106">
        <f t="shared" si="140"/>
        <v>0</v>
      </c>
      <c r="AF508" s="137">
        <v>0</v>
      </c>
      <c r="AG508" s="10" t="s">
        <v>69</v>
      </c>
      <c r="AH508" s="10" t="s">
        <v>1014</v>
      </c>
      <c r="AI508" s="107"/>
      <c r="AJ508" s="107"/>
      <c r="AN508" s="31"/>
      <c r="AO508" s="31"/>
      <c r="AP508" s="31"/>
      <c r="AQ508" s="31"/>
      <c r="AW508" s="31"/>
      <c r="AX508" s="31"/>
      <c r="AY508" s="31"/>
      <c r="AZ508" s="31"/>
    </row>
    <row r="509" spans="1:52" s="10" customFormat="1">
      <c r="A509" s="10" t="s">
        <v>1634</v>
      </c>
      <c r="B509" s="103" t="s">
        <v>1635</v>
      </c>
      <c r="C509" s="104" t="s">
        <v>989</v>
      </c>
      <c r="D509" s="104" t="s">
        <v>754</v>
      </c>
      <c r="E509" s="10" t="s">
        <v>643</v>
      </c>
      <c r="G509" s="10" t="s">
        <v>1598</v>
      </c>
      <c r="H509" s="10" t="s">
        <v>1599</v>
      </c>
      <c r="J509" s="10">
        <v>0</v>
      </c>
      <c r="K509" s="10">
        <v>45</v>
      </c>
      <c r="L509" s="10" t="s">
        <v>64</v>
      </c>
      <c r="M509" s="10" t="s">
        <v>480</v>
      </c>
      <c r="N509" s="10" t="s">
        <v>1012</v>
      </c>
      <c r="P509" s="10">
        <v>0</v>
      </c>
      <c r="Q509" s="10" t="s">
        <v>1636</v>
      </c>
      <c r="R509" s="136">
        <v>100</v>
      </c>
      <c r="S509" s="105">
        <f t="shared" si="136"/>
        <v>0</v>
      </c>
      <c r="T509" s="105">
        <v>0</v>
      </c>
      <c r="U509" s="105">
        <v>0</v>
      </c>
      <c r="V509" s="136">
        <v>25</v>
      </c>
      <c r="W509" s="157">
        <f t="shared" si="137"/>
        <v>75</v>
      </c>
      <c r="X509" s="106">
        <v>0</v>
      </c>
      <c r="Y509" s="106">
        <f t="shared" si="138"/>
        <v>0</v>
      </c>
      <c r="Z509" s="106">
        <v>0</v>
      </c>
      <c r="AA509" s="156">
        <v>0</v>
      </c>
      <c r="AB509" s="106">
        <f t="shared" si="139"/>
        <v>0</v>
      </c>
      <c r="AC509" s="137">
        <v>0</v>
      </c>
      <c r="AD509" s="106">
        <v>0</v>
      </c>
      <c r="AE509" s="106">
        <f t="shared" si="140"/>
        <v>0</v>
      </c>
      <c r="AF509" s="137">
        <v>0</v>
      </c>
      <c r="AG509" s="10" t="s">
        <v>69</v>
      </c>
      <c r="AH509" s="10" t="s">
        <v>1014</v>
      </c>
      <c r="AI509" s="107"/>
      <c r="AJ509" s="107"/>
      <c r="AN509" s="31"/>
      <c r="AO509" s="31"/>
      <c r="AP509" s="31"/>
      <c r="AQ509" s="31"/>
      <c r="AW509" s="31"/>
      <c r="AX509" s="31"/>
      <c r="AY509" s="31"/>
      <c r="AZ509" s="31"/>
    </row>
    <row r="510" spans="1:52" s="10" customFormat="1">
      <c r="A510" s="10" t="s">
        <v>1637</v>
      </c>
      <c r="B510" s="103" t="s">
        <v>1638</v>
      </c>
      <c r="C510" s="104" t="s">
        <v>989</v>
      </c>
      <c r="D510" s="104" t="s">
        <v>754</v>
      </c>
      <c r="E510" s="10" t="s">
        <v>643</v>
      </c>
      <c r="G510" s="10" t="s">
        <v>1598</v>
      </c>
      <c r="H510" s="10" t="s">
        <v>1599</v>
      </c>
      <c r="J510" s="10">
        <v>0</v>
      </c>
      <c r="K510" s="10">
        <v>45</v>
      </c>
      <c r="L510" s="10" t="s">
        <v>64</v>
      </c>
      <c r="M510" s="10" t="s">
        <v>65</v>
      </c>
      <c r="N510" s="10" t="s">
        <v>1012</v>
      </c>
      <c r="P510" s="10">
        <v>0</v>
      </c>
      <c r="Q510" s="10" t="s">
        <v>1631</v>
      </c>
      <c r="R510" s="136">
        <v>100</v>
      </c>
      <c r="S510" s="105">
        <f t="shared" si="136"/>
        <v>0</v>
      </c>
      <c r="T510" s="105">
        <v>0</v>
      </c>
      <c r="U510" s="105">
        <v>0</v>
      </c>
      <c r="V510" s="136">
        <v>30</v>
      </c>
      <c r="W510" s="157">
        <f t="shared" si="137"/>
        <v>70</v>
      </c>
      <c r="X510" s="106">
        <v>0</v>
      </c>
      <c r="Y510" s="106">
        <f t="shared" si="138"/>
        <v>0</v>
      </c>
      <c r="Z510" s="106">
        <v>0</v>
      </c>
      <c r="AA510" s="156">
        <v>0</v>
      </c>
      <c r="AB510" s="106">
        <f t="shared" si="139"/>
        <v>0</v>
      </c>
      <c r="AC510" s="137">
        <v>0</v>
      </c>
      <c r="AD510" s="106">
        <v>0</v>
      </c>
      <c r="AE510" s="106">
        <f t="shared" si="140"/>
        <v>0</v>
      </c>
      <c r="AF510" s="137">
        <v>0</v>
      </c>
      <c r="AG510" s="10" t="s">
        <v>69</v>
      </c>
      <c r="AH510" s="10" t="s">
        <v>1014</v>
      </c>
      <c r="AI510" s="107"/>
      <c r="AJ510" s="107"/>
      <c r="AN510" s="31"/>
      <c r="AO510" s="31"/>
      <c r="AP510" s="31"/>
      <c r="AQ510" s="31"/>
      <c r="AW510" s="31"/>
      <c r="AX510" s="31"/>
      <c r="AY510" s="31"/>
      <c r="AZ510" s="31"/>
    </row>
    <row r="511" spans="1:52" s="10" customFormat="1">
      <c r="A511" s="10" t="s">
        <v>1639</v>
      </c>
      <c r="B511" s="103" t="s">
        <v>1640</v>
      </c>
      <c r="C511" s="104" t="s">
        <v>989</v>
      </c>
      <c r="D511" s="104" t="s">
        <v>754</v>
      </c>
      <c r="E511" s="10" t="s">
        <v>643</v>
      </c>
      <c r="G511" s="10" t="s">
        <v>1598</v>
      </c>
      <c r="H511" s="10" t="s">
        <v>1599</v>
      </c>
      <c r="J511" s="10">
        <v>0</v>
      </c>
      <c r="K511" s="10">
        <v>45</v>
      </c>
      <c r="L511" s="10" t="s">
        <v>64</v>
      </c>
      <c r="M511" s="10" t="s">
        <v>480</v>
      </c>
      <c r="N511" s="10" t="s">
        <v>1012</v>
      </c>
      <c r="P511" s="10">
        <v>0</v>
      </c>
      <c r="Q511" s="10" t="s">
        <v>1636</v>
      </c>
      <c r="R511" s="136">
        <v>100</v>
      </c>
      <c r="S511" s="105">
        <f t="shared" si="136"/>
        <v>0</v>
      </c>
      <c r="T511" s="105">
        <v>0</v>
      </c>
      <c r="U511" s="105">
        <v>0</v>
      </c>
      <c r="V511" s="136">
        <v>30</v>
      </c>
      <c r="W511" s="157">
        <f t="shared" si="137"/>
        <v>70</v>
      </c>
      <c r="X511" s="106">
        <v>0</v>
      </c>
      <c r="Y511" s="106">
        <f t="shared" si="138"/>
        <v>0</v>
      </c>
      <c r="Z511" s="106">
        <v>0</v>
      </c>
      <c r="AA511" s="156">
        <v>0</v>
      </c>
      <c r="AB511" s="106">
        <f t="shared" si="139"/>
        <v>0</v>
      </c>
      <c r="AC511" s="137">
        <v>0</v>
      </c>
      <c r="AD511" s="106">
        <v>0</v>
      </c>
      <c r="AE511" s="106">
        <f t="shared" si="140"/>
        <v>0</v>
      </c>
      <c r="AF511" s="137">
        <v>0</v>
      </c>
      <c r="AG511" s="10" t="s">
        <v>69</v>
      </c>
      <c r="AH511" s="10" t="s">
        <v>1014</v>
      </c>
      <c r="AI511" s="107"/>
      <c r="AJ511" s="107"/>
      <c r="AN511" s="31"/>
      <c r="AO511" s="31"/>
      <c r="AP511" s="31"/>
      <c r="AQ511" s="31"/>
      <c r="AW511" s="31"/>
      <c r="AX511" s="31"/>
      <c r="AY511" s="31"/>
      <c r="AZ511" s="31"/>
    </row>
    <row r="512" spans="1:52" s="10" customFormat="1">
      <c r="A512" s="10" t="s">
        <v>1641</v>
      </c>
      <c r="B512" s="103" t="s">
        <v>1642</v>
      </c>
      <c r="C512" s="104" t="s">
        <v>989</v>
      </c>
      <c r="D512" s="104" t="s">
        <v>754</v>
      </c>
      <c r="E512" s="10" t="s">
        <v>643</v>
      </c>
      <c r="G512" s="10" t="s">
        <v>1598</v>
      </c>
      <c r="H512" s="10" t="s">
        <v>1599</v>
      </c>
      <c r="J512" s="10">
        <v>0</v>
      </c>
      <c r="K512" s="10">
        <v>45</v>
      </c>
      <c r="L512" s="10" t="s">
        <v>64</v>
      </c>
      <c r="M512" s="10" t="s">
        <v>65</v>
      </c>
      <c r="N512" s="10" t="s">
        <v>1012</v>
      </c>
      <c r="P512" s="10">
        <v>0</v>
      </c>
      <c r="Q512" s="10" t="s">
        <v>1631</v>
      </c>
      <c r="R512" s="136">
        <v>100</v>
      </c>
      <c r="S512" s="105">
        <f t="shared" si="136"/>
        <v>0</v>
      </c>
      <c r="T512" s="105">
        <v>0</v>
      </c>
      <c r="U512" s="105">
        <v>0</v>
      </c>
      <c r="V512" s="136">
        <v>35</v>
      </c>
      <c r="W512" s="157">
        <f t="shared" si="137"/>
        <v>65</v>
      </c>
      <c r="X512" s="106">
        <v>0</v>
      </c>
      <c r="Y512" s="106">
        <f t="shared" si="138"/>
        <v>0</v>
      </c>
      <c r="Z512" s="106">
        <v>0</v>
      </c>
      <c r="AA512" s="156">
        <v>0</v>
      </c>
      <c r="AB512" s="106">
        <f t="shared" si="139"/>
        <v>0</v>
      </c>
      <c r="AC512" s="137">
        <v>0</v>
      </c>
      <c r="AD512" s="106">
        <v>0</v>
      </c>
      <c r="AE512" s="106">
        <f t="shared" si="140"/>
        <v>0</v>
      </c>
      <c r="AF512" s="137">
        <v>0</v>
      </c>
      <c r="AG512" s="10" t="s">
        <v>69</v>
      </c>
      <c r="AH512" s="10" t="s">
        <v>1014</v>
      </c>
      <c r="AI512" s="107"/>
      <c r="AJ512" s="107"/>
      <c r="AN512" s="31"/>
      <c r="AO512" s="31"/>
      <c r="AP512" s="31"/>
      <c r="AQ512" s="31"/>
      <c r="AW512" s="31"/>
      <c r="AX512" s="31"/>
      <c r="AY512" s="31"/>
      <c r="AZ512" s="31"/>
    </row>
    <row r="513" spans="1:52" s="10" customFormat="1">
      <c r="A513" s="10" t="s">
        <v>1643</v>
      </c>
      <c r="B513" s="103" t="s">
        <v>1644</v>
      </c>
      <c r="C513" s="104" t="s">
        <v>989</v>
      </c>
      <c r="D513" s="104" t="s">
        <v>754</v>
      </c>
      <c r="E513" s="10" t="s">
        <v>643</v>
      </c>
      <c r="G513" s="10" t="s">
        <v>1598</v>
      </c>
      <c r="H513" s="10" t="s">
        <v>1599</v>
      </c>
      <c r="J513" s="10">
        <v>0</v>
      </c>
      <c r="K513" s="10">
        <v>45</v>
      </c>
      <c r="L513" s="10" t="s">
        <v>64</v>
      </c>
      <c r="M513" s="10" t="s">
        <v>480</v>
      </c>
      <c r="N513" s="10" t="s">
        <v>1012</v>
      </c>
      <c r="P513" s="10">
        <v>0</v>
      </c>
      <c r="Q513" s="10" t="s">
        <v>1636</v>
      </c>
      <c r="R513" s="136">
        <v>100</v>
      </c>
      <c r="S513" s="105">
        <f t="shared" si="136"/>
        <v>0</v>
      </c>
      <c r="T513" s="105">
        <v>0</v>
      </c>
      <c r="U513" s="105">
        <v>0</v>
      </c>
      <c r="V513" s="136">
        <v>35</v>
      </c>
      <c r="W513" s="157">
        <f t="shared" si="137"/>
        <v>65</v>
      </c>
      <c r="X513" s="106">
        <v>0</v>
      </c>
      <c r="Y513" s="106">
        <f t="shared" si="138"/>
        <v>0</v>
      </c>
      <c r="Z513" s="106">
        <v>0</v>
      </c>
      <c r="AA513" s="156">
        <v>0</v>
      </c>
      <c r="AB513" s="106">
        <f t="shared" si="139"/>
        <v>0</v>
      </c>
      <c r="AC513" s="137">
        <v>0</v>
      </c>
      <c r="AD513" s="106">
        <v>0</v>
      </c>
      <c r="AE513" s="106">
        <f t="shared" si="140"/>
        <v>0</v>
      </c>
      <c r="AF513" s="137">
        <v>0</v>
      </c>
      <c r="AG513" s="10" t="s">
        <v>69</v>
      </c>
      <c r="AH513" s="10" t="s">
        <v>1014</v>
      </c>
      <c r="AI513" s="107"/>
      <c r="AJ513" s="107"/>
      <c r="AN513" s="31"/>
      <c r="AO513" s="31"/>
      <c r="AP513" s="31"/>
      <c r="AQ513" s="31"/>
      <c r="AW513" s="31"/>
      <c r="AX513" s="31"/>
      <c r="AY513" s="31"/>
      <c r="AZ513" s="31"/>
    </row>
    <row r="514" spans="1:52" s="10" customFormat="1">
      <c r="A514" s="10" t="s">
        <v>1645</v>
      </c>
      <c r="B514" s="103" t="s">
        <v>1646</v>
      </c>
      <c r="C514" s="104" t="s">
        <v>989</v>
      </c>
      <c r="D514" s="104" t="s">
        <v>754</v>
      </c>
      <c r="E514" s="10" t="s">
        <v>643</v>
      </c>
      <c r="G514" s="10" t="s">
        <v>1598</v>
      </c>
      <c r="H514" s="10" t="s">
        <v>1599</v>
      </c>
      <c r="J514" s="10">
        <v>0</v>
      </c>
      <c r="K514" s="10">
        <v>45</v>
      </c>
      <c r="L514" s="10" t="s">
        <v>64</v>
      </c>
      <c r="M514" s="10" t="s">
        <v>65</v>
      </c>
      <c r="N514" s="10" t="s">
        <v>1012</v>
      </c>
      <c r="P514" s="10">
        <v>0</v>
      </c>
      <c r="Q514" s="10" t="s">
        <v>1631</v>
      </c>
      <c r="R514" s="136">
        <v>100</v>
      </c>
      <c r="S514" s="105">
        <f t="shared" si="136"/>
        <v>0</v>
      </c>
      <c r="T514" s="105">
        <v>0</v>
      </c>
      <c r="U514" s="105">
        <v>0</v>
      </c>
      <c r="V514" s="136">
        <v>40</v>
      </c>
      <c r="W514" s="157">
        <f t="shared" si="137"/>
        <v>60</v>
      </c>
      <c r="X514" s="106">
        <v>0</v>
      </c>
      <c r="Y514" s="106">
        <f t="shared" si="138"/>
        <v>0</v>
      </c>
      <c r="Z514" s="106">
        <v>0</v>
      </c>
      <c r="AA514" s="156">
        <v>0</v>
      </c>
      <c r="AB514" s="106">
        <f t="shared" si="139"/>
        <v>0</v>
      </c>
      <c r="AC514" s="137">
        <v>0</v>
      </c>
      <c r="AD514" s="106">
        <v>0</v>
      </c>
      <c r="AE514" s="106">
        <f t="shared" si="140"/>
        <v>0</v>
      </c>
      <c r="AF514" s="137">
        <v>0</v>
      </c>
      <c r="AG514" s="10" t="s">
        <v>69</v>
      </c>
      <c r="AH514" s="10" t="s">
        <v>1014</v>
      </c>
      <c r="AI514" s="107"/>
      <c r="AJ514" s="107"/>
      <c r="AN514" s="31"/>
      <c r="AO514" s="31"/>
      <c r="AP514" s="31"/>
      <c r="AQ514" s="31"/>
      <c r="AW514" s="31"/>
      <c r="AX514" s="31"/>
      <c r="AY514" s="31"/>
      <c r="AZ514" s="31"/>
    </row>
    <row r="515" spans="1:52" s="10" customFormat="1">
      <c r="A515" s="10" t="s">
        <v>1647</v>
      </c>
      <c r="B515" s="103" t="s">
        <v>1648</v>
      </c>
      <c r="C515" s="104" t="s">
        <v>989</v>
      </c>
      <c r="D515" s="104" t="s">
        <v>754</v>
      </c>
      <c r="E515" s="10" t="s">
        <v>643</v>
      </c>
      <c r="G515" s="10" t="s">
        <v>1598</v>
      </c>
      <c r="H515" s="10" t="s">
        <v>1599</v>
      </c>
      <c r="J515" s="10">
        <v>0</v>
      </c>
      <c r="K515" s="10">
        <v>45</v>
      </c>
      <c r="L515" s="10" t="s">
        <v>64</v>
      </c>
      <c r="M515" s="10" t="s">
        <v>65</v>
      </c>
      <c r="N515" s="10" t="s">
        <v>1012</v>
      </c>
      <c r="P515" s="10">
        <v>0</v>
      </c>
      <c r="Q515" s="10" t="s">
        <v>1631</v>
      </c>
      <c r="R515" s="136">
        <v>100</v>
      </c>
      <c r="S515" s="105">
        <f t="shared" si="136"/>
        <v>0</v>
      </c>
      <c r="T515" s="105">
        <v>0</v>
      </c>
      <c r="U515" s="105">
        <v>0</v>
      </c>
      <c r="V515" s="136">
        <v>45</v>
      </c>
      <c r="W515" s="157">
        <f t="shared" si="137"/>
        <v>55</v>
      </c>
      <c r="X515" s="106">
        <v>0</v>
      </c>
      <c r="Y515" s="106">
        <f t="shared" si="138"/>
        <v>0</v>
      </c>
      <c r="Z515" s="106">
        <v>0</v>
      </c>
      <c r="AA515" s="156">
        <v>0</v>
      </c>
      <c r="AB515" s="106">
        <f t="shared" si="139"/>
        <v>0</v>
      </c>
      <c r="AC515" s="137">
        <v>0</v>
      </c>
      <c r="AD515" s="106">
        <v>0</v>
      </c>
      <c r="AE515" s="106">
        <f t="shared" si="140"/>
        <v>0</v>
      </c>
      <c r="AF515" s="137">
        <v>0</v>
      </c>
      <c r="AG515" s="10" t="s">
        <v>69</v>
      </c>
      <c r="AH515" s="10" t="s">
        <v>1014</v>
      </c>
      <c r="AI515" s="107"/>
      <c r="AJ515" s="107"/>
      <c r="AN515" s="31"/>
      <c r="AO515" s="31"/>
      <c r="AP515" s="31"/>
      <c r="AQ515" s="31"/>
      <c r="AW515" s="31"/>
      <c r="AX515" s="31"/>
      <c r="AY515" s="31"/>
      <c r="AZ515" s="31"/>
    </row>
    <row r="516" spans="1:52" s="10" customFormat="1">
      <c r="A516" s="10" t="s">
        <v>1649</v>
      </c>
      <c r="B516" s="103" t="s">
        <v>1650</v>
      </c>
      <c r="C516" s="104" t="s">
        <v>989</v>
      </c>
      <c r="D516" s="104" t="s">
        <v>754</v>
      </c>
      <c r="E516" s="10" t="s">
        <v>643</v>
      </c>
      <c r="G516" s="10" t="s">
        <v>1598</v>
      </c>
      <c r="H516" s="10" t="s">
        <v>1599</v>
      </c>
      <c r="J516" s="10">
        <v>0</v>
      </c>
      <c r="K516" s="10">
        <v>45</v>
      </c>
      <c r="L516" s="10" t="s">
        <v>64</v>
      </c>
      <c r="M516" s="10" t="s">
        <v>480</v>
      </c>
      <c r="N516" s="10" t="s">
        <v>1012</v>
      </c>
      <c r="P516" s="10">
        <v>0</v>
      </c>
      <c r="Q516" s="10" t="s">
        <v>1636</v>
      </c>
      <c r="R516" s="136">
        <v>100</v>
      </c>
      <c r="S516" s="105">
        <f t="shared" si="136"/>
        <v>0</v>
      </c>
      <c r="T516" s="105">
        <v>0</v>
      </c>
      <c r="U516" s="105">
        <v>0</v>
      </c>
      <c r="V516" s="136">
        <v>45</v>
      </c>
      <c r="W516" s="157">
        <f t="shared" si="137"/>
        <v>55</v>
      </c>
      <c r="X516" s="106">
        <v>0</v>
      </c>
      <c r="Y516" s="106">
        <f t="shared" si="138"/>
        <v>0</v>
      </c>
      <c r="Z516" s="106">
        <v>0</v>
      </c>
      <c r="AA516" s="156">
        <v>0</v>
      </c>
      <c r="AB516" s="106">
        <f t="shared" si="139"/>
        <v>0</v>
      </c>
      <c r="AC516" s="137">
        <v>0</v>
      </c>
      <c r="AD516" s="106">
        <v>0</v>
      </c>
      <c r="AE516" s="106">
        <f t="shared" si="140"/>
        <v>0</v>
      </c>
      <c r="AF516" s="137">
        <v>0</v>
      </c>
      <c r="AG516" s="10" t="s">
        <v>69</v>
      </c>
      <c r="AH516" s="10" t="s">
        <v>1014</v>
      </c>
      <c r="AI516" s="107"/>
      <c r="AJ516" s="107"/>
      <c r="AN516" s="31"/>
      <c r="AO516" s="31"/>
      <c r="AP516" s="31"/>
      <c r="AQ516" s="31"/>
      <c r="AW516" s="31"/>
      <c r="AX516" s="31"/>
      <c r="AY516" s="31"/>
      <c r="AZ516" s="31"/>
    </row>
    <row r="517" spans="1:52" s="10" customFormat="1">
      <c r="A517" s="10" t="s">
        <v>1651</v>
      </c>
      <c r="B517" s="103" t="s">
        <v>1652</v>
      </c>
      <c r="C517" s="104" t="s">
        <v>989</v>
      </c>
      <c r="D517" s="104" t="s">
        <v>754</v>
      </c>
      <c r="E517" s="10" t="s">
        <v>643</v>
      </c>
      <c r="G517" s="10" t="s">
        <v>1598</v>
      </c>
      <c r="H517" s="10" t="s">
        <v>1599</v>
      </c>
      <c r="J517" s="10">
        <v>0</v>
      </c>
      <c r="K517" s="10">
        <v>45</v>
      </c>
      <c r="L517" s="10" t="s">
        <v>64</v>
      </c>
      <c r="M517" s="10" t="s">
        <v>65</v>
      </c>
      <c r="N517" s="10" t="s">
        <v>1012</v>
      </c>
      <c r="P517" s="10">
        <v>0</v>
      </c>
      <c r="Q517" s="10" t="s">
        <v>1631</v>
      </c>
      <c r="R517" s="136">
        <v>100</v>
      </c>
      <c r="S517" s="105">
        <f t="shared" si="136"/>
        <v>0</v>
      </c>
      <c r="T517" s="105">
        <v>0</v>
      </c>
      <c r="U517" s="105">
        <v>0</v>
      </c>
      <c r="V517" s="136">
        <v>50</v>
      </c>
      <c r="W517" s="157">
        <f t="shared" si="137"/>
        <v>50</v>
      </c>
      <c r="X517" s="106">
        <v>0</v>
      </c>
      <c r="Y517" s="106">
        <f t="shared" si="138"/>
        <v>0</v>
      </c>
      <c r="Z517" s="106">
        <v>0</v>
      </c>
      <c r="AA517" s="156">
        <v>0</v>
      </c>
      <c r="AB517" s="106">
        <f t="shared" si="139"/>
        <v>0</v>
      </c>
      <c r="AC517" s="137">
        <v>0</v>
      </c>
      <c r="AD517" s="106">
        <v>0</v>
      </c>
      <c r="AE517" s="106">
        <f t="shared" si="140"/>
        <v>0</v>
      </c>
      <c r="AF517" s="137">
        <v>0</v>
      </c>
      <c r="AG517" s="10" t="s">
        <v>69</v>
      </c>
      <c r="AH517" s="10" t="s">
        <v>1014</v>
      </c>
      <c r="AI517" s="107"/>
      <c r="AJ517" s="107"/>
      <c r="AN517" s="31"/>
      <c r="AO517" s="31"/>
      <c r="AP517" s="31"/>
      <c r="AQ517" s="31"/>
      <c r="AW517" s="31"/>
      <c r="AX517" s="31"/>
      <c r="AY517" s="31"/>
      <c r="AZ517" s="31"/>
    </row>
    <row r="518" spans="1:52" s="10" customFormat="1">
      <c r="A518" s="10" t="s">
        <v>1653</v>
      </c>
      <c r="B518" s="103" t="s">
        <v>1654</v>
      </c>
      <c r="C518" s="104" t="s">
        <v>989</v>
      </c>
      <c r="D518" s="104" t="s">
        <v>754</v>
      </c>
      <c r="E518" s="10" t="s">
        <v>643</v>
      </c>
      <c r="G518" s="10" t="s">
        <v>1598</v>
      </c>
      <c r="H518" s="10" t="s">
        <v>1599</v>
      </c>
      <c r="J518" s="10">
        <v>0</v>
      </c>
      <c r="K518" s="10">
        <v>45</v>
      </c>
      <c r="L518" s="10" t="s">
        <v>64</v>
      </c>
      <c r="M518" s="10" t="s">
        <v>480</v>
      </c>
      <c r="N518" s="10" t="s">
        <v>1012</v>
      </c>
      <c r="P518" s="10">
        <v>0</v>
      </c>
      <c r="Q518" s="10" t="s">
        <v>1636</v>
      </c>
      <c r="R518" s="136">
        <v>100</v>
      </c>
      <c r="S518" s="105">
        <f t="shared" si="136"/>
        <v>0</v>
      </c>
      <c r="T518" s="105">
        <v>0</v>
      </c>
      <c r="U518" s="105">
        <v>0</v>
      </c>
      <c r="V518" s="136">
        <v>50</v>
      </c>
      <c r="W518" s="157">
        <f t="shared" si="137"/>
        <v>50</v>
      </c>
      <c r="X518" s="106">
        <v>0</v>
      </c>
      <c r="Y518" s="106">
        <f t="shared" si="138"/>
        <v>0</v>
      </c>
      <c r="Z518" s="106">
        <v>0</v>
      </c>
      <c r="AA518" s="156">
        <v>0</v>
      </c>
      <c r="AB518" s="106">
        <f t="shared" si="139"/>
        <v>0</v>
      </c>
      <c r="AC518" s="137">
        <v>0</v>
      </c>
      <c r="AD518" s="106">
        <v>0</v>
      </c>
      <c r="AE518" s="106">
        <f t="shared" si="140"/>
        <v>0</v>
      </c>
      <c r="AF518" s="137">
        <v>0</v>
      </c>
      <c r="AG518" s="10" t="s">
        <v>69</v>
      </c>
      <c r="AH518" s="10" t="s">
        <v>1014</v>
      </c>
      <c r="AI518" s="107"/>
      <c r="AJ518" s="107"/>
      <c r="AN518" s="31"/>
      <c r="AO518" s="31"/>
      <c r="AP518" s="31"/>
      <c r="AQ518" s="31"/>
      <c r="AW518" s="31"/>
      <c r="AX518" s="31"/>
      <c r="AY518" s="31"/>
      <c r="AZ518" s="31"/>
    </row>
    <row r="519" spans="1:52" s="10" customFormat="1">
      <c r="A519" s="10" t="s">
        <v>1655</v>
      </c>
      <c r="B519" s="103" t="s">
        <v>1656</v>
      </c>
      <c r="C519" s="104" t="s">
        <v>989</v>
      </c>
      <c r="D519" s="104" t="s">
        <v>754</v>
      </c>
      <c r="E519" s="10" t="s">
        <v>643</v>
      </c>
      <c r="G519" s="10" t="s">
        <v>1598</v>
      </c>
      <c r="H519" s="10" t="s">
        <v>1599</v>
      </c>
      <c r="J519" s="10">
        <v>0</v>
      </c>
      <c r="K519" s="10">
        <v>45</v>
      </c>
      <c r="L519" s="10" t="s">
        <v>64</v>
      </c>
      <c r="M519" s="10" t="s">
        <v>65</v>
      </c>
      <c r="N519" s="10" t="s">
        <v>1012</v>
      </c>
      <c r="P519" s="10">
        <v>0</v>
      </c>
      <c r="Q519" s="10" t="s">
        <v>1631</v>
      </c>
      <c r="R519" s="136">
        <v>100</v>
      </c>
      <c r="S519" s="105">
        <f t="shared" si="136"/>
        <v>0</v>
      </c>
      <c r="T519" s="105">
        <v>0</v>
      </c>
      <c r="U519" s="105">
        <v>0</v>
      </c>
      <c r="V519" s="136">
        <v>60</v>
      </c>
      <c r="W519" s="157">
        <f t="shared" si="137"/>
        <v>40</v>
      </c>
      <c r="X519" s="106">
        <v>0</v>
      </c>
      <c r="Y519" s="106">
        <f t="shared" si="138"/>
        <v>0</v>
      </c>
      <c r="Z519" s="106">
        <v>0</v>
      </c>
      <c r="AA519" s="156">
        <v>0</v>
      </c>
      <c r="AB519" s="106">
        <f t="shared" si="139"/>
        <v>0</v>
      </c>
      <c r="AC519" s="137">
        <v>0</v>
      </c>
      <c r="AD519" s="106">
        <v>0</v>
      </c>
      <c r="AE519" s="106">
        <f t="shared" si="140"/>
        <v>0</v>
      </c>
      <c r="AF519" s="137">
        <v>0</v>
      </c>
      <c r="AG519" s="10" t="s">
        <v>69</v>
      </c>
      <c r="AH519" s="10" t="s">
        <v>1014</v>
      </c>
      <c r="AI519" s="107"/>
      <c r="AJ519" s="107"/>
      <c r="AN519" s="31"/>
      <c r="AO519" s="31"/>
      <c r="AP519" s="31"/>
      <c r="AQ519" s="31"/>
      <c r="AW519" s="31"/>
      <c r="AX519" s="31"/>
      <c r="AY519" s="31"/>
      <c r="AZ519" s="31"/>
    </row>
    <row r="520" spans="1:52" s="10" customFormat="1">
      <c r="A520" s="10" t="s">
        <v>1657</v>
      </c>
      <c r="B520" s="103" t="s">
        <v>1658</v>
      </c>
      <c r="C520" s="104" t="s">
        <v>989</v>
      </c>
      <c r="D520" s="104" t="s">
        <v>754</v>
      </c>
      <c r="E520" s="10" t="s">
        <v>643</v>
      </c>
      <c r="G520" s="10" t="s">
        <v>1598</v>
      </c>
      <c r="H520" s="10" t="s">
        <v>1599</v>
      </c>
      <c r="J520" s="10">
        <v>0</v>
      </c>
      <c r="K520" s="10">
        <v>45</v>
      </c>
      <c r="L520" s="10" t="s">
        <v>64</v>
      </c>
      <c r="M520" s="10" t="s">
        <v>480</v>
      </c>
      <c r="N520" s="10" t="s">
        <v>1012</v>
      </c>
      <c r="P520" s="10">
        <v>0</v>
      </c>
      <c r="Q520" s="10" t="s">
        <v>1636</v>
      </c>
      <c r="R520" s="136">
        <v>100</v>
      </c>
      <c r="S520" s="105">
        <f t="shared" si="136"/>
        <v>0</v>
      </c>
      <c r="T520" s="105">
        <v>0</v>
      </c>
      <c r="U520" s="105">
        <v>0</v>
      </c>
      <c r="V520" s="136">
        <v>60</v>
      </c>
      <c r="W520" s="157">
        <f t="shared" si="137"/>
        <v>40</v>
      </c>
      <c r="X520" s="106">
        <v>0</v>
      </c>
      <c r="Y520" s="106">
        <f t="shared" si="138"/>
        <v>0</v>
      </c>
      <c r="Z520" s="106">
        <v>0</v>
      </c>
      <c r="AA520" s="156">
        <v>0</v>
      </c>
      <c r="AB520" s="106">
        <f t="shared" si="139"/>
        <v>0</v>
      </c>
      <c r="AC520" s="137">
        <v>0</v>
      </c>
      <c r="AD520" s="106">
        <v>0</v>
      </c>
      <c r="AE520" s="106">
        <f t="shared" si="140"/>
        <v>0</v>
      </c>
      <c r="AF520" s="137">
        <v>0</v>
      </c>
      <c r="AG520" s="10" t="s">
        <v>69</v>
      </c>
      <c r="AH520" s="10" t="s">
        <v>1014</v>
      </c>
      <c r="AI520" s="107"/>
      <c r="AJ520" s="107"/>
      <c r="AN520" s="31"/>
      <c r="AO520" s="31"/>
      <c r="AP520" s="31"/>
      <c r="AQ520" s="31"/>
      <c r="AW520" s="31"/>
      <c r="AX520" s="31"/>
      <c r="AY520" s="31"/>
      <c r="AZ520" s="31"/>
    </row>
    <row r="521" spans="1:52" s="10" customFormat="1">
      <c r="A521" s="10" t="s">
        <v>1659</v>
      </c>
      <c r="B521" s="103" t="s">
        <v>1660</v>
      </c>
      <c r="C521" s="104" t="s">
        <v>989</v>
      </c>
      <c r="D521" s="104" t="s">
        <v>754</v>
      </c>
      <c r="E521" s="10" t="s">
        <v>643</v>
      </c>
      <c r="G521" s="10" t="s">
        <v>1598</v>
      </c>
      <c r="H521" s="10" t="s">
        <v>1599</v>
      </c>
      <c r="J521" s="10">
        <v>0</v>
      </c>
      <c r="K521" s="10">
        <v>45</v>
      </c>
      <c r="L521" s="10" t="s">
        <v>64</v>
      </c>
      <c r="M521" s="10" t="s">
        <v>65</v>
      </c>
      <c r="N521" s="10" t="s">
        <v>1012</v>
      </c>
      <c r="P521" s="10">
        <v>0</v>
      </c>
      <c r="Q521" s="10" t="s">
        <v>1631</v>
      </c>
      <c r="R521" s="136">
        <v>100</v>
      </c>
      <c r="S521" s="105">
        <f t="shared" si="136"/>
        <v>0</v>
      </c>
      <c r="T521" s="105">
        <v>0</v>
      </c>
      <c r="U521" s="105">
        <v>0</v>
      </c>
      <c r="V521" s="136">
        <v>70</v>
      </c>
      <c r="W521" s="157">
        <f t="shared" si="137"/>
        <v>30</v>
      </c>
      <c r="X521" s="106">
        <v>0</v>
      </c>
      <c r="Y521" s="106">
        <f t="shared" si="138"/>
        <v>0</v>
      </c>
      <c r="Z521" s="106">
        <v>0</v>
      </c>
      <c r="AA521" s="156">
        <v>0</v>
      </c>
      <c r="AB521" s="106">
        <f t="shared" si="139"/>
        <v>0</v>
      </c>
      <c r="AC521" s="137">
        <v>0</v>
      </c>
      <c r="AD521" s="106">
        <v>0</v>
      </c>
      <c r="AE521" s="106">
        <f t="shared" si="140"/>
        <v>0</v>
      </c>
      <c r="AF521" s="137">
        <v>0</v>
      </c>
      <c r="AG521" s="10" t="s">
        <v>69</v>
      </c>
      <c r="AH521" s="10" t="s">
        <v>1014</v>
      </c>
      <c r="AI521" s="107"/>
      <c r="AJ521" s="107"/>
      <c r="AN521" s="31"/>
      <c r="AO521" s="31"/>
      <c r="AP521" s="31"/>
      <c r="AQ521" s="31"/>
      <c r="AW521" s="31"/>
      <c r="AX521" s="31"/>
      <c r="AY521" s="31"/>
      <c r="AZ521" s="31"/>
    </row>
    <row r="522" spans="1:52" s="10" customFormat="1">
      <c r="A522" s="10" t="s">
        <v>1661</v>
      </c>
      <c r="B522" s="103" t="s">
        <v>1662</v>
      </c>
      <c r="C522" s="104" t="s">
        <v>989</v>
      </c>
      <c r="D522" s="104" t="s">
        <v>754</v>
      </c>
      <c r="E522" s="10" t="s">
        <v>643</v>
      </c>
      <c r="G522" s="10" t="s">
        <v>1598</v>
      </c>
      <c r="H522" s="10" t="s">
        <v>1599</v>
      </c>
      <c r="J522" s="10">
        <v>0</v>
      </c>
      <c r="K522" s="10">
        <v>45</v>
      </c>
      <c r="L522" s="10" t="s">
        <v>64</v>
      </c>
      <c r="M522" s="10" t="s">
        <v>480</v>
      </c>
      <c r="N522" s="10" t="s">
        <v>1012</v>
      </c>
      <c r="P522" s="10">
        <v>0</v>
      </c>
      <c r="Q522" s="10" t="s">
        <v>1636</v>
      </c>
      <c r="R522" s="136">
        <v>100</v>
      </c>
      <c r="S522" s="105">
        <f t="shared" si="136"/>
        <v>0</v>
      </c>
      <c r="T522" s="105">
        <v>0</v>
      </c>
      <c r="U522" s="105">
        <v>0</v>
      </c>
      <c r="V522" s="136">
        <v>70</v>
      </c>
      <c r="W522" s="157">
        <f t="shared" si="137"/>
        <v>30</v>
      </c>
      <c r="X522" s="106">
        <v>0</v>
      </c>
      <c r="Y522" s="106">
        <f t="shared" si="138"/>
        <v>0</v>
      </c>
      <c r="Z522" s="106">
        <v>0</v>
      </c>
      <c r="AA522" s="156">
        <v>0</v>
      </c>
      <c r="AB522" s="106">
        <f t="shared" si="139"/>
        <v>0</v>
      </c>
      <c r="AC522" s="137">
        <v>0</v>
      </c>
      <c r="AD522" s="106">
        <v>0</v>
      </c>
      <c r="AE522" s="106">
        <f t="shared" si="140"/>
        <v>0</v>
      </c>
      <c r="AF522" s="137">
        <v>0</v>
      </c>
      <c r="AG522" s="10" t="s">
        <v>69</v>
      </c>
      <c r="AH522" s="10" t="s">
        <v>1014</v>
      </c>
      <c r="AI522" s="107"/>
      <c r="AJ522" s="107"/>
      <c r="AN522" s="31"/>
      <c r="AO522" s="31"/>
      <c r="AP522" s="31"/>
      <c r="AQ522" s="31"/>
      <c r="AW522" s="31"/>
      <c r="AX522" s="31"/>
      <c r="AY522" s="31"/>
      <c r="AZ522" s="31"/>
    </row>
    <row r="523" spans="1:52" s="10" customFormat="1">
      <c r="A523" s="10" t="s">
        <v>1663</v>
      </c>
      <c r="B523" s="103" t="s">
        <v>1664</v>
      </c>
      <c r="C523" s="104" t="s">
        <v>989</v>
      </c>
      <c r="D523" s="104" t="s">
        <v>754</v>
      </c>
      <c r="E523" s="10" t="s">
        <v>643</v>
      </c>
      <c r="G523" s="10" t="s">
        <v>1598</v>
      </c>
      <c r="H523" s="10" t="s">
        <v>1599</v>
      </c>
      <c r="J523" s="10">
        <v>0</v>
      </c>
      <c r="K523" s="10">
        <v>45</v>
      </c>
      <c r="L523" s="10" t="s">
        <v>64</v>
      </c>
      <c r="M523" s="10" t="s">
        <v>65</v>
      </c>
      <c r="N523" s="10" t="s">
        <v>1012</v>
      </c>
      <c r="P523" s="10">
        <v>0</v>
      </c>
      <c r="Q523" s="10" t="s">
        <v>1631</v>
      </c>
      <c r="R523" s="136">
        <v>100</v>
      </c>
      <c r="S523" s="105">
        <f t="shared" si="136"/>
        <v>0</v>
      </c>
      <c r="T523" s="105">
        <v>0</v>
      </c>
      <c r="U523" s="105">
        <v>0</v>
      </c>
      <c r="V523" s="136">
        <v>80</v>
      </c>
      <c r="W523" s="157">
        <f t="shared" si="137"/>
        <v>20</v>
      </c>
      <c r="X523" s="106">
        <v>0</v>
      </c>
      <c r="Y523" s="106">
        <f t="shared" si="138"/>
        <v>0</v>
      </c>
      <c r="Z523" s="106">
        <v>0</v>
      </c>
      <c r="AA523" s="156">
        <v>0</v>
      </c>
      <c r="AB523" s="106">
        <f t="shared" si="139"/>
        <v>0</v>
      </c>
      <c r="AC523" s="137">
        <v>0</v>
      </c>
      <c r="AD523" s="106">
        <v>0</v>
      </c>
      <c r="AE523" s="106">
        <f t="shared" si="140"/>
        <v>0</v>
      </c>
      <c r="AF523" s="137">
        <v>0</v>
      </c>
      <c r="AG523" s="10" t="s">
        <v>69</v>
      </c>
      <c r="AH523" s="10" t="s">
        <v>1014</v>
      </c>
      <c r="AI523" s="107"/>
      <c r="AJ523" s="107"/>
      <c r="AN523" s="31"/>
      <c r="AO523" s="31"/>
      <c r="AP523" s="31"/>
      <c r="AQ523" s="31"/>
      <c r="AW523" s="31"/>
      <c r="AX523" s="31"/>
      <c r="AY523" s="31"/>
      <c r="AZ523" s="31"/>
    </row>
    <row r="524" spans="1:52" s="10" customFormat="1">
      <c r="A524" s="10" t="s">
        <v>1665</v>
      </c>
      <c r="B524" s="103" t="s">
        <v>1666</v>
      </c>
      <c r="C524" s="104" t="s">
        <v>989</v>
      </c>
      <c r="D524" s="104" t="s">
        <v>754</v>
      </c>
      <c r="E524" s="10" t="s">
        <v>643</v>
      </c>
      <c r="G524" s="10" t="s">
        <v>1598</v>
      </c>
      <c r="H524" s="10" t="s">
        <v>1599</v>
      </c>
      <c r="J524" s="10">
        <v>0</v>
      </c>
      <c r="K524" s="10">
        <v>45</v>
      </c>
      <c r="L524" s="10" t="s">
        <v>64</v>
      </c>
      <c r="M524" s="10" t="s">
        <v>480</v>
      </c>
      <c r="N524" s="10" t="s">
        <v>1012</v>
      </c>
      <c r="P524" s="10">
        <v>0</v>
      </c>
      <c r="Q524" s="10" t="s">
        <v>1636</v>
      </c>
      <c r="R524" s="136">
        <v>100</v>
      </c>
      <c r="S524" s="105">
        <f t="shared" si="136"/>
        <v>0</v>
      </c>
      <c r="T524" s="105">
        <v>0</v>
      </c>
      <c r="U524" s="105">
        <v>0</v>
      </c>
      <c r="V524" s="136">
        <v>80</v>
      </c>
      <c r="W524" s="157">
        <f t="shared" si="137"/>
        <v>20</v>
      </c>
      <c r="X524" s="106">
        <v>0</v>
      </c>
      <c r="Y524" s="106">
        <f t="shared" si="138"/>
        <v>0</v>
      </c>
      <c r="Z524" s="106">
        <v>0</v>
      </c>
      <c r="AA524" s="156">
        <v>0</v>
      </c>
      <c r="AB524" s="106">
        <f t="shared" si="139"/>
        <v>0</v>
      </c>
      <c r="AC524" s="137">
        <v>0</v>
      </c>
      <c r="AD524" s="106">
        <v>0</v>
      </c>
      <c r="AE524" s="106">
        <f t="shared" si="140"/>
        <v>0</v>
      </c>
      <c r="AF524" s="137">
        <v>0</v>
      </c>
      <c r="AG524" s="10" t="s">
        <v>69</v>
      </c>
      <c r="AH524" s="10" t="s">
        <v>1014</v>
      </c>
      <c r="AI524" s="107"/>
      <c r="AJ524" s="107"/>
      <c r="AN524" s="31"/>
      <c r="AO524" s="31"/>
      <c r="AP524" s="31"/>
      <c r="AQ524" s="31"/>
      <c r="AW524" s="31"/>
      <c r="AX524" s="31"/>
      <c r="AY524" s="31"/>
      <c r="AZ524" s="31"/>
    </row>
    <row r="525" spans="1:52" s="10" customFormat="1">
      <c r="A525" s="10" t="s">
        <v>1667</v>
      </c>
      <c r="B525" s="103" t="s">
        <v>1668</v>
      </c>
      <c r="C525" s="104" t="s">
        <v>989</v>
      </c>
      <c r="D525" s="104" t="s">
        <v>754</v>
      </c>
      <c r="E525" s="10" t="s">
        <v>643</v>
      </c>
      <c r="G525" s="10" t="s">
        <v>1598</v>
      </c>
      <c r="H525" s="10" t="s">
        <v>1599</v>
      </c>
      <c r="J525" s="10">
        <v>0</v>
      </c>
      <c r="K525" s="10">
        <v>45</v>
      </c>
      <c r="L525" s="10" t="s">
        <v>64</v>
      </c>
      <c r="M525" s="10" t="s">
        <v>65</v>
      </c>
      <c r="N525" s="10" t="s">
        <v>1012</v>
      </c>
      <c r="P525" s="10">
        <v>0</v>
      </c>
      <c r="Q525" s="10" t="s">
        <v>1631</v>
      </c>
      <c r="R525" s="136">
        <v>100</v>
      </c>
      <c r="S525" s="105">
        <f t="shared" si="136"/>
        <v>0</v>
      </c>
      <c r="T525" s="105">
        <v>0</v>
      </c>
      <c r="U525" s="105">
        <v>0</v>
      </c>
      <c r="V525" s="136">
        <v>90</v>
      </c>
      <c r="W525" s="157">
        <f t="shared" si="137"/>
        <v>10</v>
      </c>
      <c r="X525" s="106">
        <v>0</v>
      </c>
      <c r="Y525" s="106">
        <f t="shared" si="138"/>
        <v>0</v>
      </c>
      <c r="Z525" s="106">
        <v>0</v>
      </c>
      <c r="AA525" s="156">
        <v>0</v>
      </c>
      <c r="AB525" s="106">
        <f t="shared" si="139"/>
        <v>0</v>
      </c>
      <c r="AC525" s="137">
        <v>0</v>
      </c>
      <c r="AD525" s="106">
        <v>0</v>
      </c>
      <c r="AE525" s="106">
        <f t="shared" si="140"/>
        <v>0</v>
      </c>
      <c r="AF525" s="137">
        <v>0</v>
      </c>
      <c r="AG525" s="10" t="s">
        <v>69</v>
      </c>
      <c r="AH525" s="10" t="s">
        <v>1014</v>
      </c>
      <c r="AI525" s="107"/>
      <c r="AJ525" s="107"/>
      <c r="AN525" s="31"/>
      <c r="AO525" s="31"/>
      <c r="AP525" s="31"/>
      <c r="AQ525" s="31"/>
      <c r="AW525" s="31"/>
      <c r="AX525" s="31"/>
      <c r="AY525" s="31"/>
      <c r="AZ525" s="31"/>
    </row>
    <row r="526" spans="1:52" s="10" customFormat="1">
      <c r="A526" s="10" t="s">
        <v>1669</v>
      </c>
      <c r="B526" s="103" t="s">
        <v>1670</v>
      </c>
      <c r="C526" s="104" t="s">
        <v>989</v>
      </c>
      <c r="D526" s="104" t="s">
        <v>754</v>
      </c>
      <c r="E526" s="10" t="s">
        <v>643</v>
      </c>
      <c r="G526" s="10" t="s">
        <v>1598</v>
      </c>
      <c r="H526" s="10" t="s">
        <v>1599</v>
      </c>
      <c r="J526" s="10">
        <v>0</v>
      </c>
      <c r="K526" s="10">
        <v>45</v>
      </c>
      <c r="L526" s="10" t="s">
        <v>64</v>
      </c>
      <c r="M526" s="10" t="s">
        <v>480</v>
      </c>
      <c r="N526" s="10" t="s">
        <v>1012</v>
      </c>
      <c r="P526" s="10">
        <v>0</v>
      </c>
      <c r="Q526" s="10" t="s">
        <v>1636</v>
      </c>
      <c r="R526" s="136">
        <v>100</v>
      </c>
      <c r="S526" s="105">
        <f t="shared" si="136"/>
        <v>0</v>
      </c>
      <c r="T526" s="105">
        <v>0</v>
      </c>
      <c r="U526" s="105">
        <v>0</v>
      </c>
      <c r="V526" s="136">
        <v>90</v>
      </c>
      <c r="W526" s="157">
        <f t="shared" si="137"/>
        <v>10</v>
      </c>
      <c r="X526" s="106">
        <v>0</v>
      </c>
      <c r="Y526" s="106">
        <f t="shared" si="138"/>
        <v>0</v>
      </c>
      <c r="Z526" s="106">
        <v>0</v>
      </c>
      <c r="AA526" s="156">
        <v>0</v>
      </c>
      <c r="AB526" s="106">
        <f t="shared" si="139"/>
        <v>0</v>
      </c>
      <c r="AC526" s="137">
        <v>0</v>
      </c>
      <c r="AD526" s="106">
        <v>0</v>
      </c>
      <c r="AE526" s="106">
        <f t="shared" si="140"/>
        <v>0</v>
      </c>
      <c r="AF526" s="137">
        <v>0</v>
      </c>
      <c r="AG526" s="10" t="s">
        <v>69</v>
      </c>
      <c r="AH526" s="10" t="s">
        <v>1014</v>
      </c>
      <c r="AI526" s="107"/>
      <c r="AJ526" s="107"/>
      <c r="AN526" s="31"/>
      <c r="AO526" s="31"/>
      <c r="AP526" s="31"/>
      <c r="AQ526" s="31"/>
      <c r="AW526" s="31"/>
      <c r="AX526" s="31"/>
      <c r="AY526" s="31"/>
      <c r="AZ526" s="31"/>
    </row>
    <row r="527" spans="1:52" s="10" customFormat="1">
      <c r="A527" s="10" t="s">
        <v>1671</v>
      </c>
      <c r="B527" s="103" t="s">
        <v>1672</v>
      </c>
      <c r="C527" s="104" t="s">
        <v>989</v>
      </c>
      <c r="D527" s="104" t="s">
        <v>754</v>
      </c>
      <c r="E527" s="10" t="s">
        <v>643</v>
      </c>
      <c r="G527" s="10" t="s">
        <v>1598</v>
      </c>
      <c r="H527" s="10" t="s">
        <v>1673</v>
      </c>
      <c r="J527" s="10">
        <v>0</v>
      </c>
      <c r="K527" s="10">
        <v>45</v>
      </c>
      <c r="L527" s="10" t="s">
        <v>64</v>
      </c>
      <c r="M527" s="10" t="s">
        <v>65</v>
      </c>
      <c r="N527" s="10" t="s">
        <v>1012</v>
      </c>
      <c r="P527" s="10">
        <v>0</v>
      </c>
      <c r="Q527" s="10" t="s">
        <v>1631</v>
      </c>
      <c r="R527" s="136">
        <v>100</v>
      </c>
      <c r="S527" s="105">
        <f t="shared" si="136"/>
        <v>0</v>
      </c>
      <c r="T527" s="105">
        <v>0</v>
      </c>
      <c r="U527" s="105">
        <v>0</v>
      </c>
      <c r="V527" s="136">
        <v>100</v>
      </c>
      <c r="W527" s="157">
        <f t="shared" si="137"/>
        <v>0</v>
      </c>
      <c r="X527" s="106">
        <v>0</v>
      </c>
      <c r="Y527" s="106">
        <f t="shared" si="138"/>
        <v>0</v>
      </c>
      <c r="Z527" s="106">
        <v>0</v>
      </c>
      <c r="AA527" s="156">
        <v>0</v>
      </c>
      <c r="AB527" s="106">
        <f t="shared" si="139"/>
        <v>0</v>
      </c>
      <c r="AC527" s="137">
        <v>0</v>
      </c>
      <c r="AD527" s="106">
        <v>0</v>
      </c>
      <c r="AE527" s="106">
        <f t="shared" si="140"/>
        <v>0</v>
      </c>
      <c r="AF527" s="137">
        <v>0</v>
      </c>
      <c r="AG527" s="10" t="s">
        <v>69</v>
      </c>
      <c r="AH527" s="10" t="s">
        <v>1014</v>
      </c>
      <c r="AI527" s="107"/>
      <c r="AJ527" s="107"/>
      <c r="AN527" s="31"/>
      <c r="AO527" s="31"/>
      <c r="AP527" s="31"/>
      <c r="AQ527" s="31"/>
      <c r="AW527" s="31"/>
      <c r="AX527" s="31"/>
      <c r="AY527" s="31"/>
      <c r="AZ527" s="31"/>
    </row>
    <row r="528" spans="1:52" s="10" customFormat="1">
      <c r="A528" s="10" t="s">
        <v>1674</v>
      </c>
      <c r="B528" s="103" t="s">
        <v>1675</v>
      </c>
      <c r="C528" s="104" t="s">
        <v>989</v>
      </c>
      <c r="D528" s="104" t="s">
        <v>754</v>
      </c>
      <c r="E528" s="10" t="s">
        <v>643</v>
      </c>
      <c r="G528" s="10" t="s">
        <v>1598</v>
      </c>
      <c r="H528" s="10" t="s">
        <v>1673</v>
      </c>
      <c r="J528" s="10">
        <v>0</v>
      </c>
      <c r="K528" s="10">
        <v>45</v>
      </c>
      <c r="L528" s="10" t="s">
        <v>64</v>
      </c>
      <c r="M528" s="10" t="s">
        <v>480</v>
      </c>
      <c r="N528" s="10" t="s">
        <v>1012</v>
      </c>
      <c r="P528" s="10">
        <v>0</v>
      </c>
      <c r="Q528" s="10" t="s">
        <v>1636</v>
      </c>
      <c r="R528" s="136">
        <v>100</v>
      </c>
      <c r="S528" s="105">
        <f t="shared" si="136"/>
        <v>0</v>
      </c>
      <c r="T528" s="105">
        <v>0</v>
      </c>
      <c r="U528" s="105">
        <v>0</v>
      </c>
      <c r="V528" s="136">
        <v>100</v>
      </c>
      <c r="W528" s="157">
        <f t="shared" si="137"/>
        <v>0</v>
      </c>
      <c r="X528" s="106">
        <v>0</v>
      </c>
      <c r="Y528" s="106">
        <f t="shared" si="138"/>
        <v>0</v>
      </c>
      <c r="Z528" s="106">
        <v>0</v>
      </c>
      <c r="AA528" s="156">
        <v>0</v>
      </c>
      <c r="AB528" s="106">
        <f t="shared" si="139"/>
        <v>0</v>
      </c>
      <c r="AC528" s="137">
        <v>0</v>
      </c>
      <c r="AD528" s="106">
        <v>0</v>
      </c>
      <c r="AE528" s="106">
        <f t="shared" si="140"/>
        <v>0</v>
      </c>
      <c r="AF528" s="137">
        <v>0</v>
      </c>
      <c r="AG528" s="10" t="s">
        <v>69</v>
      </c>
      <c r="AH528" s="10" t="s">
        <v>1014</v>
      </c>
      <c r="AI528" s="107"/>
      <c r="AJ528" s="107"/>
      <c r="AN528" s="31"/>
      <c r="AO528" s="31"/>
      <c r="AP528" s="31"/>
      <c r="AQ528" s="31"/>
      <c r="AW528" s="31"/>
      <c r="AX528" s="31"/>
      <c r="AY528" s="31"/>
      <c r="AZ528" s="31"/>
    </row>
    <row r="529" spans="1:52" s="10" customFormat="1">
      <c r="A529" s="10" t="s">
        <v>1676</v>
      </c>
      <c r="B529" s="103" t="s">
        <v>1677</v>
      </c>
      <c r="C529" s="104" t="s">
        <v>989</v>
      </c>
      <c r="D529" s="104" t="s">
        <v>754</v>
      </c>
      <c r="E529" s="10" t="s">
        <v>643</v>
      </c>
      <c r="G529" s="10" t="s">
        <v>1598</v>
      </c>
      <c r="H529" s="10" t="s">
        <v>1599</v>
      </c>
      <c r="J529" s="10">
        <v>0</v>
      </c>
      <c r="K529" s="10">
        <v>45</v>
      </c>
      <c r="L529" s="10" t="s">
        <v>64</v>
      </c>
      <c r="M529" s="10" t="s">
        <v>65</v>
      </c>
      <c r="N529" s="10" t="s">
        <v>1012</v>
      </c>
      <c r="P529" s="10">
        <v>0</v>
      </c>
      <c r="Q529" s="10" t="s">
        <v>1678</v>
      </c>
      <c r="R529" s="136">
        <v>100</v>
      </c>
      <c r="S529" s="105">
        <f t="shared" si="136"/>
        <v>0</v>
      </c>
      <c r="T529" s="105">
        <v>0</v>
      </c>
      <c r="U529" s="105">
        <v>0</v>
      </c>
      <c r="V529" s="136">
        <v>10.5</v>
      </c>
      <c r="W529" s="157">
        <f t="shared" si="137"/>
        <v>89.5</v>
      </c>
      <c r="X529" s="106">
        <v>0</v>
      </c>
      <c r="Y529" s="106">
        <f t="shared" si="138"/>
        <v>0</v>
      </c>
      <c r="Z529" s="106">
        <v>0</v>
      </c>
      <c r="AA529" s="156">
        <v>0</v>
      </c>
      <c r="AB529" s="106">
        <f t="shared" si="139"/>
        <v>0</v>
      </c>
      <c r="AC529" s="137">
        <v>0</v>
      </c>
      <c r="AD529" s="106">
        <v>0</v>
      </c>
      <c r="AE529" s="106">
        <f t="shared" si="140"/>
        <v>0</v>
      </c>
      <c r="AF529" s="137">
        <v>0</v>
      </c>
      <c r="AG529" s="10" t="s">
        <v>69</v>
      </c>
      <c r="AH529" s="10" t="s">
        <v>1014</v>
      </c>
      <c r="AI529" s="107"/>
      <c r="AJ529" s="107"/>
      <c r="AN529" s="31"/>
      <c r="AO529" s="31"/>
      <c r="AP529" s="31"/>
      <c r="AQ529" s="31"/>
      <c r="AW529" s="31"/>
      <c r="AX529" s="31"/>
      <c r="AY529" s="31"/>
      <c r="AZ529" s="31"/>
    </row>
    <row r="530" spans="1:52" s="10" customFormat="1">
      <c r="A530" s="10" t="s">
        <v>1679</v>
      </c>
      <c r="B530" s="103" t="s">
        <v>1680</v>
      </c>
      <c r="C530" s="104" t="s">
        <v>989</v>
      </c>
      <c r="D530" s="104" t="s">
        <v>754</v>
      </c>
      <c r="E530" s="10" t="s">
        <v>643</v>
      </c>
      <c r="G530" s="10" t="s">
        <v>1598</v>
      </c>
      <c r="H530" s="10" t="s">
        <v>1599</v>
      </c>
      <c r="J530" s="10">
        <v>0</v>
      </c>
      <c r="K530" s="10">
        <v>45</v>
      </c>
      <c r="L530" s="10" t="s">
        <v>64</v>
      </c>
      <c r="M530" s="10" t="s">
        <v>480</v>
      </c>
      <c r="N530" s="10" t="s">
        <v>1012</v>
      </c>
      <c r="P530" s="10">
        <v>0</v>
      </c>
      <c r="Q530" s="10" t="s">
        <v>1678</v>
      </c>
      <c r="R530" s="136">
        <v>100</v>
      </c>
      <c r="S530" s="105">
        <f t="shared" si="136"/>
        <v>0</v>
      </c>
      <c r="T530" s="105">
        <v>0</v>
      </c>
      <c r="U530" s="105">
        <v>0</v>
      </c>
      <c r="V530" s="136">
        <v>10.5</v>
      </c>
      <c r="W530" s="157">
        <f t="shared" si="137"/>
        <v>89.5</v>
      </c>
      <c r="X530" s="106">
        <v>0</v>
      </c>
      <c r="Y530" s="106">
        <f t="shared" si="138"/>
        <v>0</v>
      </c>
      <c r="Z530" s="106">
        <v>0</v>
      </c>
      <c r="AA530" s="156">
        <v>0</v>
      </c>
      <c r="AB530" s="106">
        <f t="shared" si="139"/>
        <v>0</v>
      </c>
      <c r="AC530" s="137">
        <v>0</v>
      </c>
      <c r="AD530" s="106">
        <v>0</v>
      </c>
      <c r="AE530" s="106">
        <f t="shared" si="140"/>
        <v>0</v>
      </c>
      <c r="AF530" s="137">
        <v>0</v>
      </c>
      <c r="AG530" s="10" t="s">
        <v>69</v>
      </c>
      <c r="AH530" s="10" t="s">
        <v>1014</v>
      </c>
      <c r="AI530" s="107"/>
      <c r="AJ530" s="107"/>
      <c r="AN530" s="31"/>
      <c r="AO530" s="31"/>
      <c r="AP530" s="31"/>
      <c r="AQ530" s="31"/>
      <c r="AW530" s="31"/>
      <c r="AX530" s="31"/>
      <c r="AY530" s="31"/>
      <c r="AZ530" s="31"/>
    </row>
    <row r="531" spans="1:52" s="10" customFormat="1">
      <c r="A531" s="10" t="s">
        <v>1681</v>
      </c>
      <c r="B531" s="103" t="s">
        <v>1682</v>
      </c>
      <c r="C531" s="104" t="s">
        <v>989</v>
      </c>
      <c r="D531" s="104" t="s">
        <v>754</v>
      </c>
      <c r="E531" s="10" t="s">
        <v>643</v>
      </c>
      <c r="G531" s="10" t="s">
        <v>1598</v>
      </c>
      <c r="H531" s="10" t="s">
        <v>1599</v>
      </c>
      <c r="J531" s="10">
        <v>0</v>
      </c>
      <c r="K531" s="10">
        <v>45</v>
      </c>
      <c r="L531" s="10" t="s">
        <v>64</v>
      </c>
      <c r="M531" s="10" t="s">
        <v>65</v>
      </c>
      <c r="N531" s="10" t="s">
        <v>1012</v>
      </c>
      <c r="P531" s="10">
        <v>0</v>
      </c>
      <c r="Q531" s="10" t="s">
        <v>1678</v>
      </c>
      <c r="R531" s="136">
        <v>100</v>
      </c>
      <c r="S531" s="105">
        <f t="shared" si="136"/>
        <v>0</v>
      </c>
      <c r="T531" s="105">
        <v>0</v>
      </c>
      <c r="U531" s="105">
        <v>0</v>
      </c>
      <c r="V531" s="136">
        <v>30</v>
      </c>
      <c r="W531" s="157">
        <f t="shared" si="137"/>
        <v>70</v>
      </c>
      <c r="X531" s="106">
        <v>0</v>
      </c>
      <c r="Y531" s="106">
        <f t="shared" si="138"/>
        <v>0</v>
      </c>
      <c r="Z531" s="106">
        <v>0</v>
      </c>
      <c r="AA531" s="156">
        <v>0</v>
      </c>
      <c r="AB531" s="106">
        <f t="shared" si="139"/>
        <v>0</v>
      </c>
      <c r="AC531" s="137">
        <v>0</v>
      </c>
      <c r="AD531" s="106">
        <v>0</v>
      </c>
      <c r="AE531" s="106">
        <f t="shared" si="140"/>
        <v>0</v>
      </c>
      <c r="AF531" s="137">
        <v>0</v>
      </c>
      <c r="AG531" s="10" t="s">
        <v>69</v>
      </c>
      <c r="AH531" s="10" t="s">
        <v>1014</v>
      </c>
      <c r="AI531" s="107"/>
      <c r="AJ531" s="107"/>
      <c r="AN531" s="31"/>
      <c r="AO531" s="31"/>
      <c r="AP531" s="31"/>
      <c r="AQ531" s="31"/>
      <c r="AW531" s="31"/>
      <c r="AX531" s="31"/>
      <c r="AY531" s="31"/>
      <c r="AZ531" s="31"/>
    </row>
    <row r="532" spans="1:52" s="10" customFormat="1">
      <c r="A532" s="10" t="s">
        <v>1683</v>
      </c>
      <c r="B532" s="103" t="s">
        <v>1684</v>
      </c>
      <c r="C532" s="104" t="s">
        <v>989</v>
      </c>
      <c r="D532" s="104" t="s">
        <v>754</v>
      </c>
      <c r="E532" s="10" t="s">
        <v>643</v>
      </c>
      <c r="G532" s="10" t="s">
        <v>1598</v>
      </c>
      <c r="H532" s="10" t="s">
        <v>1599</v>
      </c>
      <c r="J532" s="10">
        <v>0</v>
      </c>
      <c r="K532" s="10">
        <v>45</v>
      </c>
      <c r="L532" s="10" t="s">
        <v>64</v>
      </c>
      <c r="M532" s="10" t="s">
        <v>480</v>
      </c>
      <c r="N532" s="10" t="s">
        <v>1012</v>
      </c>
      <c r="P532" s="10">
        <v>0</v>
      </c>
      <c r="Q532" s="10" t="s">
        <v>1678</v>
      </c>
      <c r="R532" s="136">
        <v>100</v>
      </c>
      <c r="S532" s="105">
        <f t="shared" si="136"/>
        <v>0</v>
      </c>
      <c r="T532" s="105">
        <v>0</v>
      </c>
      <c r="U532" s="105">
        <v>0</v>
      </c>
      <c r="V532" s="136">
        <v>30</v>
      </c>
      <c r="W532" s="157">
        <f t="shared" si="137"/>
        <v>70</v>
      </c>
      <c r="X532" s="106">
        <v>0</v>
      </c>
      <c r="Y532" s="106">
        <f t="shared" si="138"/>
        <v>0</v>
      </c>
      <c r="Z532" s="106">
        <v>0</v>
      </c>
      <c r="AA532" s="156">
        <v>0</v>
      </c>
      <c r="AB532" s="106">
        <f t="shared" si="139"/>
        <v>0</v>
      </c>
      <c r="AC532" s="137">
        <v>0</v>
      </c>
      <c r="AD532" s="106">
        <v>0</v>
      </c>
      <c r="AE532" s="106">
        <f t="shared" si="140"/>
        <v>0</v>
      </c>
      <c r="AF532" s="137">
        <v>0</v>
      </c>
      <c r="AG532" s="10" t="s">
        <v>69</v>
      </c>
      <c r="AH532" s="10" t="s">
        <v>1014</v>
      </c>
      <c r="AI532" s="107"/>
      <c r="AJ532" s="107"/>
      <c r="AN532" s="31"/>
      <c r="AO532" s="31"/>
      <c r="AP532" s="31"/>
      <c r="AQ532" s="31"/>
      <c r="AW532" s="31"/>
      <c r="AX532" s="31"/>
      <c r="AY532" s="31"/>
      <c r="AZ532" s="31"/>
    </row>
    <row r="533" spans="1:52" s="10" customFormat="1">
      <c r="A533" s="10" t="s">
        <v>1685</v>
      </c>
      <c r="B533" s="103" t="s">
        <v>1686</v>
      </c>
      <c r="C533" s="104" t="s">
        <v>162</v>
      </c>
      <c r="D533" s="104" t="s">
        <v>642</v>
      </c>
      <c r="E533" s="10" t="s">
        <v>643</v>
      </c>
      <c r="G533" s="10" t="s">
        <v>1687</v>
      </c>
      <c r="H533" s="10" t="s">
        <v>1602</v>
      </c>
      <c r="J533" s="10">
        <v>100</v>
      </c>
      <c r="K533" s="10">
        <v>200</v>
      </c>
      <c r="L533" s="10" t="s">
        <v>64</v>
      </c>
      <c r="M533" s="10" t="s">
        <v>26</v>
      </c>
      <c r="O533" s="10" t="s">
        <v>215</v>
      </c>
      <c r="P533" s="10">
        <v>0</v>
      </c>
      <c r="Q533" s="10" t="s">
        <v>1688</v>
      </c>
      <c r="R533" s="136">
        <v>100</v>
      </c>
      <c r="S533" s="105">
        <f t="shared" si="136"/>
        <v>0</v>
      </c>
      <c r="T533" s="105">
        <v>0</v>
      </c>
      <c r="U533" s="105">
        <v>0</v>
      </c>
      <c r="V533" s="136">
        <f>(10+12)/2</f>
        <v>11</v>
      </c>
      <c r="W533" s="157">
        <f t="shared" si="137"/>
        <v>89</v>
      </c>
      <c r="X533" s="106">
        <v>0</v>
      </c>
      <c r="Y533" s="106">
        <f t="shared" si="138"/>
        <v>0</v>
      </c>
      <c r="Z533" s="106">
        <v>0</v>
      </c>
      <c r="AA533" s="156">
        <v>0</v>
      </c>
      <c r="AB533" s="106">
        <f t="shared" si="139"/>
        <v>0</v>
      </c>
      <c r="AC533" s="137">
        <v>0</v>
      </c>
      <c r="AD533" s="106">
        <v>0</v>
      </c>
      <c r="AE533" s="106">
        <f t="shared" si="140"/>
        <v>0</v>
      </c>
      <c r="AF533" s="137">
        <v>0</v>
      </c>
      <c r="AG533" s="10" t="s">
        <v>69</v>
      </c>
      <c r="AH533" s="10" t="s">
        <v>1298</v>
      </c>
      <c r="AI533" s="107"/>
      <c r="AJ533" s="107"/>
      <c r="AN533" s="31"/>
      <c r="AO533" s="31"/>
      <c r="AP533" s="31"/>
      <c r="AQ533" s="31"/>
      <c r="AW533" s="31"/>
      <c r="AX533" s="31"/>
      <c r="AY533" s="31"/>
      <c r="AZ533" s="31"/>
    </row>
    <row r="534" spans="1:52" s="10" customFormat="1">
      <c r="A534" s="10" t="s">
        <v>1689</v>
      </c>
      <c r="B534" s="103" t="s">
        <v>1690</v>
      </c>
      <c r="C534" s="104" t="s">
        <v>162</v>
      </c>
      <c r="D534" s="104" t="s">
        <v>642</v>
      </c>
      <c r="E534" s="10" t="s">
        <v>643</v>
      </c>
      <c r="G534" s="10" t="s">
        <v>1687</v>
      </c>
      <c r="H534" s="10" t="s">
        <v>1602</v>
      </c>
      <c r="J534" s="10">
        <v>40</v>
      </c>
      <c r="K534" s="10">
        <v>100</v>
      </c>
      <c r="L534" s="10" t="s">
        <v>64</v>
      </c>
      <c r="M534" s="10" t="s">
        <v>26</v>
      </c>
      <c r="O534" s="10" t="s">
        <v>215</v>
      </c>
      <c r="P534" s="10">
        <v>0</v>
      </c>
      <c r="Q534" s="10" t="s">
        <v>1688</v>
      </c>
      <c r="R534" s="136">
        <v>100</v>
      </c>
      <c r="S534" s="105">
        <f t="shared" si="136"/>
        <v>0</v>
      </c>
      <c r="T534" s="105">
        <v>0</v>
      </c>
      <c r="U534" s="105">
        <v>0</v>
      </c>
      <c r="V534" s="136">
        <f>(10+12)/2</f>
        <v>11</v>
      </c>
      <c r="W534" s="157">
        <f t="shared" si="137"/>
        <v>89</v>
      </c>
      <c r="X534" s="106">
        <v>0</v>
      </c>
      <c r="Y534" s="106">
        <f t="shared" si="138"/>
        <v>0</v>
      </c>
      <c r="Z534" s="106">
        <v>0</v>
      </c>
      <c r="AA534" s="156">
        <v>0</v>
      </c>
      <c r="AB534" s="106">
        <f t="shared" si="139"/>
        <v>0</v>
      </c>
      <c r="AC534" s="137">
        <v>0</v>
      </c>
      <c r="AD534" s="106">
        <v>0</v>
      </c>
      <c r="AE534" s="106">
        <f t="shared" si="140"/>
        <v>0</v>
      </c>
      <c r="AF534" s="137">
        <v>0</v>
      </c>
      <c r="AG534" s="10" t="s">
        <v>69</v>
      </c>
      <c r="AH534" s="10" t="s">
        <v>1298</v>
      </c>
      <c r="AI534" s="107"/>
      <c r="AJ534" s="107"/>
      <c r="AN534" s="31"/>
      <c r="AO534" s="31"/>
      <c r="AP534" s="31"/>
      <c r="AQ534" s="31"/>
      <c r="AW534" s="31"/>
      <c r="AX534" s="31"/>
      <c r="AY534" s="31"/>
      <c r="AZ534" s="31"/>
    </row>
    <row r="535" spans="1:52" s="10" customFormat="1">
      <c r="A535" s="10" t="s">
        <v>1691</v>
      </c>
      <c r="B535" s="103" t="s">
        <v>1692</v>
      </c>
      <c r="C535" s="104" t="s">
        <v>162</v>
      </c>
      <c r="D535" s="104" t="s">
        <v>642</v>
      </c>
      <c r="E535" s="10" t="s">
        <v>643</v>
      </c>
      <c r="G535" s="10" t="s">
        <v>1687</v>
      </c>
      <c r="H535" s="10" t="s">
        <v>1602</v>
      </c>
      <c r="J535" s="10">
        <v>0</v>
      </c>
      <c r="K535" s="10">
        <v>40</v>
      </c>
      <c r="L535" s="10" t="s">
        <v>64</v>
      </c>
      <c r="M535" s="10" t="s">
        <v>26</v>
      </c>
      <c r="O535" s="10" t="s">
        <v>215</v>
      </c>
      <c r="P535" s="10">
        <v>0</v>
      </c>
      <c r="Q535" s="10" t="s">
        <v>1688</v>
      </c>
      <c r="R535" s="136">
        <v>100</v>
      </c>
      <c r="S535" s="105">
        <f t="shared" si="136"/>
        <v>0</v>
      </c>
      <c r="T535" s="105">
        <v>0</v>
      </c>
      <c r="U535" s="105">
        <v>0</v>
      </c>
      <c r="V535" s="136">
        <f>(10+12)/2</f>
        <v>11</v>
      </c>
      <c r="W535" s="157">
        <f t="shared" si="137"/>
        <v>89</v>
      </c>
      <c r="X535" s="106">
        <v>0</v>
      </c>
      <c r="Y535" s="106">
        <f t="shared" si="138"/>
        <v>0</v>
      </c>
      <c r="Z535" s="106">
        <v>0</v>
      </c>
      <c r="AA535" s="156">
        <v>0</v>
      </c>
      <c r="AB535" s="106">
        <f t="shared" si="139"/>
        <v>0</v>
      </c>
      <c r="AC535" s="137">
        <v>0</v>
      </c>
      <c r="AD535" s="106">
        <v>0</v>
      </c>
      <c r="AE535" s="106">
        <f t="shared" si="140"/>
        <v>0</v>
      </c>
      <c r="AF535" s="137">
        <v>0</v>
      </c>
      <c r="AG535" s="10" t="s">
        <v>69</v>
      </c>
      <c r="AH535" s="10" t="s">
        <v>1298</v>
      </c>
      <c r="AI535" s="107"/>
      <c r="AJ535" s="107"/>
      <c r="AN535" s="31"/>
      <c r="AO535" s="31"/>
      <c r="AP535" s="31"/>
      <c r="AQ535" s="31"/>
      <c r="AW535" s="31"/>
      <c r="AX535" s="31"/>
      <c r="AY535" s="31"/>
      <c r="AZ535" s="31"/>
    </row>
    <row r="536" spans="1:52" s="10" customFormat="1">
      <c r="A536" s="10" t="s">
        <v>1693</v>
      </c>
      <c r="B536" s="103" t="s">
        <v>1694</v>
      </c>
      <c r="C536" s="104" t="s">
        <v>162</v>
      </c>
      <c r="D536" s="104" t="s">
        <v>60</v>
      </c>
      <c r="E536" s="10" t="s">
        <v>643</v>
      </c>
      <c r="G536" s="10" t="s">
        <v>1687</v>
      </c>
      <c r="H536" s="10" t="s">
        <v>1602</v>
      </c>
      <c r="J536" s="10">
        <v>100</v>
      </c>
      <c r="K536" s="10">
        <v>200</v>
      </c>
      <c r="L536" s="10" t="s">
        <v>64</v>
      </c>
      <c r="M536" s="10" t="s">
        <v>26</v>
      </c>
      <c r="N536" s="10" t="s">
        <v>1695</v>
      </c>
      <c r="O536" s="10" t="s">
        <v>215</v>
      </c>
      <c r="P536" s="10">
        <v>0</v>
      </c>
      <c r="Q536" s="10" t="s">
        <v>1696</v>
      </c>
      <c r="R536" s="136">
        <v>100</v>
      </c>
      <c r="S536" s="105">
        <f t="shared" si="136"/>
        <v>0</v>
      </c>
      <c r="T536" s="105">
        <v>0</v>
      </c>
      <c r="U536" s="105">
        <v>0</v>
      </c>
      <c r="V536" s="136">
        <v>13.5</v>
      </c>
      <c r="W536" s="157">
        <f t="shared" si="137"/>
        <v>86.5</v>
      </c>
      <c r="X536" s="106">
        <v>0</v>
      </c>
      <c r="Y536" s="106">
        <f t="shared" si="138"/>
        <v>0</v>
      </c>
      <c r="Z536" s="106">
        <v>0</v>
      </c>
      <c r="AA536" s="156">
        <v>0</v>
      </c>
      <c r="AB536" s="106">
        <f t="shared" si="139"/>
        <v>0</v>
      </c>
      <c r="AC536" s="137">
        <v>0</v>
      </c>
      <c r="AD536" s="106">
        <v>0</v>
      </c>
      <c r="AE536" s="106">
        <f t="shared" si="140"/>
        <v>0</v>
      </c>
      <c r="AF536" s="137">
        <v>0</v>
      </c>
      <c r="AG536" s="10" t="s">
        <v>69</v>
      </c>
      <c r="AH536" s="10" t="s">
        <v>1298</v>
      </c>
      <c r="AI536" s="107"/>
      <c r="AJ536" s="107"/>
      <c r="AN536" s="31"/>
      <c r="AO536" s="31"/>
      <c r="AP536" s="31"/>
      <c r="AQ536" s="31"/>
      <c r="AW536" s="31"/>
      <c r="AX536" s="31"/>
      <c r="AY536" s="31"/>
      <c r="AZ536" s="31"/>
    </row>
    <row r="537" spans="1:52" s="10" customFormat="1">
      <c r="A537" s="10" t="s">
        <v>1697</v>
      </c>
      <c r="B537" s="103" t="s">
        <v>1698</v>
      </c>
      <c r="C537" s="104" t="s">
        <v>162</v>
      </c>
      <c r="D537" s="104" t="s">
        <v>60</v>
      </c>
      <c r="E537" s="10" t="s">
        <v>643</v>
      </c>
      <c r="G537" s="10" t="s">
        <v>1687</v>
      </c>
      <c r="H537" s="10" t="s">
        <v>1602</v>
      </c>
      <c r="J537" s="10">
        <v>40</v>
      </c>
      <c r="K537" s="10">
        <v>100</v>
      </c>
      <c r="L537" s="10" t="s">
        <v>64</v>
      </c>
      <c r="M537" s="10" t="s">
        <v>26</v>
      </c>
      <c r="N537" s="10" t="s">
        <v>1695</v>
      </c>
      <c r="O537" s="10" t="s">
        <v>215</v>
      </c>
      <c r="P537" s="10">
        <v>0</v>
      </c>
      <c r="Q537" s="10" t="s">
        <v>1696</v>
      </c>
      <c r="R537" s="136">
        <v>100</v>
      </c>
      <c r="S537" s="105">
        <f t="shared" si="136"/>
        <v>0</v>
      </c>
      <c r="T537" s="105">
        <v>0</v>
      </c>
      <c r="U537" s="105">
        <v>0</v>
      </c>
      <c r="V537" s="136">
        <v>13.5</v>
      </c>
      <c r="W537" s="157">
        <f t="shared" si="137"/>
        <v>86.5</v>
      </c>
      <c r="X537" s="106">
        <v>0</v>
      </c>
      <c r="Y537" s="106">
        <f t="shared" si="138"/>
        <v>0</v>
      </c>
      <c r="Z537" s="106">
        <v>0</v>
      </c>
      <c r="AA537" s="156">
        <v>0</v>
      </c>
      <c r="AB537" s="106">
        <f t="shared" si="139"/>
        <v>0</v>
      </c>
      <c r="AC537" s="137">
        <v>0</v>
      </c>
      <c r="AD537" s="106">
        <v>0</v>
      </c>
      <c r="AE537" s="106">
        <f t="shared" si="140"/>
        <v>0</v>
      </c>
      <c r="AF537" s="137">
        <v>0</v>
      </c>
      <c r="AG537" s="10" t="s">
        <v>69</v>
      </c>
      <c r="AH537" s="10" t="s">
        <v>1298</v>
      </c>
      <c r="AI537" s="107"/>
      <c r="AJ537" s="107"/>
      <c r="AN537" s="31"/>
      <c r="AO537" s="31"/>
      <c r="AP537" s="31"/>
      <c r="AQ537" s="31"/>
      <c r="AW537" s="31"/>
      <c r="AX537" s="31"/>
      <c r="AY537" s="31"/>
      <c r="AZ537" s="31"/>
    </row>
    <row r="538" spans="1:52" s="10" customFormat="1">
      <c r="A538" s="10" t="s">
        <v>1699</v>
      </c>
      <c r="B538" s="103" t="s">
        <v>1700</v>
      </c>
      <c r="C538" s="104" t="s">
        <v>162</v>
      </c>
      <c r="D538" s="104" t="s">
        <v>60</v>
      </c>
      <c r="E538" s="10" t="s">
        <v>643</v>
      </c>
      <c r="G538" s="10" t="s">
        <v>1687</v>
      </c>
      <c r="H538" s="10" t="s">
        <v>1602</v>
      </c>
      <c r="J538" s="10">
        <v>0</v>
      </c>
      <c r="K538" s="10">
        <v>40</v>
      </c>
      <c r="L538" s="10" t="s">
        <v>64</v>
      </c>
      <c r="M538" s="10" t="s">
        <v>26</v>
      </c>
      <c r="N538" s="10" t="s">
        <v>1695</v>
      </c>
      <c r="O538" s="10" t="s">
        <v>215</v>
      </c>
      <c r="P538" s="10">
        <v>0</v>
      </c>
      <c r="Q538" s="10" t="s">
        <v>1696</v>
      </c>
      <c r="R538" s="136">
        <v>100</v>
      </c>
      <c r="S538" s="105">
        <f t="shared" si="136"/>
        <v>0</v>
      </c>
      <c r="T538" s="105">
        <v>0</v>
      </c>
      <c r="U538" s="105">
        <v>0</v>
      </c>
      <c r="V538" s="136">
        <v>13.5</v>
      </c>
      <c r="W538" s="157">
        <f t="shared" si="137"/>
        <v>86.5</v>
      </c>
      <c r="X538" s="106">
        <v>0</v>
      </c>
      <c r="Y538" s="106">
        <f t="shared" si="138"/>
        <v>0</v>
      </c>
      <c r="Z538" s="106">
        <v>0</v>
      </c>
      <c r="AA538" s="156">
        <v>0</v>
      </c>
      <c r="AB538" s="106">
        <f t="shared" si="139"/>
        <v>0</v>
      </c>
      <c r="AC538" s="137">
        <v>0</v>
      </c>
      <c r="AD538" s="106">
        <v>0</v>
      </c>
      <c r="AE538" s="106">
        <f t="shared" si="140"/>
        <v>0</v>
      </c>
      <c r="AF538" s="137">
        <v>0</v>
      </c>
      <c r="AG538" s="10" t="s">
        <v>69</v>
      </c>
      <c r="AH538" s="10" t="s">
        <v>1298</v>
      </c>
      <c r="AI538" s="107"/>
      <c r="AJ538" s="107"/>
      <c r="AN538" s="31"/>
      <c r="AO538" s="31"/>
      <c r="AP538" s="31"/>
      <c r="AQ538" s="31"/>
      <c r="AW538" s="31"/>
      <c r="AX538" s="31"/>
      <c r="AY538" s="31"/>
      <c r="AZ538" s="31"/>
    </row>
    <row r="539" spans="1:52" s="10" customFormat="1">
      <c r="A539" s="10" t="s">
        <v>1701</v>
      </c>
      <c r="B539" s="103" t="s">
        <v>1702</v>
      </c>
      <c r="C539" s="104" t="s">
        <v>352</v>
      </c>
      <c r="D539" s="104" t="s">
        <v>642</v>
      </c>
      <c r="E539" s="10" t="s">
        <v>643</v>
      </c>
      <c r="G539" s="10" t="s">
        <v>1598</v>
      </c>
      <c r="H539" s="10" t="s">
        <v>1602</v>
      </c>
      <c r="J539" s="10">
        <v>45</v>
      </c>
      <c r="K539" s="10">
        <v>90</v>
      </c>
      <c r="L539" s="10" t="s">
        <v>64</v>
      </c>
      <c r="M539" s="10" t="s">
        <v>26</v>
      </c>
      <c r="N539" s="10" t="s">
        <v>1196</v>
      </c>
      <c r="O539" s="10" t="s">
        <v>957</v>
      </c>
      <c r="P539" s="10">
        <v>369</v>
      </c>
      <c r="Q539" s="10" t="s">
        <v>1703</v>
      </c>
      <c r="R539" s="136">
        <v>100</v>
      </c>
      <c r="S539" s="105">
        <f t="shared" si="136"/>
        <v>0</v>
      </c>
      <c r="T539" s="105">
        <v>0</v>
      </c>
      <c r="U539" s="105">
        <v>0</v>
      </c>
      <c r="V539" s="156">
        <f>INDEX(Chemical_analyses!$A:$L, MATCH($P539, Chemical_analyses!$A:$A), 9)/$R$2/(INDEX(Chemical_analyses!$A:$L, MATCH($P539, Chemical_analyses!$A:$A), 9)/$R$2+INDEX(Chemical_analyses!$A:$L, MATCH($P539, Chemical_analyses!$A:$A), 11)/$S$2)*100</f>
        <v>14.410715171884696</v>
      </c>
      <c r="W539" s="157">
        <f t="shared" si="137"/>
        <v>85.589284828115296</v>
      </c>
      <c r="X539" s="106">
        <v>0</v>
      </c>
      <c r="Y539" s="106">
        <f t="shared" si="138"/>
        <v>0</v>
      </c>
      <c r="Z539" s="106">
        <v>0</v>
      </c>
      <c r="AA539" s="156">
        <v>0</v>
      </c>
      <c r="AB539" s="106">
        <f t="shared" si="139"/>
        <v>0</v>
      </c>
      <c r="AC539" s="137">
        <v>0</v>
      </c>
      <c r="AD539" s="106">
        <v>0</v>
      </c>
      <c r="AE539" s="106">
        <f t="shared" si="140"/>
        <v>0</v>
      </c>
      <c r="AF539" s="137">
        <v>0</v>
      </c>
      <c r="AG539" s="10" t="s">
        <v>69</v>
      </c>
      <c r="AH539" s="107" t="str">
        <f>_xlfn.CONCAT("FeO: ", INDEX(Chemical_analyses!$A:$M, MATCH($P539, Chemical_analyses!$A:$A), 9), ", MgO: ", INDEX(Chemical_analyses!$A:$M, MATCH($P539, Chemical_analyses!$A:$A), 11), ", CaO: ", INDEX(Chemical_analyses!$A:$M, MATCH($P539, Chemical_analyses!$A:$A), 12), ", MnO: ", INDEX(Chemical_analyses!$A:$M, MATCH($P539, Chemical_analyses!$A:$A), 10), ", NaO2: ", INDEX(Chemical_analyses!$A:$M, MATCH($P539, Chemical_analyses!$A:$A), 13), ", Fe2O3: ", INDEX(Chemical_analyses!$A:$M, MATCH($P539, Chemical_analyses!$A:$A), 8), ", Al2O3: ", INDEX(Chemical_analyses!$A:$M, MATCH($P539, Chemical_analyses!$A:$A), 6))</f>
        <v>FeO: 13.92, MgO: 46.38, CaO: 0.13, MnO: 0.23, NaO2: 0, Fe2O3: 0, Al2O3: 0</v>
      </c>
      <c r="AI539" s="107"/>
      <c r="AJ539" s="107"/>
      <c r="AN539" s="31"/>
      <c r="AO539" s="31"/>
      <c r="AP539" s="31"/>
      <c r="AQ539" s="31"/>
      <c r="AW539" s="31"/>
      <c r="AX539" s="31"/>
      <c r="AY539" s="31"/>
      <c r="AZ539" s="31"/>
    </row>
    <row r="540" spans="1:52" s="10" customFormat="1">
      <c r="A540" s="10" t="s">
        <v>1704</v>
      </c>
      <c r="B540" s="103" t="s">
        <v>1705</v>
      </c>
      <c r="C540" s="104" t="s">
        <v>352</v>
      </c>
      <c r="D540" s="104" t="s">
        <v>642</v>
      </c>
      <c r="E540" s="10" t="s">
        <v>643</v>
      </c>
      <c r="G540" s="10" t="s">
        <v>1598</v>
      </c>
      <c r="H540" s="10" t="s">
        <v>1602</v>
      </c>
      <c r="J540" s="10">
        <v>45</v>
      </c>
      <c r="K540" s="10">
        <v>90</v>
      </c>
      <c r="L540" s="10" t="s">
        <v>64</v>
      </c>
      <c r="M540" s="10" t="s">
        <v>26</v>
      </c>
      <c r="N540" s="10" t="s">
        <v>1706</v>
      </c>
      <c r="O540" s="10" t="s">
        <v>957</v>
      </c>
      <c r="P540" s="10">
        <v>370</v>
      </c>
      <c r="Q540" s="10" t="s">
        <v>1707</v>
      </c>
      <c r="R540" s="136">
        <v>100</v>
      </c>
      <c r="S540" s="105">
        <f t="shared" si="136"/>
        <v>0</v>
      </c>
      <c r="T540" s="105">
        <v>0</v>
      </c>
      <c r="U540" s="105">
        <v>0</v>
      </c>
      <c r="V540" s="156">
        <f>INDEX(Chemical_analyses!$A:$L, MATCH($P540, Chemical_analyses!$A:$A), 9)/$R$2/(INDEX(Chemical_analyses!$A:$L, MATCH($P540, Chemical_analyses!$A:$A), 9)/$R$2+INDEX(Chemical_analyses!$A:$L, MATCH($P540, Chemical_analyses!$A:$A), 11)/$S$2)*100</f>
        <v>9.7781401108635624</v>
      </c>
      <c r="W540" s="157">
        <f t="shared" si="137"/>
        <v>90.221859889136439</v>
      </c>
      <c r="X540" s="106">
        <v>0</v>
      </c>
      <c r="Y540" s="106">
        <f t="shared" si="138"/>
        <v>0</v>
      </c>
      <c r="Z540" s="106">
        <v>0</v>
      </c>
      <c r="AA540" s="156">
        <v>0</v>
      </c>
      <c r="AB540" s="106">
        <f t="shared" si="139"/>
        <v>0</v>
      </c>
      <c r="AC540" s="137">
        <v>0</v>
      </c>
      <c r="AD540" s="106">
        <v>0</v>
      </c>
      <c r="AE540" s="106">
        <f t="shared" si="140"/>
        <v>0</v>
      </c>
      <c r="AF540" s="137">
        <v>0</v>
      </c>
      <c r="AG540" s="10" t="s">
        <v>69</v>
      </c>
      <c r="AH540" s="107" t="str">
        <f>_xlfn.CONCAT("FeO: ", INDEX(Chemical_analyses!$A:$M, MATCH($P540, Chemical_analyses!$A:$A), 9), ", MgO: ", INDEX(Chemical_analyses!$A:$M, MATCH($P540, Chemical_analyses!$A:$A), 11), ", CaO: ", INDEX(Chemical_analyses!$A:$M, MATCH($P540, Chemical_analyses!$A:$A), 12), ", MnO: ", INDEX(Chemical_analyses!$A:$M, MATCH($P540, Chemical_analyses!$A:$A), 10), ", NaO2: ", INDEX(Chemical_analyses!$A:$M, MATCH($P540, Chemical_analyses!$A:$A), 13), ", Fe2O3: ", INDEX(Chemical_analyses!$A:$M, MATCH($P540, Chemical_analyses!$A:$A), 8), ", Al2O3: ", INDEX(Chemical_analyses!$A:$M, MATCH($P540, Chemical_analyses!$A:$A), 6))</f>
        <v>FeO: 9.59, MgO: 49.64, CaO: 0, MnO: 0.09, NaO2: 0, Fe2O3: 0, Al2O3: 0</v>
      </c>
      <c r="AI540" s="107"/>
      <c r="AJ540" s="107"/>
      <c r="AN540" s="31"/>
      <c r="AO540" s="31"/>
      <c r="AP540" s="31"/>
      <c r="AQ540" s="31"/>
      <c r="AW540" s="31"/>
      <c r="AX540" s="31"/>
      <c r="AY540" s="31"/>
      <c r="AZ540" s="31"/>
    </row>
    <row r="541" spans="1:52" s="10" customFormat="1">
      <c r="A541" s="10" t="s">
        <v>1708</v>
      </c>
      <c r="B541" s="103" t="s">
        <v>1709</v>
      </c>
      <c r="C541" s="104" t="s">
        <v>352</v>
      </c>
      <c r="D541" s="104" t="s">
        <v>642</v>
      </c>
      <c r="E541" s="10" t="s">
        <v>643</v>
      </c>
      <c r="G541" s="10" t="s">
        <v>1598</v>
      </c>
      <c r="H541" s="10" t="s">
        <v>1602</v>
      </c>
      <c r="J541" s="10">
        <v>45</v>
      </c>
      <c r="K541" s="10">
        <v>90</v>
      </c>
      <c r="L541" s="10" t="s">
        <v>64</v>
      </c>
      <c r="M541" s="10" t="s">
        <v>26</v>
      </c>
      <c r="N541" s="10" t="s">
        <v>1710</v>
      </c>
      <c r="O541" s="10" t="s">
        <v>957</v>
      </c>
      <c r="P541" s="10">
        <v>372</v>
      </c>
      <c r="Q541" s="10" t="s">
        <v>1711</v>
      </c>
      <c r="R541" s="136">
        <v>100</v>
      </c>
      <c r="S541" s="105">
        <f t="shared" si="136"/>
        <v>0</v>
      </c>
      <c r="T541" s="105">
        <v>0</v>
      </c>
      <c r="U541" s="105">
        <v>0</v>
      </c>
      <c r="V541" s="156">
        <f>INDEX(Chemical_analyses!$A:$L, MATCH($P541, Chemical_analyses!$A:$A), 9)/$R$2/(INDEX(Chemical_analyses!$A:$L, MATCH($P541, Chemical_analyses!$A:$A), 9)/$R$2+INDEX(Chemical_analyses!$A:$L, MATCH($P541, Chemical_analyses!$A:$A), 11)/$S$2)*100</f>
        <v>9.4776178671198572</v>
      </c>
      <c r="W541" s="157">
        <f t="shared" si="137"/>
        <v>90.522382132880139</v>
      </c>
      <c r="X541" s="106">
        <v>0</v>
      </c>
      <c r="Y541" s="106">
        <f t="shared" si="138"/>
        <v>0</v>
      </c>
      <c r="Z541" s="106">
        <v>0</v>
      </c>
      <c r="AA541" s="156">
        <v>0</v>
      </c>
      <c r="AB541" s="106">
        <f t="shared" si="139"/>
        <v>0</v>
      </c>
      <c r="AC541" s="137">
        <v>0</v>
      </c>
      <c r="AD541" s="106">
        <v>0</v>
      </c>
      <c r="AE541" s="106">
        <f t="shared" si="140"/>
        <v>0</v>
      </c>
      <c r="AF541" s="137">
        <v>0</v>
      </c>
      <c r="AG541" s="10" t="s">
        <v>69</v>
      </c>
      <c r="AH541" s="107" t="str">
        <f>_xlfn.CONCAT("FeO: ", INDEX(Chemical_analyses!$A:$M, MATCH($P541, Chemical_analyses!$A:$A), 9), ", MgO: ", INDEX(Chemical_analyses!$A:$M, MATCH($P541, Chemical_analyses!$A:$A), 11), ", CaO: ", INDEX(Chemical_analyses!$A:$M, MATCH($P541, Chemical_analyses!$A:$A), 12), ", MnO: ", INDEX(Chemical_analyses!$A:$M, MATCH($P541, Chemical_analyses!$A:$A), 10), ", NaO2: ", INDEX(Chemical_analyses!$A:$M, MATCH($P541, Chemical_analyses!$A:$A), 13), ", Fe2O3: ", INDEX(Chemical_analyses!$A:$M, MATCH($P541, Chemical_analyses!$A:$A), 8), ", Al2O3: ", INDEX(Chemical_analyses!$A:$M, MATCH($P541, Chemical_analyses!$A:$A), 6))</f>
        <v>FeO: 9.27, MgO: 49.67, CaO: 0.09, MnO: 0.13, NaO2: 0, Fe2O3: 0, Al2O3: 0.01</v>
      </c>
      <c r="AI541" s="107"/>
      <c r="AJ541" s="107"/>
      <c r="AN541" s="31"/>
      <c r="AO541" s="31"/>
      <c r="AP541" s="31"/>
      <c r="AQ541" s="31"/>
      <c r="AW541" s="31"/>
      <c r="AX541" s="31"/>
      <c r="AY541" s="31"/>
      <c r="AZ541" s="31"/>
    </row>
    <row r="542" spans="1:52" s="10" customFormat="1">
      <c r="A542" s="10" t="s">
        <v>1712</v>
      </c>
      <c r="B542" s="103" t="s">
        <v>1713</v>
      </c>
      <c r="C542" s="104" t="s">
        <v>352</v>
      </c>
      <c r="D542" s="104" t="s">
        <v>642</v>
      </c>
      <c r="E542" s="10" t="s">
        <v>643</v>
      </c>
      <c r="G542" s="10" t="s">
        <v>1598</v>
      </c>
      <c r="H542" s="10" t="s">
        <v>1602</v>
      </c>
      <c r="J542" s="10">
        <v>45</v>
      </c>
      <c r="K542" s="10">
        <v>90</v>
      </c>
      <c r="L542" s="10" t="s">
        <v>64</v>
      </c>
      <c r="M542" s="10" t="s">
        <v>26</v>
      </c>
      <c r="N542" s="10" t="s">
        <v>1714</v>
      </c>
      <c r="O542" s="10" t="s">
        <v>957</v>
      </c>
      <c r="P542" s="10">
        <v>374</v>
      </c>
      <c r="Q542" s="10" t="s">
        <v>1715</v>
      </c>
      <c r="R542" s="136">
        <v>100</v>
      </c>
      <c r="S542" s="105">
        <f t="shared" si="136"/>
        <v>0</v>
      </c>
      <c r="T542" s="105">
        <v>0</v>
      </c>
      <c r="U542" s="105">
        <v>0</v>
      </c>
      <c r="V542" s="156">
        <f>INDEX(Chemical_analyses!$A:$L, MATCH($P542, Chemical_analyses!$A:$A), 9)/$R$2/(INDEX(Chemical_analyses!$A:$L, MATCH($P542, Chemical_analyses!$A:$A), 9)/$R$2+INDEX(Chemical_analyses!$A:$L, MATCH($P542, Chemical_analyses!$A:$A), 11)/$S$2)*100</f>
        <v>14.331671269621285</v>
      </c>
      <c r="W542" s="157">
        <f t="shared" si="137"/>
        <v>85.668328730378718</v>
      </c>
      <c r="X542" s="106">
        <v>0</v>
      </c>
      <c r="Y542" s="106">
        <f t="shared" si="138"/>
        <v>0</v>
      </c>
      <c r="Z542" s="106">
        <v>0</v>
      </c>
      <c r="AA542" s="156">
        <v>0</v>
      </c>
      <c r="AB542" s="106">
        <f t="shared" si="139"/>
        <v>0</v>
      </c>
      <c r="AC542" s="137">
        <v>0</v>
      </c>
      <c r="AD542" s="106">
        <v>0</v>
      </c>
      <c r="AE542" s="106">
        <f t="shared" si="140"/>
        <v>0</v>
      </c>
      <c r="AF542" s="137">
        <v>0</v>
      </c>
      <c r="AG542" s="10" t="s">
        <v>69</v>
      </c>
      <c r="AH542" s="107" t="str">
        <f>_xlfn.CONCAT("FeO: ", INDEX(Chemical_analyses!$A:$M, MATCH($P542, Chemical_analyses!$A:$A), 9), ", MgO: ", INDEX(Chemical_analyses!$A:$M, MATCH($P542, Chemical_analyses!$A:$A), 11), ", CaO: ", INDEX(Chemical_analyses!$A:$M, MATCH($P542, Chemical_analyses!$A:$A), 12), ", MnO: ", INDEX(Chemical_analyses!$A:$M, MATCH($P542, Chemical_analyses!$A:$A), 10), ", NaO2: ", INDEX(Chemical_analyses!$A:$M, MATCH($P542, Chemical_analyses!$A:$A), 13), ", Fe2O3: ", INDEX(Chemical_analyses!$A:$M, MATCH($P542, Chemical_analyses!$A:$A), 8), ", Al2O3: ", INDEX(Chemical_analyses!$A:$M, MATCH($P542, Chemical_analyses!$A:$A), 6))</f>
        <v>FeO: 13.81, MgO: 46.31, CaO: 0.03, MnO: 0.22, NaO2: 0, Fe2O3: 0, Al2O3: 0</v>
      </c>
      <c r="AI542" s="107"/>
      <c r="AJ542" s="107"/>
      <c r="AN542" s="31"/>
      <c r="AO542" s="31"/>
      <c r="AP542" s="31"/>
      <c r="AQ542" s="31"/>
      <c r="AW542" s="31"/>
      <c r="AX542" s="31"/>
      <c r="AY542" s="31"/>
      <c r="AZ542" s="31"/>
    </row>
    <row r="543" spans="1:52" s="10" customFormat="1">
      <c r="A543" s="10" t="s">
        <v>1716</v>
      </c>
      <c r="B543" s="103" t="s">
        <v>1717</v>
      </c>
      <c r="C543" s="104" t="s">
        <v>1301</v>
      </c>
      <c r="D543" s="104" t="s">
        <v>754</v>
      </c>
      <c r="E543" s="10" t="s">
        <v>643</v>
      </c>
      <c r="G543" s="10" t="s">
        <v>1598</v>
      </c>
      <c r="H543" s="10" t="s">
        <v>1673</v>
      </c>
      <c r="J543" s="10">
        <v>0</v>
      </c>
      <c r="K543" s="10">
        <v>75</v>
      </c>
      <c r="L543" s="10" t="s">
        <v>64</v>
      </c>
      <c r="M543" s="10" t="s">
        <v>26</v>
      </c>
      <c r="N543" s="10" t="s">
        <v>1303</v>
      </c>
      <c r="O543" s="10" t="s">
        <v>1303</v>
      </c>
      <c r="P543" s="10">
        <v>0</v>
      </c>
      <c r="Q543" s="10" t="s">
        <v>1718</v>
      </c>
      <c r="R543" s="136">
        <v>100</v>
      </c>
      <c r="S543" s="105">
        <f t="shared" si="136"/>
        <v>0</v>
      </c>
      <c r="T543" s="105">
        <v>0</v>
      </c>
      <c r="U543" s="105">
        <v>0</v>
      </c>
      <c r="V543" s="136">
        <v>100</v>
      </c>
      <c r="W543" s="157">
        <f t="shared" si="137"/>
        <v>0</v>
      </c>
      <c r="X543" s="106">
        <v>0</v>
      </c>
      <c r="Y543" s="106">
        <f t="shared" si="138"/>
        <v>0</v>
      </c>
      <c r="Z543" s="106">
        <v>0</v>
      </c>
      <c r="AA543" s="156">
        <v>0</v>
      </c>
      <c r="AB543" s="106">
        <f t="shared" si="139"/>
        <v>0</v>
      </c>
      <c r="AC543" s="137">
        <v>0</v>
      </c>
      <c r="AD543" s="106">
        <v>0</v>
      </c>
      <c r="AE543" s="106">
        <f t="shared" si="140"/>
        <v>0</v>
      </c>
      <c r="AF543" s="137">
        <v>0</v>
      </c>
      <c r="AG543" s="10" t="s">
        <v>69</v>
      </c>
      <c r="AH543" s="10" t="s">
        <v>1014</v>
      </c>
      <c r="AI543" s="107"/>
      <c r="AJ543" s="107"/>
      <c r="AN543" s="31"/>
      <c r="AO543" s="31"/>
      <c r="AP543" s="31"/>
      <c r="AQ543" s="31"/>
      <c r="AW543" s="31"/>
      <c r="AX543" s="31"/>
      <c r="AY543" s="31"/>
      <c r="AZ543" s="31"/>
    </row>
    <row r="544" spans="1:52" s="10" customFormat="1">
      <c r="A544" s="10" t="s">
        <v>1719</v>
      </c>
      <c r="B544" s="103" t="s">
        <v>1720</v>
      </c>
      <c r="C544" s="104" t="s">
        <v>1301</v>
      </c>
      <c r="D544" s="104" t="s">
        <v>642</v>
      </c>
      <c r="E544" s="10" t="s">
        <v>643</v>
      </c>
      <c r="G544" s="10" t="s">
        <v>1598</v>
      </c>
      <c r="H544" s="10" t="s">
        <v>1721</v>
      </c>
      <c r="J544" s="10">
        <v>0</v>
      </c>
      <c r="K544" s="10">
        <v>75</v>
      </c>
      <c r="L544" s="10" t="s">
        <v>64</v>
      </c>
      <c r="M544" s="10" t="s">
        <v>26</v>
      </c>
      <c r="N544" s="10" t="s">
        <v>1722</v>
      </c>
      <c r="O544" s="10" t="s">
        <v>1723</v>
      </c>
      <c r="P544" s="10">
        <v>0</v>
      </c>
      <c r="Q544" s="10" t="s">
        <v>1724</v>
      </c>
      <c r="R544" s="136">
        <v>100</v>
      </c>
      <c r="S544" s="105">
        <f t="shared" si="136"/>
        <v>0</v>
      </c>
      <c r="T544" s="105">
        <v>0</v>
      </c>
      <c r="U544" s="105">
        <v>0</v>
      </c>
      <c r="V544" s="136">
        <v>50</v>
      </c>
      <c r="W544" s="157">
        <f t="shared" si="137"/>
        <v>50</v>
      </c>
      <c r="X544" s="106">
        <v>0</v>
      </c>
      <c r="Y544" s="106">
        <f t="shared" si="138"/>
        <v>0</v>
      </c>
      <c r="Z544" s="106">
        <v>0</v>
      </c>
      <c r="AA544" s="156">
        <v>0</v>
      </c>
      <c r="AB544" s="106">
        <f t="shared" si="139"/>
        <v>0</v>
      </c>
      <c r="AC544" s="137">
        <v>0</v>
      </c>
      <c r="AD544" s="106">
        <v>0</v>
      </c>
      <c r="AE544" s="106">
        <f t="shared" si="140"/>
        <v>0</v>
      </c>
      <c r="AF544" s="137">
        <v>0</v>
      </c>
      <c r="AG544" s="10" t="s">
        <v>69</v>
      </c>
      <c r="AH544" s="10" t="s">
        <v>1176</v>
      </c>
      <c r="AI544" s="107"/>
      <c r="AJ544" s="107"/>
      <c r="AN544" s="31"/>
      <c r="AO544" s="31"/>
      <c r="AP544" s="31"/>
      <c r="AQ544" s="31"/>
      <c r="AW544" s="31"/>
      <c r="AX544" s="31"/>
      <c r="AY544" s="31"/>
      <c r="AZ544" s="31"/>
    </row>
    <row r="545" spans="1:52" s="10" customFormat="1">
      <c r="A545" s="10" t="s">
        <v>1725</v>
      </c>
      <c r="B545" s="103" t="s">
        <v>1726</v>
      </c>
      <c r="C545" s="104" t="s">
        <v>1301</v>
      </c>
      <c r="D545" s="104" t="s">
        <v>642</v>
      </c>
      <c r="E545" s="10" t="s">
        <v>643</v>
      </c>
      <c r="G545" s="10" t="s">
        <v>1598</v>
      </c>
      <c r="H545" s="10" t="s">
        <v>1727</v>
      </c>
      <c r="J545" s="10">
        <v>0</v>
      </c>
      <c r="K545" s="10">
        <v>45</v>
      </c>
      <c r="L545" s="10" t="s">
        <v>64</v>
      </c>
      <c r="M545" s="10" t="s">
        <v>26</v>
      </c>
      <c r="N545" s="10" t="s">
        <v>1728</v>
      </c>
      <c r="O545" s="10" t="s">
        <v>1729</v>
      </c>
      <c r="P545" s="10">
        <v>0</v>
      </c>
      <c r="R545" s="136">
        <v>100</v>
      </c>
      <c r="S545" s="105">
        <f t="shared" si="136"/>
        <v>0</v>
      </c>
      <c r="T545" s="105">
        <v>0</v>
      </c>
      <c r="U545" s="105">
        <v>0</v>
      </c>
      <c r="V545" s="136">
        <f>35.55/$R$2/(35.55/$R$2 + 22/$S$2)*100</f>
        <v>47.548250878284257</v>
      </c>
      <c r="W545" s="157">
        <f t="shared" si="137"/>
        <v>52.451749121715743</v>
      </c>
      <c r="X545" s="106">
        <v>0</v>
      </c>
      <c r="Y545" s="106">
        <f t="shared" si="138"/>
        <v>0</v>
      </c>
      <c r="Z545" s="106">
        <v>0</v>
      </c>
      <c r="AA545" s="156">
        <v>0</v>
      </c>
      <c r="AB545" s="106">
        <f t="shared" si="139"/>
        <v>0</v>
      </c>
      <c r="AC545" s="137">
        <v>0</v>
      </c>
      <c r="AD545" s="106">
        <v>0</v>
      </c>
      <c r="AE545" s="106">
        <f t="shared" si="140"/>
        <v>0</v>
      </c>
      <c r="AF545" s="137">
        <v>0</v>
      </c>
      <c r="AG545" s="10" t="s">
        <v>69</v>
      </c>
      <c r="AH545" s="109" t="s">
        <v>1730</v>
      </c>
      <c r="AI545" s="107"/>
      <c r="AJ545" s="107"/>
      <c r="AN545" s="31"/>
      <c r="AO545" s="31"/>
      <c r="AP545" s="31"/>
      <c r="AQ545" s="31"/>
      <c r="AW545" s="31"/>
      <c r="AX545" s="31"/>
      <c r="AY545" s="31"/>
      <c r="AZ545" s="31"/>
    </row>
    <row r="546" spans="1:52" s="10" customFormat="1">
      <c r="A546" s="10" t="s">
        <v>1731</v>
      </c>
      <c r="B546" s="103" t="s">
        <v>1732</v>
      </c>
      <c r="C546" s="104" t="s">
        <v>1301</v>
      </c>
      <c r="D546" s="104" t="s">
        <v>642</v>
      </c>
      <c r="E546" s="10" t="s">
        <v>643</v>
      </c>
      <c r="G546" s="10" t="s">
        <v>1598</v>
      </c>
      <c r="H546" s="10" t="s">
        <v>1727</v>
      </c>
      <c r="J546" s="10">
        <v>45</v>
      </c>
      <c r="K546" s="10">
        <v>75</v>
      </c>
      <c r="L546" s="10" t="s">
        <v>64</v>
      </c>
      <c r="M546" s="10" t="s">
        <v>26</v>
      </c>
      <c r="N546" s="10" t="s">
        <v>1728</v>
      </c>
      <c r="O546" s="10" t="s">
        <v>1733</v>
      </c>
      <c r="P546" s="10">
        <v>0</v>
      </c>
      <c r="R546" s="136">
        <v>100</v>
      </c>
      <c r="S546" s="105">
        <f t="shared" si="136"/>
        <v>0</v>
      </c>
      <c r="T546" s="105">
        <v>0</v>
      </c>
      <c r="U546" s="105">
        <v>0</v>
      </c>
      <c r="V546" s="136">
        <f>35.55/$R$2/(35.55/$R$2 + 22/$S$2)*100</f>
        <v>47.548250878284257</v>
      </c>
      <c r="W546" s="157">
        <f t="shared" si="137"/>
        <v>52.451749121715743</v>
      </c>
      <c r="X546" s="106">
        <v>0</v>
      </c>
      <c r="Y546" s="106">
        <f t="shared" si="138"/>
        <v>0</v>
      </c>
      <c r="Z546" s="106">
        <v>0</v>
      </c>
      <c r="AA546" s="156">
        <v>0</v>
      </c>
      <c r="AB546" s="106">
        <f t="shared" si="139"/>
        <v>0</v>
      </c>
      <c r="AC546" s="137">
        <v>0</v>
      </c>
      <c r="AD546" s="106">
        <v>0</v>
      </c>
      <c r="AE546" s="106">
        <f t="shared" si="140"/>
        <v>0</v>
      </c>
      <c r="AF546" s="137">
        <v>0</v>
      </c>
      <c r="AG546" s="10" t="s">
        <v>69</v>
      </c>
      <c r="AH546" s="109" t="s">
        <v>1730</v>
      </c>
      <c r="AI546" s="107"/>
      <c r="AJ546" s="107"/>
      <c r="AN546" s="31"/>
      <c r="AO546" s="31"/>
      <c r="AP546" s="31"/>
      <c r="AQ546" s="31"/>
      <c r="AW546" s="31"/>
      <c r="AX546" s="31"/>
      <c r="AY546" s="31"/>
      <c r="AZ546" s="31"/>
    </row>
    <row r="547" spans="1:52" s="10" customFormat="1">
      <c r="A547" s="10" t="s">
        <v>1734</v>
      </c>
      <c r="B547" s="103" t="s">
        <v>1735</v>
      </c>
      <c r="C547" s="104" t="s">
        <v>162</v>
      </c>
      <c r="D547" s="104" t="s">
        <v>642</v>
      </c>
      <c r="E547" s="10" t="s">
        <v>643</v>
      </c>
      <c r="G547" s="10" t="s">
        <v>1598</v>
      </c>
      <c r="H547" s="10" t="s">
        <v>1602</v>
      </c>
      <c r="J547" s="10">
        <v>45</v>
      </c>
      <c r="K547" s="10">
        <v>75</v>
      </c>
      <c r="L547" s="10" t="s">
        <v>64</v>
      </c>
      <c r="M547" s="10" t="s">
        <v>26</v>
      </c>
      <c r="N547" s="10" t="s">
        <v>1190</v>
      </c>
      <c r="O547" s="10" t="s">
        <v>800</v>
      </c>
      <c r="P547" s="10">
        <v>0</v>
      </c>
      <c r="Q547" s="10" t="s">
        <v>1736</v>
      </c>
      <c r="R547" s="136">
        <v>100</v>
      </c>
      <c r="S547" s="105">
        <f t="shared" si="136"/>
        <v>0</v>
      </c>
      <c r="T547" s="105">
        <v>0</v>
      </c>
      <c r="U547" s="105">
        <v>0</v>
      </c>
      <c r="V547" s="136">
        <f>10.7/$R$2/(10.7/$R$2+47.2/$S$2)*100</f>
        <v>11.282577855953143</v>
      </c>
      <c r="W547" s="157">
        <f t="shared" si="137"/>
        <v>88.71742214404685</v>
      </c>
      <c r="X547" s="106">
        <v>0</v>
      </c>
      <c r="Y547" s="106">
        <f t="shared" si="138"/>
        <v>0</v>
      </c>
      <c r="Z547" s="106">
        <v>0</v>
      </c>
      <c r="AA547" s="156">
        <v>0</v>
      </c>
      <c r="AB547" s="106">
        <f t="shared" si="139"/>
        <v>0</v>
      </c>
      <c r="AC547" s="137">
        <v>0</v>
      </c>
      <c r="AD547" s="106">
        <v>0</v>
      </c>
      <c r="AE547" s="106">
        <f t="shared" si="140"/>
        <v>0</v>
      </c>
      <c r="AF547" s="137">
        <v>0</v>
      </c>
      <c r="AG547" s="10" t="s">
        <v>69</v>
      </c>
      <c r="AH547" s="10" t="s">
        <v>1737</v>
      </c>
      <c r="AI547" s="107"/>
      <c r="AJ547" s="107"/>
      <c r="AN547" s="31"/>
      <c r="AO547" s="31"/>
      <c r="AP547" s="31"/>
      <c r="AQ547" s="31"/>
      <c r="AW547" s="31"/>
      <c r="AX547" s="31"/>
      <c r="AY547" s="31"/>
      <c r="AZ547" s="31"/>
    </row>
    <row r="548" spans="1:52" s="10" customFormat="1">
      <c r="A548" s="10" t="s">
        <v>1738</v>
      </c>
      <c r="B548" s="103" t="s">
        <v>1739</v>
      </c>
      <c r="C548" s="104" t="s">
        <v>162</v>
      </c>
      <c r="D548" s="104" t="s">
        <v>642</v>
      </c>
      <c r="E548" s="10" t="s">
        <v>643</v>
      </c>
      <c r="G548" s="10" t="s">
        <v>1598</v>
      </c>
      <c r="H548" s="10" t="s">
        <v>1602</v>
      </c>
      <c r="J548" s="10">
        <v>0</v>
      </c>
      <c r="K548" s="10">
        <v>45</v>
      </c>
      <c r="L548" s="10" t="s">
        <v>64</v>
      </c>
      <c r="M548" s="10" t="s">
        <v>26</v>
      </c>
      <c r="N548" s="10" t="s">
        <v>1190</v>
      </c>
      <c r="O548" s="10" t="s">
        <v>1740</v>
      </c>
      <c r="P548" s="10">
        <v>0</v>
      </c>
      <c r="Q548" s="10" t="s">
        <v>1741</v>
      </c>
      <c r="R548" s="136">
        <v>100</v>
      </c>
      <c r="S548" s="105">
        <f t="shared" si="136"/>
        <v>0</v>
      </c>
      <c r="T548" s="105">
        <v>0</v>
      </c>
      <c r="U548" s="105">
        <v>0</v>
      </c>
      <c r="V548" s="136">
        <v>11</v>
      </c>
      <c r="W548" s="157">
        <f t="shared" si="137"/>
        <v>89</v>
      </c>
      <c r="X548" s="106">
        <v>0</v>
      </c>
      <c r="Y548" s="106">
        <v>0</v>
      </c>
      <c r="Z548" s="106">
        <v>0</v>
      </c>
      <c r="AA548" s="156">
        <v>0</v>
      </c>
      <c r="AB548" s="106">
        <v>0</v>
      </c>
      <c r="AC548" s="137">
        <v>0</v>
      </c>
      <c r="AD548" s="106">
        <v>0</v>
      </c>
      <c r="AE548" s="106">
        <v>0</v>
      </c>
      <c r="AF548" s="137">
        <v>0</v>
      </c>
      <c r="AG548" s="10" t="s">
        <v>69</v>
      </c>
      <c r="AH548" s="201" t="s">
        <v>1742</v>
      </c>
      <c r="AI548" s="107"/>
      <c r="AJ548" s="107"/>
      <c r="AN548" s="31"/>
      <c r="AO548" s="31"/>
      <c r="AP548" s="31"/>
      <c r="AQ548" s="31"/>
      <c r="AW548" s="31"/>
      <c r="AX548" s="31"/>
      <c r="AY548" s="31"/>
      <c r="AZ548" s="31"/>
    </row>
    <row r="549" spans="1:52" s="10" customFormat="1">
      <c r="A549" s="10" t="s">
        <v>1743</v>
      </c>
      <c r="B549" s="103" t="s">
        <v>1744</v>
      </c>
      <c r="C549" s="104" t="s">
        <v>162</v>
      </c>
      <c r="D549" s="104" t="s">
        <v>642</v>
      </c>
      <c r="E549" s="10" t="s">
        <v>643</v>
      </c>
      <c r="G549" s="10" t="s">
        <v>1598</v>
      </c>
      <c r="H549" s="10" t="s">
        <v>1602</v>
      </c>
      <c r="J549" s="10">
        <v>0</v>
      </c>
      <c r="K549" s="10">
        <v>250</v>
      </c>
      <c r="L549" s="10" t="s">
        <v>64</v>
      </c>
      <c r="M549" s="10" t="s">
        <v>26</v>
      </c>
      <c r="N549" s="10" t="s">
        <v>1190</v>
      </c>
      <c r="O549" s="10" t="s">
        <v>1733</v>
      </c>
      <c r="P549" s="10">
        <v>37</v>
      </c>
      <c r="Q549" s="10" t="s">
        <v>1745</v>
      </c>
      <c r="R549" s="136">
        <v>100</v>
      </c>
      <c r="S549" s="105">
        <f t="shared" ref="S549:S612" si="141">100 - R549 - U549 - T549</f>
        <v>0</v>
      </c>
      <c r="T549" s="105">
        <v>0</v>
      </c>
      <c r="U549" s="105">
        <v>0</v>
      </c>
      <c r="V549" s="156">
        <f>INDEX(Chemical_analyses!$A:$L, MATCH($P549, Chemical_analyses!$A:$A), 9)/$R$2/(INDEX(Chemical_analyses!$A:$L, MATCH($P549, Chemical_analyses!$A:$A), 9)/$R$2+INDEX(Chemical_analyses!$A:$L, MATCH($P549, Chemical_analyses!$A:$A), 11)/$S$2)*100</f>
        <v>17.612682822477854</v>
      </c>
      <c r="W549" s="157">
        <f t="shared" ref="W549:W593" si="142">IF($R549 &gt; 0, 100 - $V549, 0)</f>
        <v>82.387317177522149</v>
      </c>
      <c r="X549" s="106">
        <v>0</v>
      </c>
      <c r="Y549" s="106">
        <f t="shared" ref="Y549:Y559" si="143">IF($S549 &gt; 0, 100 - $X549 - $Z549, 0)</f>
        <v>0</v>
      </c>
      <c r="Z549" s="106">
        <v>0</v>
      </c>
      <c r="AA549" s="156">
        <v>0</v>
      </c>
      <c r="AB549" s="106">
        <f t="shared" ref="AB549:AB559" si="144">IF($T549 &gt; 0, 100 - $AA549 - $AC549, 0)</f>
        <v>0</v>
      </c>
      <c r="AC549" s="137">
        <v>0</v>
      </c>
      <c r="AD549" s="106">
        <v>0</v>
      </c>
      <c r="AE549" s="106">
        <f t="shared" ref="AE549:AE559" si="145">IF($U549 &gt; 0, 100 - $AD549 - $AF549, 0)</f>
        <v>0</v>
      </c>
      <c r="AF549" s="137">
        <v>0</v>
      </c>
      <c r="AG549" s="10" t="s">
        <v>69</v>
      </c>
      <c r="AH549" s="107" t="str">
        <f>_xlfn.CONCAT("FeO: ", INDEX(Chemical_analyses!$A:$M, MATCH($P549, Chemical_analyses!$A:$A), 9), ", MgO: ", INDEX(Chemical_analyses!$A:$M, MATCH($P549, Chemical_analyses!$A:$A), 11), ", CaO: ", INDEX(Chemical_analyses!$A:$M, MATCH($P549, Chemical_analyses!$A:$A), 12), ", MnO: ", INDEX(Chemical_analyses!$A:$M, MATCH($P549, Chemical_analyses!$A:$A), 10), ", NaO2: ", INDEX(Chemical_analyses!$A:$M, MATCH($P549, Chemical_analyses!$A:$A), 13), ", Fe2O3: ", INDEX(Chemical_analyses!$A:$M, MATCH($P549, Chemical_analyses!$A:$A), 8), ", Al2O3: ", INDEX(Chemical_analyses!$A:$M, MATCH($P549, Chemical_analyses!$A:$A), 6))</f>
        <v>FeO: 16.63, MgO: 43.64, CaO: 0.16, MnO: 0.24, NaO2: 0.01, Fe2O3: 0, Al2O3: 0.04</v>
      </c>
      <c r="AI549" s="107"/>
      <c r="AJ549" s="107"/>
      <c r="AN549" s="31"/>
      <c r="AO549" s="31"/>
      <c r="AP549" s="31"/>
      <c r="AQ549" s="31"/>
      <c r="AW549" s="31"/>
      <c r="AX549" s="31"/>
      <c r="AY549" s="31"/>
      <c r="AZ549" s="31"/>
    </row>
    <row r="550" spans="1:52" s="10" customFormat="1">
      <c r="A550" s="10" t="s">
        <v>1746</v>
      </c>
      <c r="B550" s="103" t="s">
        <v>1744</v>
      </c>
      <c r="C550" s="104" t="s">
        <v>162</v>
      </c>
      <c r="D550" s="104" t="s">
        <v>642</v>
      </c>
      <c r="E550" s="10" t="s">
        <v>643</v>
      </c>
      <c r="G550" s="10" t="s">
        <v>1598</v>
      </c>
      <c r="H550" s="10" t="s">
        <v>1602</v>
      </c>
      <c r="J550" s="10">
        <v>0</v>
      </c>
      <c r="K550" s="10">
        <v>45</v>
      </c>
      <c r="L550" s="10" t="s">
        <v>64</v>
      </c>
      <c r="M550" s="10" t="s">
        <v>26</v>
      </c>
      <c r="N550" s="10" t="s">
        <v>1190</v>
      </c>
      <c r="O550" s="10" t="s">
        <v>1733</v>
      </c>
      <c r="P550" s="10">
        <v>37</v>
      </c>
      <c r="Q550" s="10" t="s">
        <v>1745</v>
      </c>
      <c r="R550" s="136">
        <v>100</v>
      </c>
      <c r="S550" s="105">
        <f t="shared" si="141"/>
        <v>0</v>
      </c>
      <c r="T550" s="105">
        <v>0</v>
      </c>
      <c r="U550" s="105">
        <v>0</v>
      </c>
      <c r="V550" s="156">
        <f>INDEX(Chemical_analyses!$A:$L, MATCH($P550, Chemical_analyses!$A:$A), 9)/$R$2/(INDEX(Chemical_analyses!$A:$L, MATCH($P550, Chemical_analyses!$A:$A), 9)/$R$2+INDEX(Chemical_analyses!$A:$L, MATCH($P550, Chemical_analyses!$A:$A), 11)/$S$2)*100</f>
        <v>17.612682822477854</v>
      </c>
      <c r="W550" s="157">
        <f t="shared" si="142"/>
        <v>82.387317177522149</v>
      </c>
      <c r="X550" s="106">
        <v>0</v>
      </c>
      <c r="Y550" s="106">
        <f t="shared" si="143"/>
        <v>0</v>
      </c>
      <c r="Z550" s="106">
        <v>0</v>
      </c>
      <c r="AA550" s="156">
        <v>0</v>
      </c>
      <c r="AB550" s="106">
        <f t="shared" si="144"/>
        <v>0</v>
      </c>
      <c r="AC550" s="137">
        <v>0</v>
      </c>
      <c r="AD550" s="106">
        <v>0</v>
      </c>
      <c r="AE550" s="106">
        <f t="shared" si="145"/>
        <v>0</v>
      </c>
      <c r="AF550" s="137">
        <v>0</v>
      </c>
      <c r="AG550" s="10" t="s">
        <v>69</v>
      </c>
      <c r="AH550" s="107" t="str">
        <f>_xlfn.CONCAT("FeO: ", INDEX(Chemical_analyses!$A:$M, MATCH($P550, Chemical_analyses!$A:$A), 9), ", MgO: ", INDEX(Chemical_analyses!$A:$M, MATCH($P550, Chemical_analyses!$A:$A), 11), ", CaO: ", INDEX(Chemical_analyses!$A:$M, MATCH($P550, Chemical_analyses!$A:$A), 12), ", MnO: ", INDEX(Chemical_analyses!$A:$M, MATCH($P550, Chemical_analyses!$A:$A), 10), ", NaO2: ", INDEX(Chemical_analyses!$A:$M, MATCH($P550, Chemical_analyses!$A:$A), 13), ", Fe2O3: ", INDEX(Chemical_analyses!$A:$M, MATCH($P550, Chemical_analyses!$A:$A), 8), ", Al2O3: ", INDEX(Chemical_analyses!$A:$M, MATCH($P550, Chemical_analyses!$A:$A), 6))</f>
        <v>FeO: 16.63, MgO: 43.64, CaO: 0.16, MnO: 0.24, NaO2: 0.01, Fe2O3: 0, Al2O3: 0.04</v>
      </c>
      <c r="AI550" s="107"/>
      <c r="AJ550" s="107"/>
      <c r="AK550" s="10" t="s">
        <v>1747</v>
      </c>
      <c r="AN550" s="31"/>
      <c r="AO550" s="31"/>
      <c r="AP550" s="31"/>
      <c r="AQ550" s="31"/>
      <c r="AW550" s="31"/>
      <c r="AX550" s="31"/>
      <c r="AY550" s="31"/>
      <c r="AZ550" s="31"/>
    </row>
    <row r="551" spans="1:52" s="10" customFormat="1">
      <c r="A551" s="10" t="s">
        <v>1748</v>
      </c>
      <c r="B551" s="103" t="s">
        <v>1749</v>
      </c>
      <c r="C551" s="104" t="s">
        <v>162</v>
      </c>
      <c r="D551" s="104" t="s">
        <v>642</v>
      </c>
      <c r="E551" s="10" t="s">
        <v>643</v>
      </c>
      <c r="G551" s="10" t="s">
        <v>1687</v>
      </c>
      <c r="H551" s="10" t="s">
        <v>1602</v>
      </c>
      <c r="J551" s="10">
        <v>0</v>
      </c>
      <c r="K551" s="10">
        <v>25</v>
      </c>
      <c r="L551" s="10" t="s">
        <v>64</v>
      </c>
      <c r="M551" s="10" t="s">
        <v>26</v>
      </c>
      <c r="N551" s="10" t="s">
        <v>1190</v>
      </c>
      <c r="O551" s="10" t="s">
        <v>791</v>
      </c>
      <c r="P551" s="10">
        <v>0</v>
      </c>
      <c r="Q551" s="10" t="s">
        <v>1750</v>
      </c>
      <c r="R551" s="136">
        <v>100</v>
      </c>
      <c r="S551" s="105">
        <f t="shared" si="141"/>
        <v>0</v>
      </c>
      <c r="T551" s="105">
        <v>0</v>
      </c>
      <c r="U551" s="105">
        <v>0</v>
      </c>
      <c r="V551" s="136">
        <v>11</v>
      </c>
      <c r="W551" s="157">
        <f t="shared" si="142"/>
        <v>89</v>
      </c>
      <c r="X551" s="106">
        <v>0</v>
      </c>
      <c r="Y551" s="106">
        <f t="shared" si="143"/>
        <v>0</v>
      </c>
      <c r="Z551" s="106">
        <v>0</v>
      </c>
      <c r="AA551" s="156">
        <v>0</v>
      </c>
      <c r="AB551" s="106">
        <f t="shared" si="144"/>
        <v>0</v>
      </c>
      <c r="AC551" s="137">
        <v>0</v>
      </c>
      <c r="AD551" s="106">
        <v>0</v>
      </c>
      <c r="AE551" s="106">
        <f t="shared" si="145"/>
        <v>0</v>
      </c>
      <c r="AF551" s="137">
        <v>0</v>
      </c>
      <c r="AG551" s="10" t="s">
        <v>69</v>
      </c>
      <c r="AH551" s="109" t="s">
        <v>1751</v>
      </c>
      <c r="AI551" s="107"/>
      <c r="AJ551" s="107"/>
      <c r="AN551" s="31"/>
      <c r="AO551" s="31"/>
      <c r="AP551" s="31"/>
      <c r="AQ551" s="31"/>
      <c r="AW551" s="31"/>
      <c r="AX551" s="31"/>
      <c r="AY551" s="31"/>
      <c r="AZ551" s="31"/>
    </row>
    <row r="552" spans="1:52" s="10" customFormat="1">
      <c r="A552" s="10" t="s">
        <v>1752</v>
      </c>
      <c r="B552" s="103" t="s">
        <v>1753</v>
      </c>
      <c r="C552" s="104" t="s">
        <v>162</v>
      </c>
      <c r="D552" s="104" t="s">
        <v>642</v>
      </c>
      <c r="E552" s="10" t="s">
        <v>643</v>
      </c>
      <c r="G552" s="10" t="s">
        <v>1687</v>
      </c>
      <c r="H552" s="10" t="s">
        <v>1602</v>
      </c>
      <c r="J552" s="10">
        <v>25</v>
      </c>
      <c r="K552" s="10">
        <v>75</v>
      </c>
      <c r="L552" s="10" t="s">
        <v>64</v>
      </c>
      <c r="M552" s="10" t="s">
        <v>26</v>
      </c>
      <c r="N552" s="10" t="s">
        <v>1190</v>
      </c>
      <c r="O552" s="10" t="s">
        <v>791</v>
      </c>
      <c r="P552" s="10">
        <v>0</v>
      </c>
      <c r="R552" s="136">
        <v>100</v>
      </c>
      <c r="S552" s="105">
        <f t="shared" si="141"/>
        <v>0</v>
      </c>
      <c r="T552" s="105">
        <v>0</v>
      </c>
      <c r="U552" s="105">
        <v>0</v>
      </c>
      <c r="V552" s="136">
        <v>11</v>
      </c>
      <c r="W552" s="157">
        <f t="shared" si="142"/>
        <v>89</v>
      </c>
      <c r="X552" s="106">
        <v>0</v>
      </c>
      <c r="Y552" s="106">
        <f t="shared" si="143"/>
        <v>0</v>
      </c>
      <c r="Z552" s="106">
        <v>0</v>
      </c>
      <c r="AA552" s="156">
        <v>0</v>
      </c>
      <c r="AB552" s="106">
        <f t="shared" si="144"/>
        <v>0</v>
      </c>
      <c r="AC552" s="137">
        <v>0</v>
      </c>
      <c r="AD552" s="106">
        <v>0</v>
      </c>
      <c r="AE552" s="106">
        <f t="shared" si="145"/>
        <v>0</v>
      </c>
      <c r="AF552" s="137">
        <v>0</v>
      </c>
      <c r="AG552" s="10" t="s">
        <v>69</v>
      </c>
      <c r="AH552" s="109" t="s">
        <v>1751</v>
      </c>
      <c r="AI552" s="107"/>
      <c r="AJ552" s="107"/>
      <c r="AN552" s="31"/>
      <c r="AO552" s="31"/>
      <c r="AP552" s="31"/>
      <c r="AQ552" s="31"/>
      <c r="AW552" s="31"/>
      <c r="AX552" s="31"/>
      <c r="AY552" s="31"/>
      <c r="AZ552" s="31"/>
    </row>
    <row r="553" spans="1:52" s="10" customFormat="1">
      <c r="A553" s="10" t="s">
        <v>1754</v>
      </c>
      <c r="B553" s="103" t="s">
        <v>1755</v>
      </c>
      <c r="C553" s="104" t="s">
        <v>162</v>
      </c>
      <c r="D553" s="104" t="s">
        <v>642</v>
      </c>
      <c r="E553" s="10" t="s">
        <v>643</v>
      </c>
      <c r="G553" s="10" t="s">
        <v>1687</v>
      </c>
      <c r="H553" s="10" t="s">
        <v>1602</v>
      </c>
      <c r="J553" s="10">
        <v>75</v>
      </c>
      <c r="K553" s="10">
        <v>250</v>
      </c>
      <c r="L553" s="10" t="s">
        <v>64</v>
      </c>
      <c r="M553" s="10" t="s">
        <v>26</v>
      </c>
      <c r="N553" s="10" t="s">
        <v>1190</v>
      </c>
      <c r="O553" s="10" t="s">
        <v>791</v>
      </c>
      <c r="P553" s="10">
        <v>0</v>
      </c>
      <c r="R553" s="136">
        <v>100</v>
      </c>
      <c r="S553" s="105">
        <f t="shared" si="141"/>
        <v>0</v>
      </c>
      <c r="T553" s="105">
        <v>0</v>
      </c>
      <c r="U553" s="105">
        <v>0</v>
      </c>
      <c r="V553" s="136">
        <v>11</v>
      </c>
      <c r="W553" s="157">
        <f t="shared" si="142"/>
        <v>89</v>
      </c>
      <c r="X553" s="106">
        <v>0</v>
      </c>
      <c r="Y553" s="106">
        <f t="shared" si="143"/>
        <v>0</v>
      </c>
      <c r="Z553" s="106">
        <v>0</v>
      </c>
      <c r="AA553" s="156">
        <v>0</v>
      </c>
      <c r="AB553" s="106">
        <f t="shared" si="144"/>
        <v>0</v>
      </c>
      <c r="AC553" s="137">
        <v>0</v>
      </c>
      <c r="AD553" s="106">
        <v>0</v>
      </c>
      <c r="AE553" s="106">
        <f t="shared" si="145"/>
        <v>0</v>
      </c>
      <c r="AF553" s="137">
        <v>0</v>
      </c>
      <c r="AG553" s="10" t="s">
        <v>69</v>
      </c>
      <c r="AH553" s="109" t="s">
        <v>1751</v>
      </c>
      <c r="AI553" s="107"/>
      <c r="AJ553" s="107"/>
      <c r="AN553" s="31"/>
      <c r="AO553" s="31"/>
      <c r="AP553" s="31"/>
      <c r="AQ553" s="31"/>
      <c r="AW553" s="31"/>
      <c r="AX553" s="31"/>
      <c r="AY553" s="31"/>
      <c r="AZ553" s="31"/>
    </row>
    <row r="554" spans="1:52" s="10" customFormat="1">
      <c r="A554" s="10" t="s">
        <v>1756</v>
      </c>
      <c r="B554" s="103" t="s">
        <v>1757</v>
      </c>
      <c r="C554" s="104" t="s">
        <v>162</v>
      </c>
      <c r="D554" s="104" t="s">
        <v>642</v>
      </c>
      <c r="E554" s="10" t="s">
        <v>643</v>
      </c>
      <c r="G554" s="10" t="s">
        <v>1687</v>
      </c>
      <c r="H554" s="10" t="s">
        <v>1602</v>
      </c>
      <c r="J554" s="10">
        <v>0</v>
      </c>
      <c r="K554" s="10">
        <v>25</v>
      </c>
      <c r="L554" s="10" t="s">
        <v>64</v>
      </c>
      <c r="M554" s="10" t="s">
        <v>26</v>
      </c>
      <c r="N554" s="10" t="s">
        <v>1190</v>
      </c>
      <c r="O554" s="10" t="s">
        <v>791</v>
      </c>
      <c r="P554" s="10">
        <v>0</v>
      </c>
      <c r="Q554" s="10" t="s">
        <v>1758</v>
      </c>
      <c r="R554" s="136">
        <v>100</v>
      </c>
      <c r="S554" s="105">
        <f t="shared" si="141"/>
        <v>0</v>
      </c>
      <c r="T554" s="105">
        <v>0</v>
      </c>
      <c r="U554" s="105">
        <v>0</v>
      </c>
      <c r="V554" s="136">
        <v>11</v>
      </c>
      <c r="W554" s="157">
        <f t="shared" si="142"/>
        <v>89</v>
      </c>
      <c r="X554" s="106">
        <v>0</v>
      </c>
      <c r="Y554" s="106">
        <f t="shared" si="143"/>
        <v>0</v>
      </c>
      <c r="Z554" s="106">
        <v>0</v>
      </c>
      <c r="AA554" s="156">
        <v>0</v>
      </c>
      <c r="AB554" s="106">
        <f t="shared" si="144"/>
        <v>0</v>
      </c>
      <c r="AC554" s="137">
        <v>0</v>
      </c>
      <c r="AD554" s="106">
        <v>0</v>
      </c>
      <c r="AE554" s="106">
        <f t="shared" si="145"/>
        <v>0</v>
      </c>
      <c r="AF554" s="137">
        <v>0</v>
      </c>
      <c r="AG554" s="10" t="s">
        <v>69</v>
      </c>
      <c r="AH554" s="109" t="s">
        <v>1751</v>
      </c>
      <c r="AI554" s="107"/>
      <c r="AJ554" s="107"/>
      <c r="AN554" s="31"/>
      <c r="AO554" s="31"/>
      <c r="AP554" s="31"/>
      <c r="AQ554" s="31"/>
      <c r="AW554" s="31"/>
      <c r="AX554" s="31"/>
      <c r="AY554" s="31"/>
      <c r="AZ554" s="31"/>
    </row>
    <row r="555" spans="1:52" s="10" customFormat="1">
      <c r="A555" s="10" t="s">
        <v>1759</v>
      </c>
      <c r="B555" s="103" t="s">
        <v>1760</v>
      </c>
      <c r="C555" s="104" t="s">
        <v>162</v>
      </c>
      <c r="D555" s="104" t="s">
        <v>642</v>
      </c>
      <c r="E555" s="10" t="s">
        <v>643</v>
      </c>
      <c r="G555" s="10" t="s">
        <v>1687</v>
      </c>
      <c r="H555" s="10" t="s">
        <v>1602</v>
      </c>
      <c r="J555" s="10">
        <v>0</v>
      </c>
      <c r="K555" s="10">
        <v>0</v>
      </c>
      <c r="L555" s="10" t="s">
        <v>64</v>
      </c>
      <c r="M555" s="10" t="s">
        <v>26</v>
      </c>
      <c r="N555" s="10" t="s">
        <v>1190</v>
      </c>
      <c r="O555" s="10" t="s">
        <v>791</v>
      </c>
      <c r="P555" s="10">
        <v>0</v>
      </c>
      <c r="R555" s="136">
        <v>100</v>
      </c>
      <c r="S555" s="105">
        <f t="shared" si="141"/>
        <v>0</v>
      </c>
      <c r="T555" s="105">
        <v>0</v>
      </c>
      <c r="U555" s="105">
        <v>0</v>
      </c>
      <c r="V555" s="136">
        <v>11</v>
      </c>
      <c r="W555" s="157">
        <f t="shared" si="142"/>
        <v>89</v>
      </c>
      <c r="X555" s="106">
        <v>0</v>
      </c>
      <c r="Y555" s="106">
        <f t="shared" si="143"/>
        <v>0</v>
      </c>
      <c r="Z555" s="106">
        <v>0</v>
      </c>
      <c r="AA555" s="156">
        <v>0</v>
      </c>
      <c r="AB555" s="106">
        <f t="shared" si="144"/>
        <v>0</v>
      </c>
      <c r="AC555" s="137">
        <v>0</v>
      </c>
      <c r="AD555" s="106">
        <v>0</v>
      </c>
      <c r="AE555" s="106">
        <f t="shared" si="145"/>
        <v>0</v>
      </c>
      <c r="AF555" s="137">
        <v>0</v>
      </c>
      <c r="AG555" s="10" t="s">
        <v>69</v>
      </c>
      <c r="AH555" s="109" t="s">
        <v>1751</v>
      </c>
      <c r="AI555" s="107"/>
      <c r="AJ555" s="107"/>
      <c r="AN555" s="31"/>
      <c r="AO555" s="31"/>
      <c r="AP555" s="31"/>
      <c r="AQ555" s="31"/>
      <c r="AW555" s="31"/>
      <c r="AX555" s="31"/>
      <c r="AY555" s="31"/>
      <c r="AZ555" s="31"/>
    </row>
    <row r="556" spans="1:52" s="10" customFormat="1">
      <c r="A556" s="10" t="s">
        <v>1761</v>
      </c>
      <c r="B556" s="103" t="s">
        <v>1762</v>
      </c>
      <c r="C556" s="104" t="s">
        <v>162</v>
      </c>
      <c r="D556" s="104" t="s">
        <v>642</v>
      </c>
      <c r="E556" s="10" t="s">
        <v>643</v>
      </c>
      <c r="G556" s="10" t="s">
        <v>1687</v>
      </c>
      <c r="H556" s="10" t="s">
        <v>1602</v>
      </c>
      <c r="J556" s="10">
        <v>0</v>
      </c>
      <c r="K556" s="10">
        <v>0</v>
      </c>
      <c r="L556" s="10" t="s">
        <v>64</v>
      </c>
      <c r="M556" s="10" t="s">
        <v>26</v>
      </c>
      <c r="N556" s="10" t="s">
        <v>1190</v>
      </c>
      <c r="O556" s="10" t="s">
        <v>791</v>
      </c>
      <c r="P556" s="10">
        <v>0</v>
      </c>
      <c r="R556" s="136">
        <v>100</v>
      </c>
      <c r="S556" s="105">
        <f t="shared" si="141"/>
        <v>0</v>
      </c>
      <c r="T556" s="105">
        <v>0</v>
      </c>
      <c r="U556" s="105">
        <v>0</v>
      </c>
      <c r="V556" s="136">
        <v>11</v>
      </c>
      <c r="W556" s="157">
        <f t="shared" si="142"/>
        <v>89</v>
      </c>
      <c r="X556" s="106">
        <v>0</v>
      </c>
      <c r="Y556" s="106">
        <f t="shared" si="143"/>
        <v>0</v>
      </c>
      <c r="Z556" s="106">
        <v>0</v>
      </c>
      <c r="AA556" s="156">
        <v>0</v>
      </c>
      <c r="AB556" s="106">
        <f t="shared" si="144"/>
        <v>0</v>
      </c>
      <c r="AC556" s="137">
        <v>0</v>
      </c>
      <c r="AD556" s="106">
        <v>0</v>
      </c>
      <c r="AE556" s="106">
        <f t="shared" si="145"/>
        <v>0</v>
      </c>
      <c r="AF556" s="137">
        <v>0</v>
      </c>
      <c r="AG556" s="10" t="s">
        <v>69</v>
      </c>
      <c r="AH556" s="109" t="s">
        <v>1751</v>
      </c>
      <c r="AI556" s="107"/>
      <c r="AJ556" s="107"/>
      <c r="AN556" s="31"/>
      <c r="AO556" s="31"/>
      <c r="AP556" s="31"/>
      <c r="AQ556" s="31"/>
      <c r="AW556" s="31"/>
      <c r="AX556" s="31"/>
      <c r="AY556" s="31"/>
      <c r="AZ556" s="31"/>
    </row>
    <row r="557" spans="1:52" s="10" customFormat="1">
      <c r="A557" s="10" t="s">
        <v>1763</v>
      </c>
      <c r="B557" s="103" t="s">
        <v>1764</v>
      </c>
      <c r="C557" s="104" t="s">
        <v>162</v>
      </c>
      <c r="D557" s="104" t="s">
        <v>642</v>
      </c>
      <c r="E557" s="10" t="s">
        <v>643</v>
      </c>
      <c r="G557" s="10" t="s">
        <v>1687</v>
      </c>
      <c r="H557" s="10" t="s">
        <v>1602</v>
      </c>
      <c r="J557" s="10">
        <v>0</v>
      </c>
      <c r="K557" s="10">
        <v>0</v>
      </c>
      <c r="L557" s="10" t="s">
        <v>64</v>
      </c>
      <c r="M557" s="10" t="s">
        <v>26</v>
      </c>
      <c r="N557" s="10" t="s">
        <v>1190</v>
      </c>
      <c r="O557" s="10" t="s">
        <v>791</v>
      </c>
      <c r="P557" s="10">
        <v>0</v>
      </c>
      <c r="R557" s="136">
        <v>100</v>
      </c>
      <c r="S557" s="105">
        <f t="shared" si="141"/>
        <v>0</v>
      </c>
      <c r="T557" s="105">
        <v>0</v>
      </c>
      <c r="U557" s="105">
        <v>0</v>
      </c>
      <c r="V557" s="136">
        <v>11</v>
      </c>
      <c r="W557" s="157">
        <f t="shared" si="142"/>
        <v>89</v>
      </c>
      <c r="X557" s="106">
        <v>0</v>
      </c>
      <c r="Y557" s="106">
        <f t="shared" si="143"/>
        <v>0</v>
      </c>
      <c r="Z557" s="106">
        <v>0</v>
      </c>
      <c r="AA557" s="156">
        <v>0</v>
      </c>
      <c r="AB557" s="106">
        <f t="shared" si="144"/>
        <v>0</v>
      </c>
      <c r="AC557" s="137">
        <v>0</v>
      </c>
      <c r="AD557" s="106">
        <v>0</v>
      </c>
      <c r="AE557" s="106">
        <f t="shared" si="145"/>
        <v>0</v>
      </c>
      <c r="AF557" s="137">
        <v>0</v>
      </c>
      <c r="AG557" s="10" t="s">
        <v>69</v>
      </c>
      <c r="AH557" s="109" t="s">
        <v>1751</v>
      </c>
      <c r="AI557" s="107"/>
      <c r="AJ557" s="107"/>
      <c r="AN557" s="31"/>
      <c r="AO557" s="31"/>
      <c r="AP557" s="31"/>
      <c r="AQ557" s="31"/>
      <c r="AW557" s="31"/>
      <c r="AX557" s="31"/>
      <c r="AY557" s="31"/>
      <c r="AZ557" s="31"/>
    </row>
    <row r="558" spans="1:52" s="10" customFormat="1">
      <c r="A558" s="10" t="s">
        <v>1765</v>
      </c>
      <c r="B558" s="103" t="s">
        <v>1766</v>
      </c>
      <c r="C558" s="104" t="s">
        <v>162</v>
      </c>
      <c r="D558" s="104" t="s">
        <v>642</v>
      </c>
      <c r="E558" s="10" t="s">
        <v>643</v>
      </c>
      <c r="G558" s="10" t="s">
        <v>1598</v>
      </c>
      <c r="H558" s="10" t="s">
        <v>1673</v>
      </c>
      <c r="J558" s="10">
        <v>0</v>
      </c>
      <c r="K558" s="10">
        <v>45</v>
      </c>
      <c r="L558" s="10" t="s">
        <v>64</v>
      </c>
      <c r="M558" s="10" t="s">
        <v>26</v>
      </c>
      <c r="N558" s="10" t="s">
        <v>1767</v>
      </c>
      <c r="O558" s="10" t="s">
        <v>1733</v>
      </c>
      <c r="P558" s="10">
        <v>0</v>
      </c>
      <c r="Q558" s="10" t="s">
        <v>1768</v>
      </c>
      <c r="R558" s="136">
        <v>100</v>
      </c>
      <c r="S558" s="105">
        <f t="shared" si="141"/>
        <v>0</v>
      </c>
      <c r="T558" s="105">
        <v>0</v>
      </c>
      <c r="U558" s="105">
        <v>0</v>
      </c>
      <c r="V558" s="136">
        <f>65.79/$R$2/(65.79/$R$2 + 0/$S$2)*100</f>
        <v>100</v>
      </c>
      <c r="W558" s="157">
        <f t="shared" si="142"/>
        <v>0</v>
      </c>
      <c r="X558" s="106">
        <v>0</v>
      </c>
      <c r="Y558" s="106">
        <f t="shared" si="143"/>
        <v>0</v>
      </c>
      <c r="Z558" s="106">
        <v>0</v>
      </c>
      <c r="AA558" s="156">
        <v>0</v>
      </c>
      <c r="AB558" s="106">
        <f t="shared" si="144"/>
        <v>0</v>
      </c>
      <c r="AC558" s="137">
        <v>0</v>
      </c>
      <c r="AD558" s="106">
        <v>0</v>
      </c>
      <c r="AE558" s="106">
        <f t="shared" si="145"/>
        <v>0</v>
      </c>
      <c r="AF558" s="137">
        <v>0</v>
      </c>
      <c r="AG558" s="10" t="s">
        <v>69</v>
      </c>
      <c r="AH558" s="109" t="s">
        <v>1769</v>
      </c>
      <c r="AI558" s="107"/>
      <c r="AJ558" s="107"/>
      <c r="AN558" s="31"/>
      <c r="AO558" s="31"/>
      <c r="AP558" s="31"/>
      <c r="AQ558" s="31"/>
      <c r="AW558" s="31"/>
      <c r="AX558" s="31"/>
      <c r="AY558" s="31"/>
      <c r="AZ558" s="31"/>
    </row>
    <row r="559" spans="1:52" s="10" customFormat="1">
      <c r="A559" s="38" t="s">
        <v>1770</v>
      </c>
      <c r="B559" s="110" t="s">
        <v>1766</v>
      </c>
      <c r="C559" s="111" t="s">
        <v>162</v>
      </c>
      <c r="D559" s="111" t="s">
        <v>642</v>
      </c>
      <c r="E559" s="38" t="s">
        <v>643</v>
      </c>
      <c r="F559" s="38"/>
      <c r="G559" s="38" t="s">
        <v>1598</v>
      </c>
      <c r="H559" s="38" t="s">
        <v>1673</v>
      </c>
      <c r="I559" s="38"/>
      <c r="J559" s="38">
        <v>45</v>
      </c>
      <c r="K559" s="38">
        <v>75</v>
      </c>
      <c r="L559" s="38" t="s">
        <v>64</v>
      </c>
      <c r="M559" s="38" t="s">
        <v>26</v>
      </c>
      <c r="N559" s="38" t="s">
        <v>1767</v>
      </c>
      <c r="O559" s="38" t="s">
        <v>1733</v>
      </c>
      <c r="P559" s="38">
        <v>0</v>
      </c>
      <c r="Q559" s="38" t="s">
        <v>1768</v>
      </c>
      <c r="R559" s="136">
        <v>100</v>
      </c>
      <c r="S559" s="105">
        <f t="shared" si="141"/>
        <v>0</v>
      </c>
      <c r="T559" s="105">
        <v>0</v>
      </c>
      <c r="U559" s="105">
        <v>0</v>
      </c>
      <c r="V559" s="136">
        <v>100</v>
      </c>
      <c r="W559" s="157">
        <f t="shared" si="142"/>
        <v>0</v>
      </c>
      <c r="X559" s="106">
        <v>0</v>
      </c>
      <c r="Y559" s="106">
        <f t="shared" si="143"/>
        <v>0</v>
      </c>
      <c r="Z559" s="106">
        <v>0</v>
      </c>
      <c r="AA559" s="156">
        <v>0</v>
      </c>
      <c r="AB559" s="106">
        <f t="shared" si="144"/>
        <v>0</v>
      </c>
      <c r="AC559" s="137">
        <v>0</v>
      </c>
      <c r="AD559" s="106">
        <v>0</v>
      </c>
      <c r="AE559" s="106">
        <f t="shared" si="145"/>
        <v>0</v>
      </c>
      <c r="AF559" s="137">
        <v>0</v>
      </c>
      <c r="AG559" s="10" t="s">
        <v>69</v>
      </c>
      <c r="AH559" s="10" t="s">
        <v>1771</v>
      </c>
      <c r="AI559" s="107"/>
      <c r="AJ559" s="107"/>
      <c r="AN559" s="31"/>
      <c r="AO559" s="31"/>
      <c r="AP559" s="31"/>
      <c r="AQ559" s="31"/>
      <c r="AW559" s="31"/>
      <c r="AX559" s="31"/>
      <c r="AY559" s="31"/>
      <c r="AZ559" s="31"/>
    </row>
    <row r="560" spans="1:52" s="10" customFormat="1">
      <c r="A560" s="38" t="s">
        <v>1772</v>
      </c>
      <c r="B560" s="110" t="s">
        <v>1773</v>
      </c>
      <c r="C560" s="111" t="s">
        <v>162</v>
      </c>
      <c r="D560" s="111" t="s">
        <v>642</v>
      </c>
      <c r="E560" s="38" t="s">
        <v>643</v>
      </c>
      <c r="F560" s="38"/>
      <c r="G560" s="38" t="s">
        <v>1598</v>
      </c>
      <c r="H560" s="38" t="s">
        <v>1673</v>
      </c>
      <c r="I560" s="38"/>
      <c r="J560" s="38">
        <v>0</v>
      </c>
      <c r="K560" s="38">
        <v>45</v>
      </c>
      <c r="L560" s="38" t="s">
        <v>64</v>
      </c>
      <c r="M560" s="38" t="s">
        <v>26</v>
      </c>
      <c r="N560" s="38" t="s">
        <v>1774</v>
      </c>
      <c r="O560" s="38" t="s">
        <v>1733</v>
      </c>
      <c r="P560" s="38">
        <v>0</v>
      </c>
      <c r="Q560" s="38" t="s">
        <v>1775</v>
      </c>
      <c r="R560" s="138">
        <v>100</v>
      </c>
      <c r="S560" s="105">
        <f t="shared" si="141"/>
        <v>0</v>
      </c>
      <c r="T560" s="112">
        <v>0</v>
      </c>
      <c r="U560" s="112">
        <v>0</v>
      </c>
      <c r="V560" s="136">
        <v>64</v>
      </c>
      <c r="W560" s="157">
        <f t="shared" si="142"/>
        <v>36</v>
      </c>
      <c r="X560" s="106">
        <v>0</v>
      </c>
      <c r="Y560" s="106">
        <v>0</v>
      </c>
      <c r="Z560" s="106">
        <v>0</v>
      </c>
      <c r="AA560" s="156">
        <v>0</v>
      </c>
      <c r="AB560" s="106">
        <v>0</v>
      </c>
      <c r="AC560" s="137">
        <v>0</v>
      </c>
      <c r="AD560" s="106">
        <v>0</v>
      </c>
      <c r="AE560" s="106">
        <v>0</v>
      </c>
      <c r="AF560" s="137">
        <v>0</v>
      </c>
      <c r="AG560" s="10" t="s">
        <v>69</v>
      </c>
      <c r="AH560" s="201" t="s">
        <v>1742</v>
      </c>
      <c r="AI560" s="107"/>
      <c r="AJ560" s="107"/>
      <c r="AK560" s="10" t="s">
        <v>1776</v>
      </c>
      <c r="AN560" s="31"/>
      <c r="AO560" s="31"/>
      <c r="AP560" s="31"/>
      <c r="AQ560" s="31"/>
      <c r="AW560" s="31"/>
      <c r="AX560" s="31"/>
      <c r="AY560" s="31"/>
      <c r="AZ560" s="31"/>
    </row>
    <row r="561" spans="1:52" s="10" customFormat="1">
      <c r="A561" s="10" t="s">
        <v>1777</v>
      </c>
      <c r="B561" s="103" t="s">
        <v>1773</v>
      </c>
      <c r="C561" s="104" t="s">
        <v>162</v>
      </c>
      <c r="D561" s="104" t="s">
        <v>642</v>
      </c>
      <c r="E561" s="10" t="s">
        <v>643</v>
      </c>
      <c r="G561" s="10" t="s">
        <v>1598</v>
      </c>
      <c r="H561" s="10" t="s">
        <v>1673</v>
      </c>
      <c r="J561" s="10">
        <v>45</v>
      </c>
      <c r="K561" s="10">
        <v>75</v>
      </c>
      <c r="L561" s="10" t="s">
        <v>64</v>
      </c>
      <c r="M561" s="10" t="s">
        <v>26</v>
      </c>
      <c r="N561" s="10" t="s">
        <v>1774</v>
      </c>
      <c r="O561" s="10" t="s">
        <v>1733</v>
      </c>
      <c r="P561" s="10">
        <v>0</v>
      </c>
      <c r="Q561" s="10" t="s">
        <v>1775</v>
      </c>
      <c r="R561" s="136">
        <v>100</v>
      </c>
      <c r="S561" s="105">
        <f t="shared" si="141"/>
        <v>0</v>
      </c>
      <c r="T561" s="105">
        <v>0</v>
      </c>
      <c r="U561" s="105">
        <v>0</v>
      </c>
      <c r="V561" s="136">
        <v>64</v>
      </c>
      <c r="W561" s="157">
        <f t="shared" si="142"/>
        <v>36</v>
      </c>
      <c r="X561" s="106">
        <v>0</v>
      </c>
      <c r="Y561" s="106">
        <f>IF($S561 &gt; 0, 100 - $X561 - $Z561, 0)</f>
        <v>0</v>
      </c>
      <c r="Z561" s="106">
        <v>0</v>
      </c>
      <c r="AA561" s="156">
        <v>0</v>
      </c>
      <c r="AB561" s="106">
        <f>IF($T561 &gt; 0, 100 - $AA561 - $AC561, 0)</f>
        <v>0</v>
      </c>
      <c r="AC561" s="137">
        <v>0</v>
      </c>
      <c r="AD561" s="106">
        <v>0</v>
      </c>
      <c r="AE561" s="106">
        <f>IF($U561 &gt; 0, 100 - $AD561 - $AF561, 0)</f>
        <v>0</v>
      </c>
      <c r="AF561" s="137">
        <v>0</v>
      </c>
      <c r="AG561" s="10" t="s">
        <v>69</v>
      </c>
      <c r="AH561" s="201" t="s">
        <v>1742</v>
      </c>
      <c r="AI561" s="107"/>
      <c r="AJ561" s="107"/>
      <c r="AN561" s="31"/>
      <c r="AO561" s="31"/>
      <c r="AP561" s="31"/>
      <c r="AQ561" s="31"/>
      <c r="AW561" s="31"/>
      <c r="AX561" s="31"/>
      <c r="AY561" s="31"/>
      <c r="AZ561" s="31"/>
    </row>
    <row r="562" spans="1:52" s="10" customFormat="1">
      <c r="A562" s="38" t="s">
        <v>1778</v>
      </c>
      <c r="B562" s="110" t="s">
        <v>1779</v>
      </c>
      <c r="C562" s="111" t="s">
        <v>162</v>
      </c>
      <c r="D562" s="111" t="s">
        <v>642</v>
      </c>
      <c r="E562" s="38" t="s">
        <v>643</v>
      </c>
      <c r="F562" s="38"/>
      <c r="G562" s="38" t="s">
        <v>1598</v>
      </c>
      <c r="H562" s="38" t="s">
        <v>1673</v>
      </c>
      <c r="I562" s="38"/>
      <c r="J562" s="38">
        <v>0</v>
      </c>
      <c r="K562" s="38">
        <v>45</v>
      </c>
      <c r="L562" s="38" t="s">
        <v>64</v>
      </c>
      <c r="M562" s="38" t="s">
        <v>26</v>
      </c>
      <c r="N562" s="38" t="s">
        <v>1780</v>
      </c>
      <c r="O562" s="38" t="s">
        <v>1733</v>
      </c>
      <c r="P562" s="38">
        <v>0</v>
      </c>
      <c r="Q562" s="38" t="s">
        <v>1781</v>
      </c>
      <c r="R562" s="138">
        <v>100</v>
      </c>
      <c r="S562" s="105">
        <f t="shared" si="141"/>
        <v>0</v>
      </c>
      <c r="T562" s="112">
        <v>0</v>
      </c>
      <c r="U562" s="112">
        <v>0</v>
      </c>
      <c r="V562" s="136">
        <v>58</v>
      </c>
      <c r="W562" s="157">
        <f t="shared" si="142"/>
        <v>42</v>
      </c>
      <c r="X562" s="106">
        <v>0</v>
      </c>
      <c r="Y562" s="106">
        <v>0</v>
      </c>
      <c r="Z562" s="106">
        <v>0</v>
      </c>
      <c r="AA562" s="156">
        <v>0</v>
      </c>
      <c r="AB562" s="106">
        <v>0</v>
      </c>
      <c r="AC562" s="137">
        <v>0</v>
      </c>
      <c r="AD562" s="106">
        <v>0</v>
      </c>
      <c r="AE562" s="106">
        <v>0</v>
      </c>
      <c r="AF562" s="137">
        <v>0</v>
      </c>
      <c r="AG562" s="10" t="s">
        <v>69</v>
      </c>
      <c r="AH562" s="201" t="s">
        <v>1742</v>
      </c>
      <c r="AI562" s="107"/>
      <c r="AJ562" s="107"/>
      <c r="AK562" s="10" t="s">
        <v>1776</v>
      </c>
      <c r="AN562" s="31"/>
      <c r="AO562" s="31"/>
      <c r="AP562" s="31"/>
      <c r="AQ562" s="31"/>
      <c r="AW562" s="31"/>
      <c r="AX562" s="31"/>
      <c r="AY562" s="31"/>
      <c r="AZ562" s="31"/>
    </row>
    <row r="563" spans="1:52" s="10" customFormat="1">
      <c r="A563" s="10" t="s">
        <v>1782</v>
      </c>
      <c r="B563" s="103" t="s">
        <v>1783</v>
      </c>
      <c r="C563" s="104" t="s">
        <v>162</v>
      </c>
      <c r="D563" s="104" t="s">
        <v>642</v>
      </c>
      <c r="E563" s="10" t="s">
        <v>643</v>
      </c>
      <c r="G563" s="10" t="s">
        <v>1598</v>
      </c>
      <c r="H563" s="10" t="s">
        <v>1784</v>
      </c>
      <c r="J563" s="10">
        <v>0</v>
      </c>
      <c r="K563" s="10">
        <v>45</v>
      </c>
      <c r="L563" s="10" t="s">
        <v>64</v>
      </c>
      <c r="M563" s="10" t="s">
        <v>26</v>
      </c>
      <c r="N563" s="10" t="s">
        <v>1785</v>
      </c>
      <c r="O563" s="10" t="s">
        <v>1733</v>
      </c>
      <c r="P563" s="10">
        <v>0</v>
      </c>
      <c r="Q563" s="10" t="s">
        <v>1786</v>
      </c>
      <c r="R563" s="136">
        <v>100</v>
      </c>
      <c r="S563" s="105">
        <f t="shared" si="141"/>
        <v>0</v>
      </c>
      <c r="T563" s="105">
        <v>0</v>
      </c>
      <c r="U563" s="105">
        <v>0</v>
      </c>
      <c r="V563" s="136">
        <v>8</v>
      </c>
      <c r="W563" s="157">
        <f t="shared" si="142"/>
        <v>92</v>
      </c>
      <c r="X563" s="106">
        <v>0</v>
      </c>
      <c r="Y563" s="106">
        <f t="shared" ref="Y563:Y593" si="146">IF($S563 &gt; 0, 100 - $X563 - $Z563, 0)</f>
        <v>0</v>
      </c>
      <c r="Z563" s="106">
        <v>0</v>
      </c>
      <c r="AA563" s="156">
        <v>0</v>
      </c>
      <c r="AB563" s="106">
        <f t="shared" ref="AB563:AB593" si="147">IF($T563 &gt; 0, 100 - $AA563 - $AC563, 0)</f>
        <v>0</v>
      </c>
      <c r="AC563" s="137">
        <v>0</v>
      </c>
      <c r="AD563" s="106">
        <v>0</v>
      </c>
      <c r="AE563" s="106">
        <f t="shared" ref="AE563:AE593" si="148">IF($U563 &gt; 0, 100 - $AD563 - $AF563, 0)</f>
        <v>0</v>
      </c>
      <c r="AF563" s="137">
        <v>0</v>
      </c>
      <c r="AG563" s="10" t="s">
        <v>69</v>
      </c>
      <c r="AH563" s="10" t="s">
        <v>1176</v>
      </c>
      <c r="AI563" s="107"/>
      <c r="AJ563" s="107"/>
      <c r="AK563" s="10" t="s">
        <v>1776</v>
      </c>
      <c r="AN563" s="31"/>
      <c r="AO563" s="31"/>
      <c r="AP563" s="31"/>
      <c r="AQ563" s="31"/>
      <c r="AW563" s="31"/>
      <c r="AX563" s="31"/>
      <c r="AY563" s="31"/>
      <c r="AZ563" s="31"/>
    </row>
    <row r="564" spans="1:52" s="10" customFormat="1">
      <c r="A564" s="10" t="s">
        <v>1787</v>
      </c>
      <c r="B564" s="103" t="s">
        <v>1783</v>
      </c>
      <c r="C564" s="104" t="s">
        <v>162</v>
      </c>
      <c r="D564" s="104" t="s">
        <v>642</v>
      </c>
      <c r="E564" s="10" t="s">
        <v>643</v>
      </c>
      <c r="G564" s="10" t="s">
        <v>1598</v>
      </c>
      <c r="H564" s="10" t="s">
        <v>1784</v>
      </c>
      <c r="J564" s="10">
        <v>45</v>
      </c>
      <c r="K564" s="10">
        <v>75</v>
      </c>
      <c r="L564" s="10" t="s">
        <v>64</v>
      </c>
      <c r="M564" s="10" t="s">
        <v>26</v>
      </c>
      <c r="N564" s="10" t="s">
        <v>1785</v>
      </c>
      <c r="O564" s="10" t="s">
        <v>1733</v>
      </c>
      <c r="P564" s="10">
        <v>0</v>
      </c>
      <c r="Q564" s="10" t="s">
        <v>1786</v>
      </c>
      <c r="R564" s="136">
        <v>100</v>
      </c>
      <c r="S564" s="105">
        <f t="shared" si="141"/>
        <v>0</v>
      </c>
      <c r="T564" s="105">
        <v>0</v>
      </c>
      <c r="U564" s="105">
        <v>0</v>
      </c>
      <c r="V564" s="136">
        <v>8</v>
      </c>
      <c r="W564" s="157">
        <f t="shared" si="142"/>
        <v>92</v>
      </c>
      <c r="X564" s="106">
        <v>0</v>
      </c>
      <c r="Y564" s="106">
        <f t="shared" si="146"/>
        <v>0</v>
      </c>
      <c r="Z564" s="106">
        <v>0</v>
      </c>
      <c r="AA564" s="156">
        <v>0</v>
      </c>
      <c r="AB564" s="106">
        <f t="shared" si="147"/>
        <v>0</v>
      </c>
      <c r="AC564" s="137">
        <v>0</v>
      </c>
      <c r="AD564" s="106">
        <v>0</v>
      </c>
      <c r="AE564" s="106">
        <f t="shared" si="148"/>
        <v>0</v>
      </c>
      <c r="AF564" s="137">
        <v>0</v>
      </c>
      <c r="AG564" s="10" t="s">
        <v>69</v>
      </c>
      <c r="AH564" s="10" t="s">
        <v>1176</v>
      </c>
      <c r="AI564" s="107"/>
      <c r="AJ564" s="107"/>
      <c r="AN564" s="31"/>
      <c r="AO564" s="31"/>
      <c r="AP564" s="31"/>
      <c r="AQ564" s="31"/>
      <c r="AW564" s="31"/>
      <c r="AX564" s="31"/>
      <c r="AY564" s="31"/>
      <c r="AZ564" s="31"/>
    </row>
    <row r="565" spans="1:52" s="10" customFormat="1">
      <c r="A565" s="10" t="s">
        <v>1788</v>
      </c>
      <c r="B565" s="103" t="s">
        <v>1789</v>
      </c>
      <c r="C565" s="104" t="s">
        <v>890</v>
      </c>
      <c r="D565" s="104" t="s">
        <v>642</v>
      </c>
      <c r="E565" s="10" t="s">
        <v>643</v>
      </c>
      <c r="G565" s="10" t="s">
        <v>1687</v>
      </c>
      <c r="H565" s="10" t="s">
        <v>1784</v>
      </c>
      <c r="J565" s="10">
        <v>0</v>
      </c>
      <c r="K565" s="10">
        <v>45</v>
      </c>
      <c r="L565" s="10" t="s">
        <v>64</v>
      </c>
      <c r="M565" s="10" t="s">
        <v>26</v>
      </c>
      <c r="N565" s="10" t="s">
        <v>1790</v>
      </c>
      <c r="O565" s="10" t="s">
        <v>1276</v>
      </c>
      <c r="P565" s="10">
        <v>458</v>
      </c>
      <c r="Q565" s="10" t="s">
        <v>1791</v>
      </c>
      <c r="R565" s="136">
        <v>100</v>
      </c>
      <c r="S565" s="105">
        <f t="shared" si="141"/>
        <v>0</v>
      </c>
      <c r="T565" s="105">
        <v>0</v>
      </c>
      <c r="U565" s="105">
        <v>0</v>
      </c>
      <c r="V565" s="156">
        <f>INDEX(Chemical_analyses!$A:$L, MATCH($P565, Chemical_analyses!$A:$A), 9)/$R$2/(INDEX(Chemical_analyses!$A:$L, MATCH($P565, Chemical_analyses!$A:$A), 9)/$R$2+INDEX(Chemical_analyses!$A:$L, MATCH($P565, Chemical_analyses!$A:$A), 11)/$S$2)*100</f>
        <v>9.9521286091870866</v>
      </c>
      <c r="W565" s="157">
        <f t="shared" si="142"/>
        <v>90.047871390812915</v>
      </c>
      <c r="X565" s="106">
        <v>0</v>
      </c>
      <c r="Y565" s="106">
        <f t="shared" si="146"/>
        <v>0</v>
      </c>
      <c r="Z565" s="106">
        <v>0</v>
      </c>
      <c r="AA565" s="156">
        <v>0</v>
      </c>
      <c r="AB565" s="106">
        <f t="shared" si="147"/>
        <v>0</v>
      </c>
      <c r="AC565" s="137">
        <v>0</v>
      </c>
      <c r="AD565" s="106">
        <v>0</v>
      </c>
      <c r="AE565" s="106">
        <f t="shared" si="148"/>
        <v>0</v>
      </c>
      <c r="AF565" s="137">
        <v>0</v>
      </c>
      <c r="AG565" s="10" t="s">
        <v>69</v>
      </c>
      <c r="AH565" s="107" t="str">
        <f>_xlfn.CONCAT("FeO: ", INDEX(Chemical_analyses!$A:$M, MATCH($P565, Chemical_analyses!$A:$A), 9), ", MgO: ", INDEX(Chemical_analyses!$A:$M, MATCH($P565, Chemical_analyses!$A:$A), 11), ", CaO: ", INDEX(Chemical_analyses!$A:$M, MATCH($P565, Chemical_analyses!$A:$A), 12), ", MnO: ", INDEX(Chemical_analyses!$A:$M, MATCH($P565, Chemical_analyses!$A:$A), 10), ", NaO2: ", INDEX(Chemical_analyses!$A:$M, MATCH($P565, Chemical_analyses!$A:$A), 13), ", Fe2O3: ", INDEX(Chemical_analyses!$A:$M, MATCH($P565, Chemical_analyses!$A:$A), 8), ", Al2O3: ", INDEX(Chemical_analyses!$A:$M, MATCH($P565, Chemical_analyses!$A:$A), 6))</f>
        <v>FeO: 10.01, MgO: 50.81, CaO: 0.06, MnO: 0.17, NaO2: 0, Fe2O3: 0, Al2O3: 0</v>
      </c>
      <c r="AI565" s="107"/>
      <c r="AJ565" s="107"/>
      <c r="AN565" s="31"/>
      <c r="AO565" s="31"/>
      <c r="AP565" s="31"/>
      <c r="AQ565" s="31"/>
      <c r="AW565" s="31"/>
      <c r="AX565" s="31"/>
      <c r="AY565" s="31"/>
      <c r="AZ565" s="31"/>
    </row>
    <row r="566" spans="1:52" s="10" customFormat="1">
      <c r="A566" s="10" t="s">
        <v>1792</v>
      </c>
      <c r="B566" s="103" t="s">
        <v>1793</v>
      </c>
      <c r="C566" s="104" t="s">
        <v>890</v>
      </c>
      <c r="D566" s="104" t="s">
        <v>642</v>
      </c>
      <c r="E566" s="10" t="s">
        <v>643</v>
      </c>
      <c r="G566" s="10" t="s">
        <v>1687</v>
      </c>
      <c r="H566" s="10" t="s">
        <v>1784</v>
      </c>
      <c r="J566" s="10">
        <v>0</v>
      </c>
      <c r="K566" s="10">
        <v>45</v>
      </c>
      <c r="L566" s="10" t="s">
        <v>64</v>
      </c>
      <c r="M566" s="10" t="s">
        <v>26</v>
      </c>
      <c r="N566" s="10" t="s">
        <v>1794</v>
      </c>
      <c r="O566" s="10" t="s">
        <v>957</v>
      </c>
      <c r="P566" s="10">
        <v>4</v>
      </c>
      <c r="Q566" s="10" t="s">
        <v>1795</v>
      </c>
      <c r="R566" s="136">
        <v>100</v>
      </c>
      <c r="S566" s="105">
        <f t="shared" si="141"/>
        <v>0</v>
      </c>
      <c r="T566" s="105">
        <v>0</v>
      </c>
      <c r="U566" s="105">
        <v>0</v>
      </c>
      <c r="V566" s="156">
        <f>INDEX(Chemical_analyses!$A:$L, MATCH($P566, Chemical_analyses!$A:$A), 9)/$R$2/(INDEX(Chemical_analyses!$A:$L, MATCH($P566, Chemical_analyses!$A:$A), 9)/$R$2+INDEX(Chemical_analyses!$A:$L, MATCH($P566, Chemical_analyses!$A:$A), 11)/$S$2)*100</f>
        <v>9.5531393337000239</v>
      </c>
      <c r="W566" s="157">
        <f t="shared" si="142"/>
        <v>90.446860666299983</v>
      </c>
      <c r="X566" s="106">
        <v>0</v>
      </c>
      <c r="Y566" s="106">
        <f t="shared" si="146"/>
        <v>0</v>
      </c>
      <c r="Z566" s="106">
        <v>0</v>
      </c>
      <c r="AA566" s="156">
        <v>0</v>
      </c>
      <c r="AB566" s="106">
        <f t="shared" si="147"/>
        <v>0</v>
      </c>
      <c r="AC566" s="137">
        <v>0</v>
      </c>
      <c r="AD566" s="106">
        <v>0</v>
      </c>
      <c r="AE566" s="106">
        <f t="shared" si="148"/>
        <v>0</v>
      </c>
      <c r="AF566" s="137">
        <v>0</v>
      </c>
      <c r="AG566" s="10" t="s">
        <v>69</v>
      </c>
      <c r="AH566" s="107" t="str">
        <f>_xlfn.CONCAT("FeO: ", INDEX(Chemical_analyses!$A:$M, MATCH($P566, Chemical_analyses!$A:$A), 9), ", MgO: ", INDEX(Chemical_analyses!$A:$M, MATCH($P566, Chemical_analyses!$A:$A), 11), ", CaO: ", INDEX(Chemical_analyses!$A:$M, MATCH($P566, Chemical_analyses!$A:$A), 12), ", MnO: ", INDEX(Chemical_analyses!$A:$M, MATCH($P566, Chemical_analyses!$A:$A), 10), ", NaO2: ", INDEX(Chemical_analyses!$A:$M, MATCH($P566, Chemical_analyses!$A:$A), 13), ", Fe2O3: ", INDEX(Chemical_analyses!$A:$M, MATCH($P566, Chemical_analyses!$A:$A), 8), ", Al2O3: ", INDEX(Chemical_analyses!$A:$M, MATCH($P566, Chemical_analyses!$A:$A), 6))</f>
        <v>FeO: 9.25, MgO: 49.13, CaO: 0.07, MnO: 0.09, NaO2: 0, Fe2O3: 0.59, Al2O3: 0</v>
      </c>
      <c r="AI566" s="107"/>
      <c r="AJ566" s="107"/>
      <c r="AN566" s="31"/>
      <c r="AO566" s="31"/>
      <c r="AP566" s="31"/>
      <c r="AQ566" s="31"/>
      <c r="AW566" s="31"/>
      <c r="AX566" s="31"/>
      <c r="AY566" s="31"/>
      <c r="AZ566" s="31"/>
    </row>
    <row r="567" spans="1:52" s="10" customFormat="1">
      <c r="A567" s="10" t="s">
        <v>1796</v>
      </c>
      <c r="B567" s="103" t="s">
        <v>1793</v>
      </c>
      <c r="C567" s="104" t="s">
        <v>890</v>
      </c>
      <c r="D567" s="104" t="s">
        <v>642</v>
      </c>
      <c r="E567" s="10" t="s">
        <v>643</v>
      </c>
      <c r="G567" s="10" t="s">
        <v>1687</v>
      </c>
      <c r="H567" s="10" t="s">
        <v>1784</v>
      </c>
      <c r="J567" s="10">
        <v>45</v>
      </c>
      <c r="K567" s="10">
        <v>75</v>
      </c>
      <c r="L567" s="10" t="s">
        <v>64</v>
      </c>
      <c r="M567" s="10" t="s">
        <v>26</v>
      </c>
      <c r="N567" s="10" t="s">
        <v>1794</v>
      </c>
      <c r="O567" s="10" t="s">
        <v>957</v>
      </c>
      <c r="P567" s="10">
        <v>4</v>
      </c>
      <c r="Q567" s="10" t="s">
        <v>1797</v>
      </c>
      <c r="R567" s="136">
        <v>100</v>
      </c>
      <c r="S567" s="105">
        <f t="shared" si="141"/>
        <v>0</v>
      </c>
      <c r="T567" s="105">
        <v>0</v>
      </c>
      <c r="U567" s="105">
        <v>0</v>
      </c>
      <c r="V567" s="156">
        <f>INDEX(Chemical_analyses!$A:$L, MATCH($P567, Chemical_analyses!$A:$A), 9)/$R$2/(INDEX(Chemical_analyses!$A:$L, MATCH($P567, Chemical_analyses!$A:$A), 9)/$R$2+INDEX(Chemical_analyses!$A:$L, MATCH($P567, Chemical_analyses!$A:$A), 11)/$S$2)*100</f>
        <v>9.5531393337000239</v>
      </c>
      <c r="W567" s="157">
        <f t="shared" si="142"/>
        <v>90.446860666299983</v>
      </c>
      <c r="X567" s="106">
        <v>0</v>
      </c>
      <c r="Y567" s="106">
        <f t="shared" si="146"/>
        <v>0</v>
      </c>
      <c r="Z567" s="106">
        <v>0</v>
      </c>
      <c r="AA567" s="156">
        <v>0</v>
      </c>
      <c r="AB567" s="106">
        <f t="shared" si="147"/>
        <v>0</v>
      </c>
      <c r="AC567" s="137">
        <v>0</v>
      </c>
      <c r="AD567" s="106">
        <v>0</v>
      </c>
      <c r="AE567" s="106">
        <f t="shared" si="148"/>
        <v>0</v>
      </c>
      <c r="AF567" s="137">
        <v>0</v>
      </c>
      <c r="AG567" s="10" t="s">
        <v>69</v>
      </c>
      <c r="AH567" s="107" t="str">
        <f>_xlfn.CONCAT("FeO: ", INDEX(Chemical_analyses!$A:$M, MATCH($P567, Chemical_analyses!$A:$A), 9), ", MgO: ", INDEX(Chemical_analyses!$A:$M, MATCH($P567, Chemical_analyses!$A:$A), 11), ", CaO: ", INDEX(Chemical_analyses!$A:$M, MATCH($P567, Chemical_analyses!$A:$A), 12), ", MnO: ", INDEX(Chemical_analyses!$A:$M, MATCH($P567, Chemical_analyses!$A:$A), 10), ", NaO2: ", INDEX(Chemical_analyses!$A:$M, MATCH($P567, Chemical_analyses!$A:$A), 13), ", Fe2O3: ", INDEX(Chemical_analyses!$A:$M, MATCH($P567, Chemical_analyses!$A:$A), 8), ", Al2O3: ", INDEX(Chemical_analyses!$A:$M, MATCH($P567, Chemical_analyses!$A:$A), 6))</f>
        <v>FeO: 9.25, MgO: 49.13, CaO: 0.07, MnO: 0.09, NaO2: 0, Fe2O3: 0.59, Al2O3: 0</v>
      </c>
      <c r="AI567" s="107"/>
      <c r="AJ567" s="107"/>
      <c r="AN567" s="31"/>
      <c r="AO567" s="31"/>
      <c r="AP567" s="31"/>
      <c r="AQ567" s="31"/>
      <c r="AW567" s="31"/>
      <c r="AX567" s="31"/>
      <c r="AY567" s="31"/>
      <c r="AZ567" s="31"/>
    </row>
    <row r="568" spans="1:52" s="10" customFormat="1">
      <c r="A568" s="10" t="s">
        <v>1798</v>
      </c>
      <c r="B568" s="103" t="s">
        <v>1799</v>
      </c>
      <c r="C568" s="104" t="s">
        <v>890</v>
      </c>
      <c r="D568" s="104" t="s">
        <v>642</v>
      </c>
      <c r="E568" s="10" t="s">
        <v>643</v>
      </c>
      <c r="G568" s="10" t="s">
        <v>1598</v>
      </c>
      <c r="H568" s="10" t="s">
        <v>1784</v>
      </c>
      <c r="J568" s="10">
        <v>0</v>
      </c>
      <c r="K568" s="10">
        <v>45</v>
      </c>
      <c r="L568" s="10" t="s">
        <v>64</v>
      </c>
      <c r="M568" s="10" t="s">
        <v>26</v>
      </c>
      <c r="N568" s="10" t="s">
        <v>1800</v>
      </c>
      <c r="O568" s="10" t="s">
        <v>957</v>
      </c>
      <c r="P568" s="10">
        <v>5</v>
      </c>
      <c r="Q568" s="10" t="s">
        <v>1801</v>
      </c>
      <c r="R568" s="136">
        <v>100</v>
      </c>
      <c r="S568" s="105">
        <f t="shared" si="141"/>
        <v>0</v>
      </c>
      <c r="T568" s="105">
        <v>0</v>
      </c>
      <c r="U568" s="105">
        <v>0</v>
      </c>
      <c r="V568" s="156">
        <f>INDEX(Chemical_analyses!$A:$L, MATCH($P568, Chemical_analyses!$A:$A), 9)/$R$2/(INDEX(Chemical_analyses!$A:$L, MATCH($P568, Chemical_analyses!$A:$A), 9)/$R$2+INDEX(Chemical_analyses!$A:$L, MATCH($P568, Chemical_analyses!$A:$A), 11)/$S$2)*100</f>
        <v>3.1033505366904288</v>
      </c>
      <c r="W568" s="157">
        <f t="shared" si="142"/>
        <v>96.896649463309572</v>
      </c>
      <c r="X568" s="106">
        <v>0</v>
      </c>
      <c r="Y568" s="106">
        <f t="shared" si="146"/>
        <v>0</v>
      </c>
      <c r="Z568" s="106">
        <v>0</v>
      </c>
      <c r="AA568" s="156">
        <v>0</v>
      </c>
      <c r="AB568" s="106">
        <f t="shared" si="147"/>
        <v>0</v>
      </c>
      <c r="AC568" s="137">
        <v>0</v>
      </c>
      <c r="AD568" s="106">
        <v>0</v>
      </c>
      <c r="AE568" s="106">
        <f t="shared" si="148"/>
        <v>0</v>
      </c>
      <c r="AF568" s="137">
        <v>0</v>
      </c>
      <c r="AG568" s="10" t="s">
        <v>69</v>
      </c>
      <c r="AH568" s="107" t="str">
        <f>_xlfn.CONCAT("FeO: ", INDEX(Chemical_analyses!$A:$M, MATCH($P568, Chemical_analyses!$A:$A), 9), ", MgO: ", INDEX(Chemical_analyses!$A:$M, MATCH($P568, Chemical_analyses!$A:$A), 11), ", CaO: ", INDEX(Chemical_analyses!$A:$M, MATCH($P568, Chemical_analyses!$A:$A), 12), ", MnO: ", INDEX(Chemical_analyses!$A:$M, MATCH($P568, Chemical_analyses!$A:$A), 10), ", NaO2: ", INDEX(Chemical_analyses!$A:$M, MATCH($P568, Chemical_analyses!$A:$A), 13), ", Fe2O3: ", INDEX(Chemical_analyses!$A:$M, MATCH($P568, Chemical_analyses!$A:$A), 8), ", Al2O3: ", INDEX(Chemical_analyses!$A:$M, MATCH($P568, Chemical_analyses!$A:$A), 6))</f>
        <v>FeO: 3.12, MgO: 54.65, CaO: 0.63, MnO: 0.19, NaO2: 0, Fe2O3: 0, Al2O3: 0</v>
      </c>
      <c r="AI568" s="107"/>
      <c r="AJ568" s="107"/>
      <c r="AN568" s="31"/>
      <c r="AO568" s="31"/>
      <c r="AP568" s="31"/>
      <c r="AQ568" s="31"/>
      <c r="AW568" s="31"/>
      <c r="AX568" s="31"/>
      <c r="AY568" s="31"/>
      <c r="AZ568" s="31"/>
    </row>
    <row r="569" spans="1:52" s="10" customFormat="1">
      <c r="A569" s="10" t="s">
        <v>1802</v>
      </c>
      <c r="B569" s="103" t="s">
        <v>1799</v>
      </c>
      <c r="C569" s="104" t="s">
        <v>890</v>
      </c>
      <c r="D569" s="104" t="s">
        <v>642</v>
      </c>
      <c r="E569" s="10" t="s">
        <v>643</v>
      </c>
      <c r="G569" s="10" t="s">
        <v>1598</v>
      </c>
      <c r="H569" s="10" t="s">
        <v>1784</v>
      </c>
      <c r="J569" s="10">
        <v>45</v>
      </c>
      <c r="K569" s="10">
        <v>90</v>
      </c>
      <c r="L569" s="10" t="s">
        <v>64</v>
      </c>
      <c r="M569" s="10" t="s">
        <v>26</v>
      </c>
      <c r="N569" s="10" t="s">
        <v>1800</v>
      </c>
      <c r="O569" s="10" t="s">
        <v>957</v>
      </c>
      <c r="P569" s="10">
        <v>5</v>
      </c>
      <c r="Q569" s="10" t="s">
        <v>1803</v>
      </c>
      <c r="R569" s="136">
        <v>100</v>
      </c>
      <c r="S569" s="105">
        <f t="shared" si="141"/>
        <v>0</v>
      </c>
      <c r="T569" s="105">
        <v>0</v>
      </c>
      <c r="U569" s="105">
        <v>0</v>
      </c>
      <c r="V569" s="156">
        <f>INDEX(Chemical_analyses!$A:$L, MATCH($P569, Chemical_analyses!$A:$A), 9)/$R$2/(INDEX(Chemical_analyses!$A:$L, MATCH($P569, Chemical_analyses!$A:$A), 9)/$R$2+INDEX(Chemical_analyses!$A:$L, MATCH($P569, Chemical_analyses!$A:$A), 11)/$S$2)*100</f>
        <v>3.1033505366904288</v>
      </c>
      <c r="W569" s="157">
        <f t="shared" si="142"/>
        <v>96.896649463309572</v>
      </c>
      <c r="X569" s="106">
        <v>0</v>
      </c>
      <c r="Y569" s="106">
        <f t="shared" si="146"/>
        <v>0</v>
      </c>
      <c r="Z569" s="106">
        <v>0</v>
      </c>
      <c r="AA569" s="156">
        <v>0</v>
      </c>
      <c r="AB569" s="106">
        <f t="shared" si="147"/>
        <v>0</v>
      </c>
      <c r="AC569" s="137">
        <v>0</v>
      </c>
      <c r="AD569" s="106">
        <v>0</v>
      </c>
      <c r="AE569" s="106">
        <f t="shared" si="148"/>
        <v>0</v>
      </c>
      <c r="AF569" s="137">
        <v>0</v>
      </c>
      <c r="AG569" s="10" t="s">
        <v>69</v>
      </c>
      <c r="AH569" s="107" t="str">
        <f>_xlfn.CONCAT("FeO: ", INDEX(Chemical_analyses!$A:$M, MATCH($P569, Chemical_analyses!$A:$A), 9), ", MgO: ", INDEX(Chemical_analyses!$A:$M, MATCH($P569, Chemical_analyses!$A:$A), 11), ", CaO: ", INDEX(Chemical_analyses!$A:$M, MATCH($P569, Chemical_analyses!$A:$A), 12), ", MnO: ", INDEX(Chemical_analyses!$A:$M, MATCH($P569, Chemical_analyses!$A:$A), 10), ", NaO2: ", INDEX(Chemical_analyses!$A:$M, MATCH($P569, Chemical_analyses!$A:$A), 13), ", Fe2O3: ", INDEX(Chemical_analyses!$A:$M, MATCH($P569, Chemical_analyses!$A:$A), 8), ", Al2O3: ", INDEX(Chemical_analyses!$A:$M, MATCH($P569, Chemical_analyses!$A:$A), 6))</f>
        <v>FeO: 3.12, MgO: 54.65, CaO: 0.63, MnO: 0.19, NaO2: 0, Fe2O3: 0, Al2O3: 0</v>
      </c>
      <c r="AI569" s="107"/>
      <c r="AJ569" s="107"/>
      <c r="AN569" s="31"/>
      <c r="AO569" s="31"/>
      <c r="AP569" s="31"/>
      <c r="AQ569" s="31"/>
      <c r="AW569" s="31"/>
      <c r="AX569" s="31"/>
      <c r="AY569" s="31"/>
      <c r="AZ569" s="31"/>
    </row>
    <row r="570" spans="1:52" s="10" customFormat="1">
      <c r="A570" s="10" t="s">
        <v>1804</v>
      </c>
      <c r="B570" s="103" t="s">
        <v>1805</v>
      </c>
      <c r="C570" s="104" t="s">
        <v>890</v>
      </c>
      <c r="D570" s="104" t="s">
        <v>642</v>
      </c>
      <c r="E570" s="10" t="s">
        <v>643</v>
      </c>
      <c r="G570" s="10" t="s">
        <v>1687</v>
      </c>
      <c r="H570" s="10" t="s">
        <v>1806</v>
      </c>
      <c r="J570" s="10">
        <v>0</v>
      </c>
      <c r="K570" s="10">
        <v>45</v>
      </c>
      <c r="L570" s="10" t="s">
        <v>64</v>
      </c>
      <c r="M570" s="10" t="s">
        <v>26</v>
      </c>
      <c r="N570" s="10" t="s">
        <v>1807</v>
      </c>
      <c r="O570" s="10" t="s">
        <v>957</v>
      </c>
      <c r="P570" s="10">
        <v>6</v>
      </c>
      <c r="Q570" s="10" t="s">
        <v>1808</v>
      </c>
      <c r="R570" s="136">
        <v>100</v>
      </c>
      <c r="S570" s="105">
        <f t="shared" si="141"/>
        <v>0</v>
      </c>
      <c r="T570" s="105">
        <v>0</v>
      </c>
      <c r="U570" s="105">
        <v>0</v>
      </c>
      <c r="V570" s="156">
        <f>INDEX(Chemical_analyses!$A:$L, MATCH($P570, Chemical_analyses!$A:$A), 9)/$R$2/(INDEX(Chemical_analyses!$A:$L, MATCH($P570, Chemical_analyses!$A:$A), 9)/$R$2+INDEX(Chemical_analyses!$A:$L, MATCH($P570, Chemical_analyses!$A:$A), 11)/$S$2)*100</f>
        <v>11.439672725693045</v>
      </c>
      <c r="W570" s="157">
        <f t="shared" si="142"/>
        <v>88.560327274306957</v>
      </c>
      <c r="X570" s="106">
        <v>0</v>
      </c>
      <c r="Y570" s="106">
        <f t="shared" si="146"/>
        <v>0</v>
      </c>
      <c r="Z570" s="106">
        <v>0</v>
      </c>
      <c r="AA570" s="156">
        <v>0</v>
      </c>
      <c r="AB570" s="106">
        <f t="shared" si="147"/>
        <v>0</v>
      </c>
      <c r="AC570" s="137">
        <v>0</v>
      </c>
      <c r="AD570" s="106">
        <v>0</v>
      </c>
      <c r="AE570" s="106">
        <f t="shared" si="148"/>
        <v>0</v>
      </c>
      <c r="AF570" s="137">
        <v>0</v>
      </c>
      <c r="AG570" s="10" t="s">
        <v>69</v>
      </c>
      <c r="AH570" s="107" t="str">
        <f>_xlfn.CONCAT("FeO: ", INDEX(Chemical_analyses!$A:$M, MATCH($P570, Chemical_analyses!$A:$A), 9), ", MgO: ", INDEX(Chemical_analyses!$A:$M, MATCH($P570, Chemical_analyses!$A:$A), 11), ", CaO: ", INDEX(Chemical_analyses!$A:$M, MATCH($P570, Chemical_analyses!$A:$A), 12), ", MnO: ", INDEX(Chemical_analyses!$A:$M, MATCH($P570, Chemical_analyses!$A:$A), 10), ", NaO2: ", INDEX(Chemical_analyses!$A:$M, MATCH($P570, Chemical_analyses!$A:$A), 13), ", Fe2O3: ", INDEX(Chemical_analyses!$A:$M, MATCH($P570, Chemical_analyses!$A:$A), 8), ", Al2O3: ", INDEX(Chemical_analyses!$A:$M, MATCH($P570, Chemical_analyses!$A:$A), 6))</f>
        <v>FeO: 11.11, MgO: 48.25, CaO: 0.19, MnO: 0.15, NaO2: 0, Fe2O3: 0, Al2O3: 0.03</v>
      </c>
      <c r="AI570" s="107"/>
      <c r="AJ570" s="107"/>
      <c r="AN570" s="31"/>
      <c r="AO570" s="31"/>
      <c r="AP570" s="31"/>
      <c r="AQ570" s="31"/>
      <c r="AW570" s="31"/>
      <c r="AX570" s="31"/>
      <c r="AY570" s="31"/>
      <c r="AZ570" s="31"/>
    </row>
    <row r="571" spans="1:52" s="10" customFormat="1">
      <c r="A571" s="10" t="s">
        <v>1809</v>
      </c>
      <c r="B571" s="103" t="s">
        <v>1805</v>
      </c>
      <c r="C571" s="104" t="s">
        <v>890</v>
      </c>
      <c r="D571" s="104" t="s">
        <v>642</v>
      </c>
      <c r="E571" s="10" t="s">
        <v>643</v>
      </c>
      <c r="G571" s="10" t="s">
        <v>1687</v>
      </c>
      <c r="H571" s="10" t="s">
        <v>1806</v>
      </c>
      <c r="J571" s="10">
        <v>45</v>
      </c>
      <c r="K571" s="10">
        <v>90</v>
      </c>
      <c r="L571" s="10" t="s">
        <v>64</v>
      </c>
      <c r="M571" s="10" t="s">
        <v>26</v>
      </c>
      <c r="N571" s="10" t="s">
        <v>1807</v>
      </c>
      <c r="O571" s="10" t="s">
        <v>957</v>
      </c>
      <c r="P571" s="10">
        <v>6</v>
      </c>
      <c r="Q571" s="10" t="s">
        <v>1808</v>
      </c>
      <c r="R571" s="136">
        <v>100</v>
      </c>
      <c r="S571" s="105">
        <f t="shared" si="141"/>
        <v>0</v>
      </c>
      <c r="T571" s="105">
        <v>0</v>
      </c>
      <c r="U571" s="105">
        <v>0</v>
      </c>
      <c r="V571" s="156">
        <f>INDEX(Chemical_analyses!$A:$L, MATCH($P571, Chemical_analyses!$A:$A), 9)/$R$2/(INDEX(Chemical_analyses!$A:$L, MATCH($P571, Chemical_analyses!$A:$A), 9)/$R$2+INDEX(Chemical_analyses!$A:$L, MATCH($P571, Chemical_analyses!$A:$A), 11)/$S$2)*100</f>
        <v>11.439672725693045</v>
      </c>
      <c r="W571" s="157">
        <f t="shared" si="142"/>
        <v>88.560327274306957</v>
      </c>
      <c r="X571" s="106">
        <v>0</v>
      </c>
      <c r="Y571" s="106">
        <f t="shared" si="146"/>
        <v>0</v>
      </c>
      <c r="Z571" s="106">
        <v>0</v>
      </c>
      <c r="AA571" s="156">
        <v>0</v>
      </c>
      <c r="AB571" s="106">
        <f t="shared" si="147"/>
        <v>0</v>
      </c>
      <c r="AC571" s="137">
        <v>0</v>
      </c>
      <c r="AD571" s="106">
        <v>0</v>
      </c>
      <c r="AE571" s="106">
        <f t="shared" si="148"/>
        <v>0</v>
      </c>
      <c r="AF571" s="137">
        <v>0</v>
      </c>
      <c r="AG571" s="10" t="s">
        <v>69</v>
      </c>
      <c r="AH571" s="107" t="str">
        <f>_xlfn.CONCAT("FeO: ", INDEX(Chemical_analyses!$A:$M, MATCH($P571, Chemical_analyses!$A:$A), 9), ", MgO: ", INDEX(Chemical_analyses!$A:$M, MATCH($P571, Chemical_analyses!$A:$A), 11), ", CaO: ", INDEX(Chemical_analyses!$A:$M, MATCH($P571, Chemical_analyses!$A:$A), 12), ", MnO: ", INDEX(Chemical_analyses!$A:$M, MATCH($P571, Chemical_analyses!$A:$A), 10), ", NaO2: ", INDEX(Chemical_analyses!$A:$M, MATCH($P571, Chemical_analyses!$A:$A), 13), ", Fe2O3: ", INDEX(Chemical_analyses!$A:$M, MATCH($P571, Chemical_analyses!$A:$A), 8), ", Al2O3: ", INDEX(Chemical_analyses!$A:$M, MATCH($P571, Chemical_analyses!$A:$A), 6))</f>
        <v>FeO: 11.11, MgO: 48.25, CaO: 0.19, MnO: 0.15, NaO2: 0, Fe2O3: 0, Al2O3: 0.03</v>
      </c>
      <c r="AI571" s="107"/>
      <c r="AJ571" s="107"/>
      <c r="AN571" s="31"/>
      <c r="AO571" s="31"/>
      <c r="AP571" s="31"/>
      <c r="AQ571" s="31"/>
      <c r="AW571" s="31"/>
      <c r="AX571" s="31"/>
      <c r="AY571" s="31"/>
      <c r="AZ571" s="31"/>
    </row>
    <row r="572" spans="1:52" s="10" customFormat="1">
      <c r="A572" s="10" t="s">
        <v>1810</v>
      </c>
      <c r="B572" s="103" t="s">
        <v>1811</v>
      </c>
      <c r="C572" s="104" t="s">
        <v>890</v>
      </c>
      <c r="D572" s="104" t="s">
        <v>642</v>
      </c>
      <c r="E572" s="10" t="s">
        <v>643</v>
      </c>
      <c r="G572" s="10" t="s">
        <v>1598</v>
      </c>
      <c r="H572" s="10" t="s">
        <v>1673</v>
      </c>
      <c r="J572" s="10">
        <v>0</v>
      </c>
      <c r="K572" s="10">
        <v>45</v>
      </c>
      <c r="L572" s="10" t="s">
        <v>64</v>
      </c>
      <c r="M572" s="10" t="s">
        <v>26</v>
      </c>
      <c r="N572" s="10" t="s">
        <v>1812</v>
      </c>
      <c r="O572" s="10" t="s">
        <v>957</v>
      </c>
      <c r="P572" s="10">
        <v>7</v>
      </c>
      <c r="Q572" s="10" t="s">
        <v>1813</v>
      </c>
      <c r="R572" s="136">
        <v>100</v>
      </c>
      <c r="S572" s="105">
        <f t="shared" si="141"/>
        <v>0</v>
      </c>
      <c r="T572" s="105">
        <v>0</v>
      </c>
      <c r="U572" s="105">
        <v>0</v>
      </c>
      <c r="V572" s="156">
        <f>INDEX(Chemical_analyses!$A:$L, MATCH($P572, Chemical_analyses!$A:$A), 9)/$R$2/(INDEX(Chemical_analyses!$A:$L, MATCH($P572, Chemical_analyses!$A:$A), 9)/$R$2+INDEX(Chemical_analyses!$A:$L, MATCH($P572, Chemical_analyses!$A:$A), 11)/$S$2)*100</f>
        <v>99.866112666358987</v>
      </c>
      <c r="W572" s="157">
        <f t="shared" si="142"/>
        <v>0.13388733364101313</v>
      </c>
      <c r="X572" s="106">
        <v>0</v>
      </c>
      <c r="Y572" s="106">
        <f t="shared" si="146"/>
        <v>0</v>
      </c>
      <c r="Z572" s="106">
        <v>0</v>
      </c>
      <c r="AA572" s="156">
        <v>0</v>
      </c>
      <c r="AB572" s="106">
        <f t="shared" si="147"/>
        <v>0</v>
      </c>
      <c r="AC572" s="137">
        <v>0</v>
      </c>
      <c r="AD572" s="106">
        <v>0</v>
      </c>
      <c r="AE572" s="106">
        <f t="shared" si="148"/>
        <v>0</v>
      </c>
      <c r="AF572" s="137">
        <v>0</v>
      </c>
      <c r="AG572" s="10" t="s">
        <v>69</v>
      </c>
      <c r="AH572" s="107" t="str">
        <f>_xlfn.CONCAT("FeO: ", INDEX(Chemical_analyses!$A:$M, MATCH($P572, Chemical_analyses!$A:$A), 9), ", MgO: ", INDEX(Chemical_analyses!$A:$M, MATCH($P572, Chemical_analyses!$A:$A), 11), ", CaO: ", INDEX(Chemical_analyses!$A:$M, MATCH($P572, Chemical_analyses!$A:$A), 12), ", MnO: ", INDEX(Chemical_analyses!$A:$M, MATCH($P572, Chemical_analyses!$A:$A), 10), ", NaO2: ", INDEX(Chemical_analyses!$A:$M, MATCH($P572, Chemical_analyses!$A:$A), 13), ", Fe2O3: ", INDEX(Chemical_analyses!$A:$M, MATCH($P572, Chemical_analyses!$A:$A), 8), ", Al2O3: ", INDEX(Chemical_analyses!$A:$M, MATCH($P572, Chemical_analyses!$A:$A), 6))</f>
        <v>FeO: 66.48, MgO: 0.05, CaO: 0.05, MnO: 2.14, NaO2: 0, Fe2O3: 0, Al2O3: 0</v>
      </c>
      <c r="AI572" s="107"/>
      <c r="AJ572" s="107"/>
      <c r="AN572" s="31"/>
      <c r="AO572" s="31"/>
      <c r="AP572" s="31"/>
      <c r="AQ572" s="31"/>
      <c r="AW572" s="31"/>
      <c r="AX572" s="31"/>
      <c r="AY572" s="31"/>
      <c r="AZ572" s="31"/>
    </row>
    <row r="573" spans="1:52" s="10" customFormat="1">
      <c r="A573" s="10" t="s">
        <v>1814</v>
      </c>
      <c r="B573" s="103" t="s">
        <v>1811</v>
      </c>
      <c r="C573" s="104" t="s">
        <v>890</v>
      </c>
      <c r="D573" s="104" t="s">
        <v>642</v>
      </c>
      <c r="E573" s="10" t="s">
        <v>643</v>
      </c>
      <c r="G573" s="10" t="s">
        <v>1598</v>
      </c>
      <c r="H573" s="10" t="s">
        <v>1673</v>
      </c>
      <c r="J573" s="10">
        <v>45</v>
      </c>
      <c r="K573" s="10">
        <v>90</v>
      </c>
      <c r="L573" s="10" t="s">
        <v>64</v>
      </c>
      <c r="M573" s="10" t="s">
        <v>26</v>
      </c>
      <c r="N573" s="10" t="s">
        <v>1815</v>
      </c>
      <c r="O573" s="10" t="s">
        <v>957</v>
      </c>
      <c r="P573" s="10">
        <v>7</v>
      </c>
      <c r="Q573" s="10" t="s">
        <v>1816</v>
      </c>
      <c r="R573" s="136">
        <v>100</v>
      </c>
      <c r="S573" s="105">
        <f t="shared" si="141"/>
        <v>0</v>
      </c>
      <c r="T573" s="105">
        <v>0</v>
      </c>
      <c r="U573" s="105">
        <v>0</v>
      </c>
      <c r="V573" s="156">
        <f>INDEX(Chemical_analyses!$A:$L, MATCH($P573, Chemical_analyses!$A:$A), 9)/$R$2/(INDEX(Chemical_analyses!$A:$L, MATCH($P573, Chemical_analyses!$A:$A), 9)/$R$2+INDEX(Chemical_analyses!$A:$L, MATCH($P573, Chemical_analyses!$A:$A), 11)/$S$2)*100</f>
        <v>99.866112666358987</v>
      </c>
      <c r="W573" s="157">
        <f t="shared" si="142"/>
        <v>0.13388733364101313</v>
      </c>
      <c r="X573" s="106">
        <v>0</v>
      </c>
      <c r="Y573" s="106">
        <f t="shared" si="146"/>
        <v>0</v>
      </c>
      <c r="Z573" s="106">
        <v>0</v>
      </c>
      <c r="AA573" s="156">
        <v>0</v>
      </c>
      <c r="AB573" s="106">
        <f t="shared" si="147"/>
        <v>0</v>
      </c>
      <c r="AC573" s="137">
        <v>0</v>
      </c>
      <c r="AD573" s="106">
        <v>0</v>
      </c>
      <c r="AE573" s="106">
        <f t="shared" si="148"/>
        <v>0</v>
      </c>
      <c r="AF573" s="137">
        <v>0</v>
      </c>
      <c r="AG573" s="10" t="s">
        <v>69</v>
      </c>
      <c r="AH573" s="107" t="str">
        <f>_xlfn.CONCAT("FeO: ", INDEX(Chemical_analyses!$A:$M, MATCH($P573, Chemical_analyses!$A:$A), 9), ", MgO: ", INDEX(Chemical_analyses!$A:$M, MATCH($P573, Chemical_analyses!$A:$A), 11), ", CaO: ", INDEX(Chemical_analyses!$A:$M, MATCH($P573, Chemical_analyses!$A:$A), 12), ", MnO: ", INDEX(Chemical_analyses!$A:$M, MATCH($P573, Chemical_analyses!$A:$A), 10), ", NaO2: ", INDEX(Chemical_analyses!$A:$M, MATCH($P573, Chemical_analyses!$A:$A), 13), ", Fe2O3: ", INDEX(Chemical_analyses!$A:$M, MATCH($P573, Chemical_analyses!$A:$A), 8), ", Al2O3: ", INDEX(Chemical_analyses!$A:$M, MATCH($P573, Chemical_analyses!$A:$A), 6))</f>
        <v>FeO: 66.48, MgO: 0.05, CaO: 0.05, MnO: 2.14, NaO2: 0, Fe2O3: 0, Al2O3: 0</v>
      </c>
      <c r="AI573" s="107"/>
      <c r="AJ573" s="107"/>
      <c r="AN573" s="31"/>
      <c r="AO573" s="31"/>
      <c r="AP573" s="31"/>
      <c r="AQ573" s="31"/>
      <c r="AW573" s="31"/>
      <c r="AX573" s="31"/>
      <c r="AY573" s="31"/>
      <c r="AZ573" s="31"/>
    </row>
    <row r="574" spans="1:52" s="10" customFormat="1">
      <c r="A574" s="10" t="s">
        <v>1817</v>
      </c>
      <c r="B574" s="103" t="s">
        <v>1818</v>
      </c>
      <c r="C574" s="104" t="s">
        <v>890</v>
      </c>
      <c r="D574" s="104" t="s">
        <v>642</v>
      </c>
      <c r="E574" s="10" t="s">
        <v>643</v>
      </c>
      <c r="G574" s="10" t="s">
        <v>1598</v>
      </c>
      <c r="H574" s="10" t="s">
        <v>1784</v>
      </c>
      <c r="J574" s="10">
        <v>0</v>
      </c>
      <c r="K574" s="10">
        <v>45</v>
      </c>
      <c r="L574" s="10" t="s">
        <v>64</v>
      </c>
      <c r="M574" s="10" t="s">
        <v>26</v>
      </c>
      <c r="N574" s="10" t="s">
        <v>1819</v>
      </c>
      <c r="O574" s="10" t="s">
        <v>957</v>
      </c>
      <c r="P574" s="10">
        <v>8</v>
      </c>
      <c r="Q574" s="10" t="s">
        <v>1820</v>
      </c>
      <c r="R574" s="136">
        <v>100</v>
      </c>
      <c r="S574" s="105">
        <f t="shared" si="141"/>
        <v>0</v>
      </c>
      <c r="T574" s="105">
        <v>0</v>
      </c>
      <c r="U574" s="105">
        <v>0</v>
      </c>
      <c r="V574" s="156">
        <f>INDEX(Chemical_analyses!$A:$L, MATCH($P574, Chemical_analyses!$A:$A), 9)/$R$2/(INDEX(Chemical_analyses!$A:$L, MATCH($P574, Chemical_analyses!$A:$A), 9)/$R$2+INDEX(Chemical_analyses!$A:$L, MATCH($P574, Chemical_analyses!$A:$A), 11)/$S$2)*100</f>
        <v>8.1595709064305506</v>
      </c>
      <c r="W574" s="157">
        <f t="shared" si="142"/>
        <v>91.840429093569455</v>
      </c>
      <c r="X574" s="106">
        <v>0</v>
      </c>
      <c r="Y574" s="106">
        <f t="shared" si="146"/>
        <v>0</v>
      </c>
      <c r="Z574" s="106">
        <v>0</v>
      </c>
      <c r="AA574" s="156">
        <v>0</v>
      </c>
      <c r="AB574" s="106">
        <f t="shared" si="147"/>
        <v>0</v>
      </c>
      <c r="AC574" s="137">
        <v>0</v>
      </c>
      <c r="AD574" s="106">
        <v>0</v>
      </c>
      <c r="AE574" s="106">
        <f t="shared" si="148"/>
        <v>0</v>
      </c>
      <c r="AF574" s="137">
        <v>0</v>
      </c>
      <c r="AG574" s="10" t="s">
        <v>69</v>
      </c>
      <c r="AH574" s="107" t="str">
        <f>_xlfn.CONCAT("FeO: ", INDEX(Chemical_analyses!$A:$M, MATCH($P574, Chemical_analyses!$A:$A), 9), ", MgO: ", INDEX(Chemical_analyses!$A:$M, MATCH($P574, Chemical_analyses!$A:$A), 11), ", CaO: ", INDEX(Chemical_analyses!$A:$M, MATCH($P574, Chemical_analyses!$A:$A), 12), ", MnO: ", INDEX(Chemical_analyses!$A:$M, MATCH($P574, Chemical_analyses!$A:$A), 10), ", NaO2: ", INDEX(Chemical_analyses!$A:$M, MATCH($P574, Chemical_analyses!$A:$A), 13), ", Fe2O3: ", INDEX(Chemical_analyses!$A:$M, MATCH($P574, Chemical_analyses!$A:$A), 8), ", Al2O3: ", INDEX(Chemical_analyses!$A:$M, MATCH($P574, Chemical_analyses!$A:$A), 6))</f>
        <v>FeO: 8.05, MgO: 50.83, CaO: 0, MnO: 0.1, NaO2: 0, Fe2O3: 0, Al2O3: 0</v>
      </c>
      <c r="AI574" s="107"/>
      <c r="AJ574" s="107"/>
      <c r="AN574" s="31"/>
      <c r="AO574" s="31"/>
      <c r="AP574" s="31"/>
      <c r="AQ574" s="31"/>
      <c r="AW574" s="31"/>
      <c r="AX574" s="31"/>
      <c r="AY574" s="31"/>
      <c r="AZ574" s="31"/>
    </row>
    <row r="575" spans="1:52" s="10" customFormat="1">
      <c r="A575" s="10" t="s">
        <v>1821</v>
      </c>
      <c r="B575" s="103" t="s">
        <v>1818</v>
      </c>
      <c r="C575" s="104" t="s">
        <v>890</v>
      </c>
      <c r="D575" s="104" t="s">
        <v>642</v>
      </c>
      <c r="E575" s="10" t="s">
        <v>643</v>
      </c>
      <c r="G575" s="10" t="s">
        <v>1687</v>
      </c>
      <c r="H575" s="10" t="s">
        <v>1784</v>
      </c>
      <c r="J575" s="10">
        <v>45</v>
      </c>
      <c r="K575" s="10">
        <v>90</v>
      </c>
      <c r="L575" s="10" t="s">
        <v>64</v>
      </c>
      <c r="M575" s="10" t="s">
        <v>26</v>
      </c>
      <c r="N575" s="10" t="s">
        <v>1819</v>
      </c>
      <c r="O575" s="10" t="s">
        <v>957</v>
      </c>
      <c r="P575" s="10">
        <v>8</v>
      </c>
      <c r="Q575" s="10" t="s">
        <v>1822</v>
      </c>
      <c r="R575" s="136">
        <v>100</v>
      </c>
      <c r="S575" s="105">
        <f t="shared" si="141"/>
        <v>0</v>
      </c>
      <c r="T575" s="105">
        <v>0</v>
      </c>
      <c r="U575" s="105">
        <v>0</v>
      </c>
      <c r="V575" s="156">
        <f>INDEX(Chemical_analyses!$A:$L, MATCH($P575, Chemical_analyses!$A:$A), 9)/$R$2/(INDEX(Chemical_analyses!$A:$L, MATCH($P575, Chemical_analyses!$A:$A), 9)/$R$2+INDEX(Chemical_analyses!$A:$L, MATCH($P575, Chemical_analyses!$A:$A), 11)/$S$2)*100</f>
        <v>8.1595709064305506</v>
      </c>
      <c r="W575" s="157">
        <f t="shared" si="142"/>
        <v>91.840429093569455</v>
      </c>
      <c r="X575" s="106">
        <v>0</v>
      </c>
      <c r="Y575" s="106">
        <f t="shared" si="146"/>
        <v>0</v>
      </c>
      <c r="Z575" s="106">
        <v>0</v>
      </c>
      <c r="AA575" s="156">
        <v>0</v>
      </c>
      <c r="AB575" s="106">
        <f t="shared" si="147"/>
        <v>0</v>
      </c>
      <c r="AC575" s="137">
        <v>0</v>
      </c>
      <c r="AD575" s="106">
        <v>0</v>
      </c>
      <c r="AE575" s="106">
        <f t="shared" si="148"/>
        <v>0</v>
      </c>
      <c r="AF575" s="137">
        <v>0</v>
      </c>
      <c r="AG575" s="10" t="s">
        <v>69</v>
      </c>
      <c r="AH575" s="107" t="str">
        <f>_xlfn.CONCAT("FeO: ", INDEX(Chemical_analyses!$A:$M, MATCH($P575, Chemical_analyses!$A:$A), 9), ", MgO: ", INDEX(Chemical_analyses!$A:$M, MATCH($P575, Chemical_analyses!$A:$A), 11), ", CaO: ", INDEX(Chemical_analyses!$A:$M, MATCH($P575, Chemical_analyses!$A:$A), 12), ", MnO: ", INDEX(Chemical_analyses!$A:$M, MATCH($P575, Chemical_analyses!$A:$A), 10), ", NaO2: ", INDEX(Chemical_analyses!$A:$M, MATCH($P575, Chemical_analyses!$A:$A), 13), ", Fe2O3: ", INDEX(Chemical_analyses!$A:$M, MATCH($P575, Chemical_analyses!$A:$A), 8), ", Al2O3: ", INDEX(Chemical_analyses!$A:$M, MATCH($P575, Chemical_analyses!$A:$A), 6))</f>
        <v>FeO: 8.05, MgO: 50.83, CaO: 0, MnO: 0.1, NaO2: 0, Fe2O3: 0, Al2O3: 0</v>
      </c>
      <c r="AI575" s="107"/>
      <c r="AJ575" s="107"/>
      <c r="AN575" s="31"/>
      <c r="AO575" s="31"/>
      <c r="AP575" s="31"/>
      <c r="AQ575" s="31"/>
      <c r="AW575" s="31"/>
      <c r="AX575" s="31"/>
      <c r="AY575" s="31"/>
      <c r="AZ575" s="31"/>
    </row>
    <row r="576" spans="1:52" s="10" customFormat="1">
      <c r="A576" s="10" t="s">
        <v>1823</v>
      </c>
      <c r="B576" s="103" t="s">
        <v>1824</v>
      </c>
      <c r="C576" s="104" t="s">
        <v>890</v>
      </c>
      <c r="D576" s="104" t="s">
        <v>642</v>
      </c>
      <c r="E576" s="10" t="s">
        <v>643</v>
      </c>
      <c r="G576" s="10" t="s">
        <v>1598</v>
      </c>
      <c r="H576" s="10" t="s">
        <v>1825</v>
      </c>
      <c r="J576" s="10">
        <v>0</v>
      </c>
      <c r="K576" s="10">
        <v>45</v>
      </c>
      <c r="L576" s="10" t="s">
        <v>64</v>
      </c>
      <c r="M576" s="10" t="s">
        <v>26</v>
      </c>
      <c r="N576" s="10" t="s">
        <v>1255</v>
      </c>
      <c r="O576" s="10" t="s">
        <v>957</v>
      </c>
      <c r="P576" s="10">
        <v>9</v>
      </c>
      <c r="Q576" s="10" t="s">
        <v>1826</v>
      </c>
      <c r="R576" s="136">
        <v>100</v>
      </c>
      <c r="S576" s="105">
        <f t="shared" si="141"/>
        <v>0</v>
      </c>
      <c r="T576" s="105">
        <v>0</v>
      </c>
      <c r="U576" s="105">
        <v>0</v>
      </c>
      <c r="V576" s="156">
        <f>INDEX(Chemical_analyses!$A:$L, MATCH($P576, Chemical_analyses!$A:$A), 9)/$R$2/(INDEX(Chemical_analyses!$A:$L, MATCH($P576, Chemical_analyses!$A:$A), 9)/$R$2+INDEX(Chemical_analyses!$A:$L, MATCH($P576, Chemical_analyses!$A:$A), 11)/$S$2)*100</f>
        <v>40.467760540572662</v>
      </c>
      <c r="W576" s="157">
        <f t="shared" si="142"/>
        <v>59.532239459427338</v>
      </c>
      <c r="X576" s="106">
        <v>0</v>
      </c>
      <c r="Y576" s="106">
        <f t="shared" si="146"/>
        <v>0</v>
      </c>
      <c r="Z576" s="106">
        <v>0</v>
      </c>
      <c r="AA576" s="156">
        <v>0</v>
      </c>
      <c r="AB576" s="106">
        <f t="shared" si="147"/>
        <v>0</v>
      </c>
      <c r="AC576" s="137">
        <v>0</v>
      </c>
      <c r="AD576" s="106">
        <v>0</v>
      </c>
      <c r="AE576" s="106">
        <f t="shared" si="148"/>
        <v>0</v>
      </c>
      <c r="AF576" s="137">
        <v>0</v>
      </c>
      <c r="AG576" s="10" t="s">
        <v>69</v>
      </c>
      <c r="AH576" s="107" t="str">
        <f>_xlfn.CONCAT("FeO: ", INDEX(Chemical_analyses!$A:$M, MATCH($P576, Chemical_analyses!$A:$A), 9), ", MgO: ", INDEX(Chemical_analyses!$A:$M, MATCH($P576, Chemical_analyses!$A:$A), 11), ", CaO: ", INDEX(Chemical_analyses!$A:$M, MATCH($P576, Chemical_analyses!$A:$A), 12), ", MnO: ", INDEX(Chemical_analyses!$A:$M, MATCH($P576, Chemical_analyses!$A:$A), 10), ", NaO2: ", INDEX(Chemical_analyses!$A:$M, MATCH($P576, Chemical_analyses!$A:$A), 13), ", Fe2O3: ", INDEX(Chemical_analyses!$A:$M, MATCH($P576, Chemical_analyses!$A:$A), 8), ", Al2O3: ", INDEX(Chemical_analyses!$A:$M, MATCH($P576, Chemical_analyses!$A:$A), 6))</f>
        <v>FeO: 34.97, MgO: 28.86, CaO: 0.03, MnO: 0.47, NaO2: 0, Fe2O3: 0, Al2O3: 0</v>
      </c>
      <c r="AI576" s="107"/>
      <c r="AJ576" s="107"/>
      <c r="AN576" s="31"/>
      <c r="AO576" s="31"/>
      <c r="AP576" s="31"/>
      <c r="AQ576" s="31"/>
      <c r="AW576" s="31"/>
      <c r="AX576" s="31"/>
      <c r="AY576" s="31"/>
      <c r="AZ576" s="31"/>
    </row>
    <row r="577" spans="1:52" s="10" customFormat="1">
      <c r="A577" s="10" t="s">
        <v>1827</v>
      </c>
      <c r="B577" s="103" t="s">
        <v>1824</v>
      </c>
      <c r="C577" s="104" t="s">
        <v>890</v>
      </c>
      <c r="D577" s="104" t="s">
        <v>642</v>
      </c>
      <c r="E577" s="10" t="s">
        <v>643</v>
      </c>
      <c r="G577" s="10" t="s">
        <v>1598</v>
      </c>
      <c r="H577" s="10" t="s">
        <v>1825</v>
      </c>
      <c r="J577" s="10">
        <v>45</v>
      </c>
      <c r="K577" s="10">
        <v>90</v>
      </c>
      <c r="L577" s="10" t="s">
        <v>64</v>
      </c>
      <c r="M577" s="10" t="s">
        <v>26</v>
      </c>
      <c r="N577" s="10" t="s">
        <v>1255</v>
      </c>
      <c r="O577" s="10" t="s">
        <v>957</v>
      </c>
      <c r="P577" s="10">
        <v>9</v>
      </c>
      <c r="Q577" s="10" t="s">
        <v>1828</v>
      </c>
      <c r="R577" s="136">
        <v>100</v>
      </c>
      <c r="S577" s="105">
        <f t="shared" si="141"/>
        <v>0</v>
      </c>
      <c r="T577" s="105">
        <v>0</v>
      </c>
      <c r="U577" s="105">
        <v>0</v>
      </c>
      <c r="V577" s="156">
        <f>INDEX(Chemical_analyses!$A:$L, MATCH($P577, Chemical_analyses!$A:$A), 9)/$R$2/(INDEX(Chemical_analyses!$A:$L, MATCH($P577, Chemical_analyses!$A:$A), 9)/$R$2+INDEX(Chemical_analyses!$A:$L, MATCH($P577, Chemical_analyses!$A:$A), 11)/$S$2)*100</f>
        <v>40.467760540572662</v>
      </c>
      <c r="W577" s="157">
        <f t="shared" si="142"/>
        <v>59.532239459427338</v>
      </c>
      <c r="X577" s="106">
        <v>0</v>
      </c>
      <c r="Y577" s="106">
        <f t="shared" si="146"/>
        <v>0</v>
      </c>
      <c r="Z577" s="106">
        <v>0</v>
      </c>
      <c r="AA577" s="156">
        <v>0</v>
      </c>
      <c r="AB577" s="106">
        <f t="shared" si="147"/>
        <v>0</v>
      </c>
      <c r="AC577" s="137">
        <v>0</v>
      </c>
      <c r="AD577" s="106">
        <v>0</v>
      </c>
      <c r="AE577" s="106">
        <f t="shared" si="148"/>
        <v>0</v>
      </c>
      <c r="AF577" s="137">
        <v>0</v>
      </c>
      <c r="AG577" s="10" t="s">
        <v>69</v>
      </c>
      <c r="AH577" s="107" t="str">
        <f>_xlfn.CONCAT("FeO: ", INDEX(Chemical_analyses!$A:$M, MATCH($P577, Chemical_analyses!$A:$A), 9), ", MgO: ", INDEX(Chemical_analyses!$A:$M, MATCH($P577, Chemical_analyses!$A:$A), 11), ", CaO: ", INDEX(Chemical_analyses!$A:$M, MATCH($P577, Chemical_analyses!$A:$A), 12), ", MnO: ", INDEX(Chemical_analyses!$A:$M, MATCH($P577, Chemical_analyses!$A:$A), 10), ", NaO2: ", INDEX(Chemical_analyses!$A:$M, MATCH($P577, Chemical_analyses!$A:$A), 13), ", Fe2O3: ", INDEX(Chemical_analyses!$A:$M, MATCH($P577, Chemical_analyses!$A:$A), 8), ", Al2O3: ", INDEX(Chemical_analyses!$A:$M, MATCH($P577, Chemical_analyses!$A:$A), 6))</f>
        <v>FeO: 34.97, MgO: 28.86, CaO: 0.03, MnO: 0.47, NaO2: 0, Fe2O3: 0, Al2O3: 0</v>
      </c>
      <c r="AI577" s="107"/>
      <c r="AJ577" s="107"/>
      <c r="AN577" s="31"/>
      <c r="AO577" s="31"/>
      <c r="AP577" s="31"/>
      <c r="AQ577" s="31"/>
      <c r="AW577" s="31"/>
      <c r="AX577" s="31"/>
      <c r="AY577" s="31"/>
      <c r="AZ577" s="31"/>
    </row>
    <row r="578" spans="1:52" s="10" customFormat="1">
      <c r="A578" s="10" t="s">
        <v>1829</v>
      </c>
      <c r="B578" s="103" t="s">
        <v>1830</v>
      </c>
      <c r="C578" s="104" t="s">
        <v>890</v>
      </c>
      <c r="D578" s="104" t="s">
        <v>642</v>
      </c>
      <c r="E578" s="10" t="s">
        <v>643</v>
      </c>
      <c r="G578" s="10" t="s">
        <v>1687</v>
      </c>
      <c r="H578" s="10" t="s">
        <v>1806</v>
      </c>
      <c r="J578" s="10">
        <v>0</v>
      </c>
      <c r="K578" s="10">
        <v>45</v>
      </c>
      <c r="L578" s="10" t="s">
        <v>64</v>
      </c>
      <c r="M578" s="10" t="s">
        <v>26</v>
      </c>
      <c r="N578" s="10" t="s">
        <v>1714</v>
      </c>
      <c r="O578" s="10" t="s">
        <v>957</v>
      </c>
      <c r="P578" s="10">
        <v>10</v>
      </c>
      <c r="Q578" s="10" t="s">
        <v>1831</v>
      </c>
      <c r="R578" s="136">
        <v>100</v>
      </c>
      <c r="S578" s="105">
        <f t="shared" si="141"/>
        <v>0</v>
      </c>
      <c r="T578" s="105">
        <v>0</v>
      </c>
      <c r="U578" s="105">
        <v>0</v>
      </c>
      <c r="V578" s="156">
        <f>INDEX(Chemical_analyses!$A:$L, MATCH($P578, Chemical_analyses!$A:$A), 9)/$R$2/(INDEX(Chemical_analyses!$A:$L, MATCH($P578, Chemical_analyses!$A:$A), 9)/$R$2+INDEX(Chemical_analyses!$A:$L, MATCH($P578, Chemical_analyses!$A:$A), 11)/$S$2)*100</f>
        <v>14.129302224047931</v>
      </c>
      <c r="W578" s="157">
        <f t="shared" si="142"/>
        <v>85.870697775952067</v>
      </c>
      <c r="X578" s="106">
        <v>0</v>
      </c>
      <c r="Y578" s="106">
        <f t="shared" si="146"/>
        <v>0</v>
      </c>
      <c r="Z578" s="106">
        <v>0</v>
      </c>
      <c r="AA578" s="156">
        <v>0</v>
      </c>
      <c r="AB578" s="106">
        <f t="shared" si="147"/>
        <v>0</v>
      </c>
      <c r="AC578" s="137">
        <v>0</v>
      </c>
      <c r="AD578" s="106">
        <v>0</v>
      </c>
      <c r="AE578" s="106">
        <f t="shared" si="148"/>
        <v>0</v>
      </c>
      <c r="AF578" s="137">
        <v>0</v>
      </c>
      <c r="AG578" s="10" t="s">
        <v>69</v>
      </c>
      <c r="AH578" s="107" t="str">
        <f>_xlfn.CONCAT("FeO: ", INDEX(Chemical_analyses!$A:$M, MATCH($P578, Chemical_analyses!$A:$A), 9), ", MgO: ", INDEX(Chemical_analyses!$A:$M, MATCH($P578, Chemical_analyses!$A:$A), 11), ", CaO: ", INDEX(Chemical_analyses!$A:$M, MATCH($P578, Chemical_analyses!$A:$A), 12), ", MnO: ", INDEX(Chemical_analyses!$A:$M, MATCH($P578, Chemical_analyses!$A:$A), 10), ", NaO2: ", INDEX(Chemical_analyses!$A:$M, MATCH($P578, Chemical_analyses!$A:$A), 13), ", Fe2O3: ", INDEX(Chemical_analyses!$A:$M, MATCH($P578, Chemical_analyses!$A:$A), 8), ", Al2O3: ", INDEX(Chemical_analyses!$A:$M, MATCH($P578, Chemical_analyses!$A:$A), 6))</f>
        <v>FeO: 13.36, MgO: 45.55, CaO: 0.03, MnO: 0.19, NaO2: 0, Fe2O3: 0, Al2O3: 0</v>
      </c>
      <c r="AI578" s="107"/>
      <c r="AJ578" s="107"/>
      <c r="AN578" s="31"/>
      <c r="AO578" s="31"/>
      <c r="AP578" s="31"/>
      <c r="AQ578" s="31"/>
      <c r="AW578" s="31"/>
      <c r="AX578" s="31"/>
      <c r="AY578" s="31"/>
      <c r="AZ578" s="31"/>
    </row>
    <row r="579" spans="1:52" s="10" customFormat="1">
      <c r="A579" s="10" t="s">
        <v>1832</v>
      </c>
      <c r="B579" s="103" t="s">
        <v>1830</v>
      </c>
      <c r="C579" s="104" t="s">
        <v>890</v>
      </c>
      <c r="D579" s="104" t="s">
        <v>642</v>
      </c>
      <c r="E579" s="10" t="s">
        <v>643</v>
      </c>
      <c r="G579" s="10" t="s">
        <v>1687</v>
      </c>
      <c r="H579" s="10" t="s">
        <v>1806</v>
      </c>
      <c r="J579" s="10">
        <v>45</v>
      </c>
      <c r="K579" s="10">
        <v>90</v>
      </c>
      <c r="L579" s="10" t="s">
        <v>64</v>
      </c>
      <c r="M579" s="10" t="s">
        <v>26</v>
      </c>
      <c r="N579" s="10" t="s">
        <v>1714</v>
      </c>
      <c r="O579" s="10" t="s">
        <v>957</v>
      </c>
      <c r="P579" s="10">
        <v>10</v>
      </c>
      <c r="Q579" s="10" t="s">
        <v>1833</v>
      </c>
      <c r="R579" s="136">
        <v>100</v>
      </c>
      <c r="S579" s="105">
        <f t="shared" si="141"/>
        <v>0</v>
      </c>
      <c r="T579" s="105">
        <v>0</v>
      </c>
      <c r="U579" s="105">
        <v>0</v>
      </c>
      <c r="V579" s="156">
        <f>INDEX(Chemical_analyses!$A:$L, MATCH($P579, Chemical_analyses!$A:$A), 9)/$R$2/(INDEX(Chemical_analyses!$A:$L, MATCH($P579, Chemical_analyses!$A:$A), 9)/$R$2+INDEX(Chemical_analyses!$A:$L, MATCH($P579, Chemical_analyses!$A:$A), 11)/$S$2)*100</f>
        <v>14.129302224047931</v>
      </c>
      <c r="W579" s="157">
        <f t="shared" si="142"/>
        <v>85.870697775952067</v>
      </c>
      <c r="X579" s="106">
        <v>0</v>
      </c>
      <c r="Y579" s="106">
        <f t="shared" si="146"/>
        <v>0</v>
      </c>
      <c r="Z579" s="106">
        <v>0</v>
      </c>
      <c r="AA579" s="156">
        <v>0</v>
      </c>
      <c r="AB579" s="106">
        <f t="shared" si="147"/>
        <v>0</v>
      </c>
      <c r="AC579" s="137">
        <v>0</v>
      </c>
      <c r="AD579" s="106">
        <v>0</v>
      </c>
      <c r="AE579" s="106">
        <f t="shared" si="148"/>
        <v>0</v>
      </c>
      <c r="AF579" s="137">
        <v>0</v>
      </c>
      <c r="AG579" s="10" t="s">
        <v>69</v>
      </c>
      <c r="AH579" s="107" t="str">
        <f>_xlfn.CONCAT("FeO: ", INDEX(Chemical_analyses!$A:$M, MATCH($P579, Chemical_analyses!$A:$A), 9), ", MgO: ", INDEX(Chemical_analyses!$A:$M, MATCH($P579, Chemical_analyses!$A:$A), 11), ", CaO: ", INDEX(Chemical_analyses!$A:$M, MATCH($P579, Chemical_analyses!$A:$A), 12), ", MnO: ", INDEX(Chemical_analyses!$A:$M, MATCH($P579, Chemical_analyses!$A:$A), 10), ", NaO2: ", INDEX(Chemical_analyses!$A:$M, MATCH($P579, Chemical_analyses!$A:$A), 13), ", Fe2O3: ", INDEX(Chemical_analyses!$A:$M, MATCH($P579, Chemical_analyses!$A:$A), 8), ", Al2O3: ", INDEX(Chemical_analyses!$A:$M, MATCH($P579, Chemical_analyses!$A:$A), 6))</f>
        <v>FeO: 13.36, MgO: 45.55, CaO: 0.03, MnO: 0.19, NaO2: 0, Fe2O3: 0, Al2O3: 0</v>
      </c>
      <c r="AI579" s="107"/>
      <c r="AJ579" s="107"/>
      <c r="AN579" s="31"/>
      <c r="AO579" s="31"/>
      <c r="AP579" s="31"/>
      <c r="AQ579" s="31"/>
      <c r="AW579" s="31"/>
      <c r="AX579" s="31"/>
      <c r="AY579" s="31"/>
      <c r="AZ579" s="31"/>
    </row>
    <row r="580" spans="1:52" s="10" customFormat="1">
      <c r="A580" s="10" t="s">
        <v>1834</v>
      </c>
      <c r="B580" s="103" t="s">
        <v>1835</v>
      </c>
      <c r="C580" s="104" t="s">
        <v>961</v>
      </c>
      <c r="D580" s="104" t="s">
        <v>642</v>
      </c>
      <c r="E580" s="10" t="s">
        <v>643</v>
      </c>
      <c r="G580" s="10" t="s">
        <v>1598</v>
      </c>
      <c r="H580" s="10" t="s">
        <v>1602</v>
      </c>
      <c r="J580" s="10">
        <v>45</v>
      </c>
      <c r="K580" s="10">
        <v>0</v>
      </c>
      <c r="L580" s="10" t="s">
        <v>64</v>
      </c>
      <c r="M580" s="10" t="s">
        <v>26</v>
      </c>
      <c r="N580" s="10" t="s">
        <v>1836</v>
      </c>
      <c r="O580" s="10" t="s">
        <v>768</v>
      </c>
      <c r="P580" s="10">
        <v>0</v>
      </c>
      <c r="R580" s="136">
        <v>100</v>
      </c>
      <c r="S580" s="105">
        <f t="shared" si="141"/>
        <v>0</v>
      </c>
      <c r="T580" s="105">
        <v>0</v>
      </c>
      <c r="U580" s="105">
        <v>0</v>
      </c>
      <c r="V580" s="136">
        <v>6</v>
      </c>
      <c r="W580" s="157">
        <f t="shared" si="142"/>
        <v>94</v>
      </c>
      <c r="X580" s="106">
        <v>0</v>
      </c>
      <c r="Y580" s="106">
        <f t="shared" si="146"/>
        <v>0</v>
      </c>
      <c r="Z580" s="106">
        <v>0</v>
      </c>
      <c r="AA580" s="156">
        <v>0</v>
      </c>
      <c r="AB580" s="106">
        <f t="shared" si="147"/>
        <v>0</v>
      </c>
      <c r="AC580" s="137">
        <v>0</v>
      </c>
      <c r="AD580" s="106">
        <v>0</v>
      </c>
      <c r="AE580" s="106">
        <f t="shared" si="148"/>
        <v>0</v>
      </c>
      <c r="AF580" s="137">
        <v>0</v>
      </c>
      <c r="AG580" s="10" t="s">
        <v>69</v>
      </c>
      <c r="AH580" s="201" t="s">
        <v>1837</v>
      </c>
      <c r="AI580" s="107"/>
      <c r="AJ580" s="107"/>
      <c r="AN580" s="31"/>
      <c r="AO580" s="31"/>
      <c r="AP580" s="31"/>
      <c r="AQ580" s="31"/>
      <c r="AW580" s="31"/>
      <c r="AX580" s="31"/>
      <c r="AY580" s="31"/>
      <c r="AZ580" s="31"/>
    </row>
    <row r="581" spans="1:52" s="10" customFormat="1">
      <c r="A581" s="10" t="s">
        <v>1838</v>
      </c>
      <c r="B581" s="103" t="s">
        <v>1839</v>
      </c>
      <c r="C581" s="104" t="s">
        <v>961</v>
      </c>
      <c r="D581" s="104" t="s">
        <v>642</v>
      </c>
      <c r="E581" s="10" t="s">
        <v>643</v>
      </c>
      <c r="G581" s="10" t="s">
        <v>1598</v>
      </c>
      <c r="H581" s="10" t="s">
        <v>1602</v>
      </c>
      <c r="J581" s="10">
        <v>45</v>
      </c>
      <c r="K581" s="10">
        <v>75</v>
      </c>
      <c r="L581" s="10" t="s">
        <v>64</v>
      </c>
      <c r="M581" s="10" t="s">
        <v>26</v>
      </c>
      <c r="N581" s="10" t="s">
        <v>1836</v>
      </c>
      <c r="O581" s="10" t="s">
        <v>768</v>
      </c>
      <c r="P581" s="10">
        <v>0</v>
      </c>
      <c r="R581" s="136">
        <v>100</v>
      </c>
      <c r="S581" s="105">
        <f t="shared" si="141"/>
        <v>0</v>
      </c>
      <c r="T581" s="105">
        <v>0</v>
      </c>
      <c r="U581" s="105">
        <v>0</v>
      </c>
      <c r="V581" s="136">
        <v>6</v>
      </c>
      <c r="W581" s="157">
        <f t="shared" si="142"/>
        <v>94</v>
      </c>
      <c r="X581" s="106">
        <v>0</v>
      </c>
      <c r="Y581" s="106">
        <f t="shared" si="146"/>
        <v>0</v>
      </c>
      <c r="Z581" s="106">
        <v>0</v>
      </c>
      <c r="AA581" s="156">
        <v>0</v>
      </c>
      <c r="AB581" s="106">
        <f t="shared" si="147"/>
        <v>0</v>
      </c>
      <c r="AC581" s="137">
        <v>0</v>
      </c>
      <c r="AD581" s="106">
        <v>0</v>
      </c>
      <c r="AE581" s="106">
        <f t="shared" si="148"/>
        <v>0</v>
      </c>
      <c r="AF581" s="137">
        <v>0</v>
      </c>
      <c r="AG581" s="10" t="s">
        <v>69</v>
      </c>
      <c r="AH581" s="109" t="s">
        <v>1837</v>
      </c>
      <c r="AI581" s="107"/>
      <c r="AJ581" s="107"/>
      <c r="AN581" s="31"/>
      <c r="AO581" s="31"/>
      <c r="AP581" s="31"/>
      <c r="AQ581" s="31"/>
      <c r="AW581" s="31"/>
      <c r="AX581" s="31"/>
      <c r="AY581" s="31"/>
      <c r="AZ581" s="31"/>
    </row>
    <row r="582" spans="1:52" s="10" customFormat="1">
      <c r="A582" s="10" t="s">
        <v>1840</v>
      </c>
      <c r="B582" s="103" t="s">
        <v>1841</v>
      </c>
      <c r="C582" s="104" t="s">
        <v>961</v>
      </c>
      <c r="D582" s="104" t="s">
        <v>642</v>
      </c>
      <c r="E582" s="10" t="s">
        <v>643</v>
      </c>
      <c r="G582" s="10" t="s">
        <v>1598</v>
      </c>
      <c r="H582" s="10" t="s">
        <v>1602</v>
      </c>
      <c r="J582" s="10">
        <v>5</v>
      </c>
      <c r="K582" s="10">
        <v>10</v>
      </c>
      <c r="L582" s="10" t="s">
        <v>64</v>
      </c>
      <c r="M582" s="10" t="s">
        <v>26</v>
      </c>
      <c r="N582" s="10" t="s">
        <v>1836</v>
      </c>
      <c r="O582" s="10" t="s">
        <v>768</v>
      </c>
      <c r="P582" s="10">
        <v>0</v>
      </c>
      <c r="R582" s="136">
        <v>100</v>
      </c>
      <c r="S582" s="105">
        <f t="shared" si="141"/>
        <v>0</v>
      </c>
      <c r="T582" s="105">
        <v>0</v>
      </c>
      <c r="U582" s="105">
        <v>0</v>
      </c>
      <c r="V582" s="136">
        <v>6</v>
      </c>
      <c r="W582" s="157">
        <f t="shared" si="142"/>
        <v>94</v>
      </c>
      <c r="X582" s="106">
        <v>0</v>
      </c>
      <c r="Y582" s="106">
        <f t="shared" si="146"/>
        <v>0</v>
      </c>
      <c r="Z582" s="106">
        <v>0</v>
      </c>
      <c r="AA582" s="156">
        <v>0</v>
      </c>
      <c r="AB582" s="106">
        <f t="shared" si="147"/>
        <v>0</v>
      </c>
      <c r="AC582" s="137">
        <v>0</v>
      </c>
      <c r="AD582" s="106">
        <v>0</v>
      </c>
      <c r="AE582" s="106">
        <f t="shared" si="148"/>
        <v>0</v>
      </c>
      <c r="AF582" s="137">
        <v>0</v>
      </c>
      <c r="AG582" s="10" t="s">
        <v>69</v>
      </c>
      <c r="AH582" s="109" t="s">
        <v>1837</v>
      </c>
      <c r="AI582" s="107"/>
      <c r="AJ582" s="107"/>
      <c r="AN582" s="31"/>
      <c r="AO582" s="31"/>
      <c r="AP582" s="31"/>
      <c r="AQ582" s="31"/>
      <c r="AW582" s="31"/>
      <c r="AX582" s="31"/>
      <c r="AY582" s="31"/>
      <c r="AZ582" s="31"/>
    </row>
    <row r="583" spans="1:52" s="10" customFormat="1">
      <c r="A583" s="10" t="s">
        <v>1842</v>
      </c>
      <c r="B583" s="103" t="s">
        <v>1843</v>
      </c>
      <c r="C583" s="104" t="s">
        <v>961</v>
      </c>
      <c r="D583" s="104" t="s">
        <v>642</v>
      </c>
      <c r="E583" s="10" t="s">
        <v>643</v>
      </c>
      <c r="G583" s="10" t="s">
        <v>1598</v>
      </c>
      <c r="H583" s="10" t="s">
        <v>1602</v>
      </c>
      <c r="J583" s="10">
        <v>0</v>
      </c>
      <c r="K583" s="10">
        <v>5</v>
      </c>
      <c r="L583" s="10" t="s">
        <v>64</v>
      </c>
      <c r="M583" s="10" t="s">
        <v>26</v>
      </c>
      <c r="N583" s="10" t="s">
        <v>1836</v>
      </c>
      <c r="O583" s="10" t="s">
        <v>768</v>
      </c>
      <c r="P583" s="10">
        <v>0</v>
      </c>
      <c r="R583" s="136">
        <v>100</v>
      </c>
      <c r="S583" s="105">
        <f t="shared" si="141"/>
        <v>0</v>
      </c>
      <c r="T583" s="105">
        <v>0</v>
      </c>
      <c r="U583" s="105">
        <v>0</v>
      </c>
      <c r="V583" s="136">
        <v>6</v>
      </c>
      <c r="W583" s="157">
        <f t="shared" si="142"/>
        <v>94</v>
      </c>
      <c r="X583" s="106">
        <v>0</v>
      </c>
      <c r="Y583" s="106">
        <f t="shared" si="146"/>
        <v>0</v>
      </c>
      <c r="Z583" s="106">
        <v>0</v>
      </c>
      <c r="AA583" s="156">
        <v>0</v>
      </c>
      <c r="AB583" s="106">
        <f t="shared" si="147"/>
        <v>0</v>
      </c>
      <c r="AC583" s="137">
        <v>0</v>
      </c>
      <c r="AD583" s="106">
        <v>0</v>
      </c>
      <c r="AE583" s="106">
        <f t="shared" si="148"/>
        <v>0</v>
      </c>
      <c r="AF583" s="137">
        <v>0</v>
      </c>
      <c r="AG583" s="10" t="s">
        <v>69</v>
      </c>
      <c r="AH583" s="109" t="s">
        <v>1837</v>
      </c>
      <c r="AI583" s="107"/>
      <c r="AJ583" s="107"/>
      <c r="AN583" s="31"/>
      <c r="AO583" s="31"/>
      <c r="AP583" s="31"/>
      <c r="AQ583" s="31"/>
      <c r="AW583" s="31"/>
      <c r="AX583" s="31"/>
      <c r="AY583" s="31"/>
      <c r="AZ583" s="31"/>
    </row>
    <row r="584" spans="1:52" s="10" customFormat="1">
      <c r="A584" s="10" t="s">
        <v>1844</v>
      </c>
      <c r="B584" s="103" t="s">
        <v>1845</v>
      </c>
      <c r="C584" s="104" t="s">
        <v>1301</v>
      </c>
      <c r="D584" s="104" t="s">
        <v>642</v>
      </c>
      <c r="E584" s="10" t="s">
        <v>643</v>
      </c>
      <c r="G584" s="10" t="s">
        <v>1598</v>
      </c>
      <c r="H584" s="10" t="s">
        <v>1784</v>
      </c>
      <c r="J584" s="10">
        <v>0</v>
      </c>
      <c r="K584" s="10">
        <v>100</v>
      </c>
      <c r="L584" s="10" t="s">
        <v>64</v>
      </c>
      <c r="M584" s="10" t="s">
        <v>26</v>
      </c>
      <c r="N584" s="10" t="s">
        <v>1846</v>
      </c>
      <c r="O584" s="10" t="s">
        <v>1303</v>
      </c>
      <c r="P584" s="10">
        <v>0</v>
      </c>
      <c r="Q584" s="10" t="s">
        <v>1847</v>
      </c>
      <c r="R584" s="136">
        <v>100</v>
      </c>
      <c r="S584" s="105">
        <f t="shared" si="141"/>
        <v>0</v>
      </c>
      <c r="T584" s="105">
        <v>0</v>
      </c>
      <c r="U584" s="105">
        <v>0</v>
      </c>
      <c r="V584" s="136">
        <v>12</v>
      </c>
      <c r="W584" s="157">
        <f t="shared" si="142"/>
        <v>88</v>
      </c>
      <c r="X584" s="106">
        <v>0</v>
      </c>
      <c r="Y584" s="106">
        <f t="shared" si="146"/>
        <v>0</v>
      </c>
      <c r="Z584" s="106">
        <v>0</v>
      </c>
      <c r="AA584" s="156">
        <v>0</v>
      </c>
      <c r="AB584" s="106">
        <f t="shared" si="147"/>
        <v>0</v>
      </c>
      <c r="AC584" s="137">
        <v>0</v>
      </c>
      <c r="AD584" s="106">
        <v>0</v>
      </c>
      <c r="AE584" s="106">
        <f t="shared" si="148"/>
        <v>0</v>
      </c>
      <c r="AF584" s="137">
        <v>0</v>
      </c>
      <c r="AG584" s="10" t="s">
        <v>69</v>
      </c>
      <c r="AH584" s="10" t="s">
        <v>1176</v>
      </c>
      <c r="AI584" s="107"/>
      <c r="AJ584" s="107"/>
      <c r="AK584" s="10" t="s">
        <v>1776</v>
      </c>
      <c r="AN584" s="31"/>
      <c r="AO584" s="31"/>
      <c r="AP584" s="31"/>
      <c r="AQ584" s="31"/>
      <c r="AW584" s="31"/>
      <c r="AX584" s="31"/>
      <c r="AY584" s="31"/>
      <c r="AZ584" s="31"/>
    </row>
    <row r="585" spans="1:52" s="10" customFormat="1">
      <c r="A585" s="10" t="s">
        <v>1848</v>
      </c>
      <c r="B585" s="103" t="s">
        <v>1849</v>
      </c>
      <c r="C585" s="104" t="s">
        <v>1301</v>
      </c>
      <c r="D585" s="104" t="s">
        <v>642</v>
      </c>
      <c r="E585" s="10" t="s">
        <v>643</v>
      </c>
      <c r="G585" s="10" t="s">
        <v>1598</v>
      </c>
      <c r="H585" s="10" t="s">
        <v>1806</v>
      </c>
      <c r="J585" s="10">
        <v>0</v>
      </c>
      <c r="K585" s="10">
        <v>0</v>
      </c>
      <c r="L585" s="10" t="s">
        <v>64</v>
      </c>
      <c r="M585" s="10" t="s">
        <v>26</v>
      </c>
      <c r="N585" s="10" t="s">
        <v>1850</v>
      </c>
      <c r="P585" s="10">
        <v>163</v>
      </c>
      <c r="Q585" s="10" t="s">
        <v>1851</v>
      </c>
      <c r="R585" s="136">
        <v>100</v>
      </c>
      <c r="S585" s="105">
        <f t="shared" si="141"/>
        <v>0</v>
      </c>
      <c r="T585" s="105">
        <v>0</v>
      </c>
      <c r="U585" s="105">
        <v>0</v>
      </c>
      <c r="V585" s="156">
        <f>INDEX(Chemical_analyses!$A:$L, MATCH($P585, Chemical_analyses!$A:$A), 9)/$R$2/(INDEX(Chemical_analyses!$A:$L, MATCH($P585, Chemical_analyses!$A:$A), 9)/$R$2+INDEX(Chemical_analyses!$A:$L, MATCH($P585, Chemical_analyses!$A:$A), 11)/$S$2)*100</f>
        <v>21.167328720899221</v>
      </c>
      <c r="W585" s="157">
        <f t="shared" si="142"/>
        <v>78.832671279100779</v>
      </c>
      <c r="X585" s="106">
        <v>0</v>
      </c>
      <c r="Y585" s="106">
        <f t="shared" si="146"/>
        <v>0</v>
      </c>
      <c r="Z585" s="106">
        <v>0</v>
      </c>
      <c r="AA585" s="156">
        <v>0</v>
      </c>
      <c r="AB585" s="106">
        <f t="shared" si="147"/>
        <v>0</v>
      </c>
      <c r="AC585" s="137">
        <v>0</v>
      </c>
      <c r="AD585" s="106">
        <v>0</v>
      </c>
      <c r="AE585" s="106">
        <f t="shared" si="148"/>
        <v>0</v>
      </c>
      <c r="AF585" s="137">
        <v>0</v>
      </c>
      <c r="AG585" s="10" t="s">
        <v>69</v>
      </c>
      <c r="AH585" s="107" t="str">
        <f>_xlfn.CONCAT("FeO: ", INDEX(Chemical_analyses!$A:$M, MATCH($P585, Chemical_analyses!$A:$A), 9), ", MgO: ", INDEX(Chemical_analyses!$A:$M, MATCH($P585, Chemical_analyses!$A:$A), 11), ", CaO: ", INDEX(Chemical_analyses!$A:$M, MATCH($P585, Chemical_analyses!$A:$A), 12), ", MnO: ", INDEX(Chemical_analyses!$A:$M, MATCH($P585, Chemical_analyses!$A:$A), 10), ", NaO2: ", INDEX(Chemical_analyses!$A:$M, MATCH($P585, Chemical_analyses!$A:$A), 13), ", Fe2O3: ", INDEX(Chemical_analyses!$A:$M, MATCH($P585, Chemical_analyses!$A:$A), 8), ", Al2O3: ", INDEX(Chemical_analyses!$A:$M, MATCH($P585, Chemical_analyses!$A:$A), 6))</f>
        <v>FeO: 19.6, MgO: 40.95, CaO: 0.07, MnO: 0.27, NaO2: 0, Fe2O3: 0, Al2O3: 0</v>
      </c>
      <c r="AI585" s="107"/>
      <c r="AJ585" s="107"/>
      <c r="AN585" s="31"/>
      <c r="AO585" s="31"/>
      <c r="AP585" s="31"/>
      <c r="AQ585" s="31"/>
      <c r="AW585" s="31"/>
      <c r="AX585" s="31"/>
      <c r="AY585" s="31"/>
      <c r="AZ585" s="31"/>
    </row>
    <row r="586" spans="1:52" s="10" customFormat="1">
      <c r="A586" s="10" t="s">
        <v>1852</v>
      </c>
      <c r="B586" s="103" t="s">
        <v>1853</v>
      </c>
      <c r="C586" s="104" t="s">
        <v>1301</v>
      </c>
      <c r="D586" s="104" t="s">
        <v>642</v>
      </c>
      <c r="E586" s="10" t="s">
        <v>643</v>
      </c>
      <c r="G586" s="10" t="s">
        <v>1598</v>
      </c>
      <c r="H586" s="10" t="s">
        <v>1825</v>
      </c>
      <c r="J586" s="10">
        <v>0</v>
      </c>
      <c r="K586" s="10">
        <v>0</v>
      </c>
      <c r="L586" s="10" t="s">
        <v>64</v>
      </c>
      <c r="M586" s="10" t="s">
        <v>26</v>
      </c>
      <c r="N586" s="10" t="s">
        <v>1854</v>
      </c>
      <c r="P586" s="10">
        <v>164</v>
      </c>
      <c r="Q586" s="10" t="s">
        <v>1855</v>
      </c>
      <c r="R586" s="136">
        <v>100</v>
      </c>
      <c r="S586" s="105">
        <f t="shared" si="141"/>
        <v>0</v>
      </c>
      <c r="T586" s="105">
        <v>0</v>
      </c>
      <c r="U586" s="105">
        <v>0</v>
      </c>
      <c r="V586" s="156">
        <f>INDEX(Chemical_analyses!$A:$L, MATCH($P586, Chemical_analyses!$A:$A), 9)/$R$2/(INDEX(Chemical_analyses!$A:$L, MATCH($P586, Chemical_analyses!$A:$A), 9)/$R$2+INDEX(Chemical_analyses!$A:$L, MATCH($P586, Chemical_analyses!$A:$A), 11)/$S$2)*100</f>
        <v>40.108488965620154</v>
      </c>
      <c r="W586" s="157">
        <f t="shared" si="142"/>
        <v>59.891511034379846</v>
      </c>
      <c r="X586" s="106">
        <v>0</v>
      </c>
      <c r="Y586" s="106">
        <f t="shared" si="146"/>
        <v>0</v>
      </c>
      <c r="Z586" s="106">
        <v>0</v>
      </c>
      <c r="AA586" s="156">
        <v>0</v>
      </c>
      <c r="AB586" s="106">
        <f t="shared" si="147"/>
        <v>0</v>
      </c>
      <c r="AC586" s="137">
        <v>0</v>
      </c>
      <c r="AD586" s="106">
        <v>0</v>
      </c>
      <c r="AE586" s="106">
        <f t="shared" si="148"/>
        <v>0</v>
      </c>
      <c r="AF586" s="137">
        <v>0</v>
      </c>
      <c r="AG586" s="10" t="s">
        <v>69</v>
      </c>
      <c r="AH586" s="107" t="str">
        <f>_xlfn.CONCAT("FeO: ", INDEX(Chemical_analyses!$A:$M, MATCH($P586, Chemical_analyses!$A:$A), 9), ", MgO: ", INDEX(Chemical_analyses!$A:$M, MATCH($P586, Chemical_analyses!$A:$A), 11), ", CaO: ", INDEX(Chemical_analyses!$A:$M, MATCH($P586, Chemical_analyses!$A:$A), 12), ", MnO: ", INDEX(Chemical_analyses!$A:$M, MATCH($P586, Chemical_analyses!$A:$A), 10), ", NaO2: ", INDEX(Chemical_analyses!$A:$M, MATCH($P586, Chemical_analyses!$A:$A), 13), ", Fe2O3: ", INDEX(Chemical_analyses!$A:$M, MATCH($P586, Chemical_analyses!$A:$A), 8), ", Al2O3: ", INDEX(Chemical_analyses!$A:$M, MATCH($P586, Chemical_analyses!$A:$A), 6))</f>
        <v>FeO: 34.38, MgO: 28.8, CaO: 0.08, MnO: 0.47, NaO2: 0, Fe2O3: 0, Al2O3: 0.06</v>
      </c>
      <c r="AI586" s="107"/>
      <c r="AJ586" s="107"/>
      <c r="AN586" s="31"/>
      <c r="AO586" s="31"/>
      <c r="AP586" s="31"/>
      <c r="AQ586" s="31"/>
      <c r="AW586" s="31"/>
      <c r="AX586" s="31"/>
      <c r="AY586" s="31"/>
      <c r="AZ586" s="31"/>
    </row>
    <row r="587" spans="1:52" s="10" customFormat="1">
      <c r="A587" s="10" t="s">
        <v>1856</v>
      </c>
      <c r="B587" s="103" t="s">
        <v>1857</v>
      </c>
      <c r="C587" s="104" t="s">
        <v>1301</v>
      </c>
      <c r="D587" s="104" t="s">
        <v>642</v>
      </c>
      <c r="E587" s="10" t="s">
        <v>643</v>
      </c>
      <c r="G587" s="10" t="s">
        <v>1598</v>
      </c>
      <c r="H587" s="10" t="s">
        <v>1825</v>
      </c>
      <c r="J587" s="10">
        <v>0</v>
      </c>
      <c r="K587" s="10">
        <v>0</v>
      </c>
      <c r="L587" s="10" t="s">
        <v>64</v>
      </c>
      <c r="M587" s="10" t="s">
        <v>26</v>
      </c>
      <c r="N587" s="10" t="s">
        <v>1858</v>
      </c>
      <c r="P587" s="10">
        <v>166</v>
      </c>
      <c r="R587" s="136">
        <v>100</v>
      </c>
      <c r="S587" s="105">
        <f t="shared" si="141"/>
        <v>0</v>
      </c>
      <c r="T587" s="105">
        <v>0</v>
      </c>
      <c r="U587" s="105">
        <v>0</v>
      </c>
      <c r="V587" s="156">
        <f>INDEX(Chemical_analyses!$A:$L, MATCH($P587, Chemical_analyses!$A:$A), 9)/$R$2/(INDEX(Chemical_analyses!$A:$L, MATCH($P587, Chemical_analyses!$A:$A), 9)/$R$2+INDEX(Chemical_analyses!$A:$L, MATCH($P587, Chemical_analyses!$A:$A), 11)/$S$2)*100</f>
        <v>40.736938959909537</v>
      </c>
      <c r="W587" s="157">
        <f t="shared" si="142"/>
        <v>59.263061040090463</v>
      </c>
      <c r="X587" s="106">
        <v>0</v>
      </c>
      <c r="Y587" s="106">
        <f t="shared" si="146"/>
        <v>0</v>
      </c>
      <c r="Z587" s="106">
        <v>0</v>
      </c>
      <c r="AA587" s="156">
        <v>0</v>
      </c>
      <c r="AB587" s="106">
        <f t="shared" si="147"/>
        <v>0</v>
      </c>
      <c r="AC587" s="137">
        <v>0</v>
      </c>
      <c r="AD587" s="106">
        <v>0</v>
      </c>
      <c r="AE587" s="106">
        <f t="shared" si="148"/>
        <v>0</v>
      </c>
      <c r="AF587" s="137">
        <v>0</v>
      </c>
      <c r="AG587" s="10" t="s">
        <v>69</v>
      </c>
      <c r="AH587" s="107" t="str">
        <f>_xlfn.CONCAT("FeO: ", INDEX(Chemical_analyses!$A:$M, MATCH($P587, Chemical_analyses!$A:$A), 9), ", MgO: ", INDEX(Chemical_analyses!$A:$M, MATCH($P587, Chemical_analyses!$A:$A), 11), ", CaO: ", INDEX(Chemical_analyses!$A:$M, MATCH($P587, Chemical_analyses!$A:$A), 12), ", MnO: ", INDEX(Chemical_analyses!$A:$M, MATCH($P587, Chemical_analyses!$A:$A), 10), ", NaO2: ", INDEX(Chemical_analyses!$A:$M, MATCH($P587, Chemical_analyses!$A:$A), 13), ", Fe2O3: ", INDEX(Chemical_analyses!$A:$M, MATCH($P587, Chemical_analyses!$A:$A), 8), ", Al2O3: ", INDEX(Chemical_analyses!$A:$M, MATCH($P587, Chemical_analyses!$A:$A), 6))</f>
        <v>FeO: 34.37, MgO: 28.05, CaO: 0.1, MnO: 0.48, NaO2: 0, Fe2O3: 0, Al2O3: 0.06</v>
      </c>
      <c r="AI587" s="107"/>
      <c r="AJ587" s="107"/>
      <c r="AN587" s="31"/>
      <c r="AO587" s="31"/>
      <c r="AP587" s="31"/>
      <c r="AQ587" s="31"/>
      <c r="AW587" s="31"/>
      <c r="AX587" s="31"/>
      <c r="AY587" s="31"/>
      <c r="AZ587" s="31"/>
    </row>
    <row r="588" spans="1:52" s="10" customFormat="1">
      <c r="A588" s="10" t="s">
        <v>1859</v>
      </c>
      <c r="B588" s="103" t="s">
        <v>1860</v>
      </c>
      <c r="C588" s="104" t="s">
        <v>1301</v>
      </c>
      <c r="D588" s="104" t="s">
        <v>642</v>
      </c>
      <c r="E588" s="10" t="s">
        <v>643</v>
      </c>
      <c r="G588" s="10" t="s">
        <v>1598</v>
      </c>
      <c r="H588" s="10" t="s">
        <v>1861</v>
      </c>
      <c r="J588" s="10">
        <v>0</v>
      </c>
      <c r="K588" s="10">
        <v>0</v>
      </c>
      <c r="L588" s="10" t="s">
        <v>64</v>
      </c>
      <c r="M588" s="10" t="s">
        <v>26</v>
      </c>
      <c r="P588" s="10">
        <v>162</v>
      </c>
      <c r="Q588" s="10" t="s">
        <v>1862</v>
      </c>
      <c r="R588" s="136">
        <v>100</v>
      </c>
      <c r="S588" s="105">
        <f t="shared" si="141"/>
        <v>0</v>
      </c>
      <c r="T588" s="105">
        <v>0</v>
      </c>
      <c r="U588" s="105">
        <v>0</v>
      </c>
      <c r="V588" s="156">
        <f>INDEX(Chemical_analyses!$A:$L, MATCH($P588, Chemical_analyses!$A:$A), 9)/$R$2/(INDEX(Chemical_analyses!$A:$L, MATCH($P588, Chemical_analyses!$A:$A), 9)/$R$2+INDEX(Chemical_analyses!$A:$L, MATCH($P588, Chemical_analyses!$A:$A), 11)/$S$2)*100</f>
        <v>49.554439890767533</v>
      </c>
      <c r="W588" s="157">
        <f t="shared" si="142"/>
        <v>50.445560109232467</v>
      </c>
      <c r="X588" s="106">
        <v>0</v>
      </c>
      <c r="Y588" s="106">
        <f t="shared" si="146"/>
        <v>0</v>
      </c>
      <c r="Z588" s="106">
        <v>0</v>
      </c>
      <c r="AA588" s="156">
        <v>0</v>
      </c>
      <c r="AB588" s="106">
        <f t="shared" si="147"/>
        <v>0</v>
      </c>
      <c r="AC588" s="137">
        <v>0</v>
      </c>
      <c r="AD588" s="106">
        <v>0</v>
      </c>
      <c r="AE588" s="106">
        <f t="shared" si="148"/>
        <v>0</v>
      </c>
      <c r="AF588" s="137">
        <v>0</v>
      </c>
      <c r="AG588" s="10" t="s">
        <v>69</v>
      </c>
      <c r="AH588" s="107" t="str">
        <f>_xlfn.CONCAT("FeO: ", INDEX(Chemical_analyses!$A:$M, MATCH($P588, Chemical_analyses!$A:$A), 9), ", MgO: ", INDEX(Chemical_analyses!$A:$M, MATCH($P588, Chemical_analyses!$A:$A), 11), ", CaO: ", INDEX(Chemical_analyses!$A:$M, MATCH($P588, Chemical_analyses!$A:$A), 12), ", MnO: ", INDEX(Chemical_analyses!$A:$M, MATCH($P588, Chemical_analyses!$A:$A), 10), ", NaO2: ", INDEX(Chemical_analyses!$A:$M, MATCH($P588, Chemical_analyses!$A:$A), 13), ", Fe2O3: ", INDEX(Chemical_analyses!$A:$M, MATCH($P588, Chemical_analyses!$A:$A), 8), ", Al2O3: ", INDEX(Chemical_analyses!$A:$M, MATCH($P588, Chemical_analyses!$A:$A), 6))</f>
        <v>FeO: 41.15, MgO: 23.5, CaO: 0.03, MnO: 0.54, NaO2: 0, Fe2O3: 0, Al2O3: 0.02</v>
      </c>
      <c r="AI588" s="107"/>
      <c r="AJ588" s="107"/>
      <c r="AN588" s="31"/>
      <c r="AO588" s="31"/>
      <c r="AP588" s="31"/>
      <c r="AQ588" s="31"/>
      <c r="AW588" s="31"/>
      <c r="AX588" s="31"/>
      <c r="AY588" s="31"/>
      <c r="AZ588" s="31"/>
    </row>
    <row r="589" spans="1:52" s="10" customFormat="1">
      <c r="A589" s="10" t="s">
        <v>1863</v>
      </c>
      <c r="B589" s="103" t="s">
        <v>1793</v>
      </c>
      <c r="C589" s="104" t="s">
        <v>890</v>
      </c>
      <c r="D589" s="104" t="s">
        <v>642</v>
      </c>
      <c r="E589" s="10" t="s">
        <v>643</v>
      </c>
      <c r="G589" s="10" t="s">
        <v>1598</v>
      </c>
      <c r="H589" s="10" t="s">
        <v>1602</v>
      </c>
      <c r="J589" s="10">
        <v>45</v>
      </c>
      <c r="K589" s="10">
        <v>90</v>
      </c>
      <c r="L589" s="10" t="s">
        <v>64</v>
      </c>
      <c r="M589" s="10" t="s">
        <v>26</v>
      </c>
      <c r="N589" s="10" t="s">
        <v>1864</v>
      </c>
      <c r="O589" s="10" t="s">
        <v>957</v>
      </c>
      <c r="P589" s="10">
        <v>4</v>
      </c>
      <c r="Q589" s="10" t="s">
        <v>1865</v>
      </c>
      <c r="R589" s="136">
        <v>100</v>
      </c>
      <c r="S589" s="105">
        <f t="shared" si="141"/>
        <v>0</v>
      </c>
      <c r="T589" s="105">
        <v>0</v>
      </c>
      <c r="U589" s="105">
        <v>0</v>
      </c>
      <c r="V589" s="156">
        <f>INDEX(Chemical_analyses!$A:$L, MATCH($P589, Chemical_analyses!$A:$A), 9)/$R$2/(INDEX(Chemical_analyses!$A:$L, MATCH($P589, Chemical_analyses!$A:$A), 9)/$R$2+INDEX(Chemical_analyses!$A:$L, MATCH($P589, Chemical_analyses!$A:$A), 11)/$S$2)*100</f>
        <v>9.5531393337000239</v>
      </c>
      <c r="W589" s="157">
        <f t="shared" si="142"/>
        <v>90.446860666299983</v>
      </c>
      <c r="X589" s="106">
        <v>0</v>
      </c>
      <c r="Y589" s="106">
        <f t="shared" si="146"/>
        <v>0</v>
      </c>
      <c r="Z589" s="106">
        <v>0</v>
      </c>
      <c r="AA589" s="156">
        <v>0</v>
      </c>
      <c r="AB589" s="106">
        <f t="shared" si="147"/>
        <v>0</v>
      </c>
      <c r="AC589" s="137">
        <v>0</v>
      </c>
      <c r="AD589" s="106">
        <v>0</v>
      </c>
      <c r="AE589" s="106">
        <f t="shared" si="148"/>
        <v>0</v>
      </c>
      <c r="AF589" s="137">
        <v>0</v>
      </c>
      <c r="AG589" s="10" t="s">
        <v>69</v>
      </c>
      <c r="AH589" s="107" t="str">
        <f>_xlfn.CONCAT("FeO: ", INDEX(Chemical_analyses!$A:$M, MATCH($P589, Chemical_analyses!$A:$A), 9), ", MgO: ", INDEX(Chemical_analyses!$A:$M, MATCH($P589, Chemical_analyses!$A:$A), 11), ", CaO: ", INDEX(Chemical_analyses!$A:$M, MATCH($P589, Chemical_analyses!$A:$A), 12), ", MnO: ", INDEX(Chemical_analyses!$A:$M, MATCH($P589, Chemical_analyses!$A:$A), 10), ", NaO2: ", INDEX(Chemical_analyses!$A:$M, MATCH($P589, Chemical_analyses!$A:$A), 13), ", Fe2O3: ", INDEX(Chemical_analyses!$A:$M, MATCH($P589, Chemical_analyses!$A:$A), 8), ", Al2O3: ", INDEX(Chemical_analyses!$A:$M, MATCH($P589, Chemical_analyses!$A:$A), 6))</f>
        <v>FeO: 9.25, MgO: 49.13, CaO: 0.07, MnO: 0.09, NaO2: 0, Fe2O3: 0.59, Al2O3: 0</v>
      </c>
      <c r="AI589" s="107"/>
      <c r="AJ589" s="107"/>
      <c r="AN589" s="31"/>
      <c r="AO589" s="31"/>
      <c r="AP589" s="31"/>
      <c r="AQ589" s="31"/>
      <c r="AW589" s="31"/>
      <c r="AX589" s="31"/>
      <c r="AY589" s="31"/>
      <c r="AZ589" s="31"/>
    </row>
    <row r="590" spans="1:52" s="10" customFormat="1">
      <c r="A590" s="10" t="s">
        <v>1866</v>
      </c>
      <c r="B590" s="103" t="s">
        <v>1867</v>
      </c>
      <c r="C590" s="104" t="s">
        <v>162</v>
      </c>
      <c r="D590" s="104" t="s">
        <v>642</v>
      </c>
      <c r="E590" s="10" t="s">
        <v>643</v>
      </c>
      <c r="G590" s="10" t="s">
        <v>1687</v>
      </c>
      <c r="H590" s="10" t="s">
        <v>1602</v>
      </c>
      <c r="J590" s="10">
        <v>0</v>
      </c>
      <c r="K590" s="10">
        <v>25</v>
      </c>
      <c r="L590" s="10" t="s">
        <v>64</v>
      </c>
      <c r="M590" s="10" t="s">
        <v>26</v>
      </c>
      <c r="N590" s="10" t="s">
        <v>1868</v>
      </c>
      <c r="O590" s="10" t="s">
        <v>769</v>
      </c>
      <c r="P590" s="10">
        <v>0</v>
      </c>
      <c r="R590" s="136">
        <v>100</v>
      </c>
      <c r="S590" s="105">
        <f t="shared" si="141"/>
        <v>0</v>
      </c>
      <c r="T590" s="105">
        <v>0</v>
      </c>
      <c r="U590" s="105">
        <v>0</v>
      </c>
      <c r="V590" s="136">
        <f>(22+7)/2</f>
        <v>14.5</v>
      </c>
      <c r="W590" s="157">
        <f t="shared" si="142"/>
        <v>85.5</v>
      </c>
      <c r="X590" s="106">
        <v>0</v>
      </c>
      <c r="Y590" s="106">
        <f t="shared" si="146"/>
        <v>0</v>
      </c>
      <c r="Z590" s="106">
        <v>0</v>
      </c>
      <c r="AA590" s="156">
        <v>0</v>
      </c>
      <c r="AB590" s="106">
        <f t="shared" si="147"/>
        <v>0</v>
      </c>
      <c r="AC590" s="137">
        <v>0</v>
      </c>
      <c r="AD590" s="106">
        <v>0</v>
      </c>
      <c r="AE590" s="106">
        <f t="shared" si="148"/>
        <v>0</v>
      </c>
      <c r="AF590" s="137">
        <v>0</v>
      </c>
      <c r="AG590" s="10" t="s">
        <v>69</v>
      </c>
      <c r="AH590" s="109" t="s">
        <v>1869</v>
      </c>
      <c r="AI590" s="107"/>
      <c r="AJ590" s="107"/>
      <c r="AN590" s="31"/>
      <c r="AO590" s="31"/>
      <c r="AP590" s="31"/>
      <c r="AQ590" s="31"/>
      <c r="AW590" s="31"/>
      <c r="AX590" s="31"/>
      <c r="AY590" s="31"/>
      <c r="AZ590" s="31"/>
    </row>
    <row r="591" spans="1:52" s="10" customFormat="1">
      <c r="A591" s="10" t="s">
        <v>1870</v>
      </c>
      <c r="B591" s="103" t="s">
        <v>1867</v>
      </c>
      <c r="C591" s="104" t="s">
        <v>162</v>
      </c>
      <c r="D591" s="104" t="s">
        <v>642</v>
      </c>
      <c r="E591" s="10" t="s">
        <v>643</v>
      </c>
      <c r="G591" s="10" t="s">
        <v>1687</v>
      </c>
      <c r="H591" s="10" t="s">
        <v>1602</v>
      </c>
      <c r="J591" s="10">
        <v>25</v>
      </c>
      <c r="K591" s="10">
        <v>45</v>
      </c>
      <c r="L591" s="10" t="s">
        <v>64</v>
      </c>
      <c r="M591" s="10" t="s">
        <v>26</v>
      </c>
      <c r="N591" s="10" t="s">
        <v>1868</v>
      </c>
      <c r="O591" s="10" t="s">
        <v>769</v>
      </c>
      <c r="P591" s="10">
        <v>0</v>
      </c>
      <c r="R591" s="136">
        <v>100</v>
      </c>
      <c r="S591" s="105">
        <f t="shared" si="141"/>
        <v>0</v>
      </c>
      <c r="T591" s="105">
        <v>0</v>
      </c>
      <c r="U591" s="105">
        <v>0</v>
      </c>
      <c r="V591" s="136">
        <f>(22+7)/2</f>
        <v>14.5</v>
      </c>
      <c r="W591" s="157">
        <f t="shared" si="142"/>
        <v>85.5</v>
      </c>
      <c r="X591" s="106">
        <v>0</v>
      </c>
      <c r="Y591" s="106">
        <f t="shared" si="146"/>
        <v>0</v>
      </c>
      <c r="Z591" s="106">
        <v>0</v>
      </c>
      <c r="AA591" s="156">
        <v>0</v>
      </c>
      <c r="AB591" s="106">
        <f t="shared" si="147"/>
        <v>0</v>
      </c>
      <c r="AC591" s="137">
        <v>0</v>
      </c>
      <c r="AD591" s="106">
        <v>0</v>
      </c>
      <c r="AE591" s="106">
        <f t="shared" si="148"/>
        <v>0</v>
      </c>
      <c r="AF591" s="137">
        <v>0</v>
      </c>
      <c r="AG591" s="10" t="s">
        <v>69</v>
      </c>
      <c r="AH591" s="109" t="s">
        <v>1869</v>
      </c>
      <c r="AI591" s="107"/>
      <c r="AJ591" s="107"/>
      <c r="AN591" s="31"/>
      <c r="AO591" s="31"/>
      <c r="AP591" s="31"/>
      <c r="AQ591" s="31"/>
      <c r="AW591" s="31"/>
      <c r="AX591" s="31"/>
      <c r="AY591" s="31"/>
      <c r="AZ591" s="31"/>
    </row>
    <row r="592" spans="1:52" s="10" customFormat="1">
      <c r="A592" s="10" t="s">
        <v>1871</v>
      </c>
      <c r="B592" s="103" t="s">
        <v>1867</v>
      </c>
      <c r="C592" s="104" t="s">
        <v>162</v>
      </c>
      <c r="D592" s="104" t="s">
        <v>642</v>
      </c>
      <c r="E592" s="10" t="s">
        <v>643</v>
      </c>
      <c r="G592" s="10" t="s">
        <v>1687</v>
      </c>
      <c r="H592" s="10" t="s">
        <v>1602</v>
      </c>
      <c r="J592" s="10">
        <v>45</v>
      </c>
      <c r="K592" s="10">
        <v>75</v>
      </c>
      <c r="L592" s="10" t="s">
        <v>64</v>
      </c>
      <c r="M592" s="10" t="s">
        <v>26</v>
      </c>
      <c r="N592" s="10" t="s">
        <v>1868</v>
      </c>
      <c r="O592" s="10" t="s">
        <v>769</v>
      </c>
      <c r="P592" s="10">
        <v>0</v>
      </c>
      <c r="R592" s="136">
        <v>100</v>
      </c>
      <c r="S592" s="105">
        <f t="shared" si="141"/>
        <v>0</v>
      </c>
      <c r="T592" s="105">
        <v>0</v>
      </c>
      <c r="U592" s="105">
        <v>0</v>
      </c>
      <c r="V592" s="136">
        <f>(22+7)/2</f>
        <v>14.5</v>
      </c>
      <c r="W592" s="157">
        <f t="shared" si="142"/>
        <v>85.5</v>
      </c>
      <c r="X592" s="106">
        <v>0</v>
      </c>
      <c r="Y592" s="106">
        <f t="shared" si="146"/>
        <v>0</v>
      </c>
      <c r="Z592" s="106">
        <v>0</v>
      </c>
      <c r="AA592" s="156">
        <v>0</v>
      </c>
      <c r="AB592" s="106">
        <f t="shared" si="147"/>
        <v>0</v>
      </c>
      <c r="AC592" s="137">
        <v>0</v>
      </c>
      <c r="AD592" s="106">
        <v>0</v>
      </c>
      <c r="AE592" s="106">
        <f t="shared" si="148"/>
        <v>0</v>
      </c>
      <c r="AF592" s="137">
        <v>0</v>
      </c>
      <c r="AG592" s="10" t="s">
        <v>69</v>
      </c>
      <c r="AH592" s="109" t="s">
        <v>1869</v>
      </c>
      <c r="AI592" s="107"/>
      <c r="AJ592" s="107"/>
      <c r="AK592" s="10" t="s">
        <v>1872</v>
      </c>
      <c r="AN592" s="31"/>
      <c r="AO592" s="31"/>
      <c r="AP592" s="31"/>
      <c r="AQ592" s="31"/>
      <c r="AW592" s="31"/>
      <c r="AX592" s="31"/>
      <c r="AY592" s="31"/>
      <c r="AZ592" s="31"/>
    </row>
    <row r="593" spans="1:52" s="10" customFormat="1">
      <c r="A593" s="10" t="s">
        <v>1873</v>
      </c>
      <c r="B593" s="103" t="s">
        <v>1867</v>
      </c>
      <c r="C593" s="104" t="s">
        <v>162</v>
      </c>
      <c r="D593" s="104" t="s">
        <v>642</v>
      </c>
      <c r="E593" s="10" t="s">
        <v>643</v>
      </c>
      <c r="G593" s="10" t="s">
        <v>1687</v>
      </c>
      <c r="H593" s="10" t="s">
        <v>1602</v>
      </c>
      <c r="J593" s="10">
        <v>75</v>
      </c>
      <c r="K593" s="10">
        <v>125</v>
      </c>
      <c r="L593" s="10" t="s">
        <v>64</v>
      </c>
      <c r="M593" s="10" t="s">
        <v>26</v>
      </c>
      <c r="N593" s="10" t="s">
        <v>1868</v>
      </c>
      <c r="O593" s="10" t="s">
        <v>769</v>
      </c>
      <c r="P593" s="10">
        <v>0</v>
      </c>
      <c r="R593" s="139">
        <v>100</v>
      </c>
      <c r="S593" s="140">
        <f t="shared" si="141"/>
        <v>0</v>
      </c>
      <c r="T593" s="140">
        <v>0</v>
      </c>
      <c r="U593" s="140">
        <v>0</v>
      </c>
      <c r="V593" s="139">
        <f>(22+7)/2</f>
        <v>14.5</v>
      </c>
      <c r="W593" s="158">
        <f t="shared" si="142"/>
        <v>85.5</v>
      </c>
      <c r="X593" s="141">
        <v>0</v>
      </c>
      <c r="Y593" s="141">
        <f t="shared" si="146"/>
        <v>0</v>
      </c>
      <c r="Z593" s="141">
        <v>0</v>
      </c>
      <c r="AA593" s="165">
        <v>0</v>
      </c>
      <c r="AB593" s="141">
        <f t="shared" si="147"/>
        <v>0</v>
      </c>
      <c r="AC593" s="142">
        <v>0</v>
      </c>
      <c r="AD593" s="141">
        <v>0</v>
      </c>
      <c r="AE593" s="141">
        <f t="shared" si="148"/>
        <v>0</v>
      </c>
      <c r="AF593" s="142">
        <v>0</v>
      </c>
      <c r="AG593" s="10" t="s">
        <v>69</v>
      </c>
      <c r="AH593" s="109" t="s">
        <v>1869</v>
      </c>
      <c r="AI593" s="107"/>
      <c r="AJ593" s="107"/>
      <c r="AN593" s="31"/>
      <c r="AO593" s="31"/>
      <c r="AP593" s="31"/>
      <c r="AQ593" s="31"/>
      <c r="AW593" s="31"/>
      <c r="AX593" s="31"/>
      <c r="AY593" s="31"/>
      <c r="AZ593" s="31"/>
    </row>
  </sheetData>
  <hyperlinks>
    <hyperlink ref="AH494" r:id="rId1"/>
    <hyperlink ref="AH469" r:id="rId2"/>
    <hyperlink ref="AH471" r:id="rId3"/>
    <hyperlink ref="AH472" r:id="rId4"/>
    <hyperlink ref="AH474" r:id="rId5"/>
    <hyperlink ref="AH283" r:id="rId6"/>
    <hyperlink ref="AH284" r:id="rId7"/>
    <hyperlink ref="AH435" r:id="rId8"/>
    <hyperlink ref="AH436" r:id="rId9"/>
    <hyperlink ref="AH437" r:id="rId10"/>
    <hyperlink ref="AH438" r:id="rId11"/>
    <hyperlink ref="AH439" r:id="rId12"/>
    <hyperlink ref="AH481" r:id="rId13"/>
    <hyperlink ref="AH386" r:id="rId14"/>
    <hyperlink ref="AH433" r:id="rId15"/>
    <hyperlink ref="AH280" r:id="rId16"/>
    <hyperlink ref="AH356" r:id="rId17"/>
    <hyperlink ref="AH441" r:id="rId18"/>
    <hyperlink ref="AH335" r:id="rId19"/>
    <hyperlink ref="AH336" r:id="rId20"/>
    <hyperlink ref="AH337" r:id="rId21"/>
    <hyperlink ref="AH470" r:id="rId22"/>
    <hyperlink ref="AH79" r:id="rId23"/>
    <hyperlink ref="AH81" r:id="rId24"/>
    <hyperlink ref="AH61" r:id="rId25"/>
    <hyperlink ref="AH138" r:id="rId26"/>
    <hyperlink ref="AH11" r:id="rId27"/>
    <hyperlink ref="AH20" r:id="rId28"/>
    <hyperlink ref="AH25" r:id="rId29"/>
    <hyperlink ref="AH100" r:id="rId30"/>
    <hyperlink ref="AH144" r:id="rId31"/>
    <hyperlink ref="AH145" r:id="rId32"/>
    <hyperlink ref="AH143" r:id="rId33"/>
    <hyperlink ref="AH147" r:id="rId34"/>
    <hyperlink ref="AH146" r:id="rId35"/>
    <hyperlink ref="AH135" r:id="rId36"/>
    <hyperlink ref="AH153" r:id="rId37"/>
    <hyperlink ref="AH156" r:id="rId38"/>
    <hyperlink ref="AH141" r:id="rId39"/>
    <hyperlink ref="AH142" r:id="rId40"/>
    <hyperlink ref="AH140" r:id="rId41"/>
    <hyperlink ref="AH125" r:id="rId42"/>
    <hyperlink ref="AH124" r:id="rId43"/>
    <hyperlink ref="AH73" r:id="rId44"/>
    <hyperlink ref="AH132" r:id="rId45"/>
    <hyperlink ref="AH77" r:id="rId46"/>
    <hyperlink ref="AH78" r:id="rId47"/>
    <hyperlink ref="AH76" r:id="rId48"/>
    <hyperlink ref="AH50" r:id="rId49"/>
    <hyperlink ref="AH64" r:id="rId50"/>
    <hyperlink ref="AH83" r:id="rId51"/>
    <hyperlink ref="AH127" r:id="rId52"/>
    <hyperlink ref="AH105" r:id="rId53"/>
    <hyperlink ref="AH7" r:id="rId54"/>
    <hyperlink ref="AH87" r:id="rId55"/>
    <hyperlink ref="AH54" r:id="rId56"/>
    <hyperlink ref="AH89" r:id="rId57"/>
    <hyperlink ref="AH86" r:id="rId58"/>
    <hyperlink ref="AH85" r:id="rId59"/>
    <hyperlink ref="AH55" r:id="rId60"/>
    <hyperlink ref="AH104" r:id="rId61"/>
    <hyperlink ref="AH128" r:id="rId62"/>
    <hyperlink ref="AH130" r:id="rId63"/>
    <hyperlink ref="AH129" r:id="rId64"/>
    <hyperlink ref="AH72" r:id="rId65"/>
    <hyperlink ref="AH551" r:id="rId66"/>
    <hyperlink ref="AH554" r:id="rId67"/>
    <hyperlink ref="AH552" r:id="rId68"/>
    <hyperlink ref="AH553" r:id="rId69"/>
    <hyperlink ref="AH557" r:id="rId70"/>
    <hyperlink ref="AH555" r:id="rId71"/>
    <hyperlink ref="AH556" r:id="rId72"/>
    <hyperlink ref="AH590" r:id="rId73"/>
    <hyperlink ref="AH591" r:id="rId74"/>
    <hyperlink ref="AH592" r:id="rId75"/>
    <hyperlink ref="AH593" r:id="rId76"/>
    <hyperlink ref="AH546" r:id="rId77"/>
    <hyperlink ref="AH545" r:id="rId78"/>
    <hyperlink ref="AH558" r:id="rId79"/>
    <hyperlink ref="AH583" r:id="rId80"/>
    <hyperlink ref="AH580" r:id="rId81"/>
    <hyperlink ref="AH581" r:id="rId82"/>
    <hyperlink ref="AH582" r:id="rId83"/>
    <hyperlink ref="AH434" r:id="rId84"/>
    <hyperlink ref="AH390" r:id="rId85"/>
    <hyperlink ref="AH473" r:id="rId86"/>
    <hyperlink ref="AH446" r:id="rId87"/>
    <hyperlink ref="AH88" r:id="rId88"/>
    <hyperlink ref="AH5" r:id="rId89"/>
    <hyperlink ref="AH8" r:id="rId90"/>
    <hyperlink ref="AH18" r:id="rId91"/>
    <hyperlink ref="AH111" r:id="rId92"/>
    <hyperlink ref="AH12" r:id="rId93"/>
    <hyperlink ref="AI12" r:id="rId94"/>
    <hyperlink ref="AH17" r:id="rId95"/>
    <hyperlink ref="AH95" r:id="rId96"/>
    <hyperlink ref="AH43" r:id="rId97"/>
    <hyperlink ref="AH39" r:id="rId98"/>
    <hyperlink ref="AH26" r:id="rId99"/>
    <hyperlink ref="AH103" r:id="rId100"/>
    <hyperlink ref="AH102" r:id="rId101"/>
    <hyperlink ref="AH14" r:id="rId102"/>
    <hyperlink ref="AH117" r:id="rId103"/>
    <hyperlink ref="AH42" r:id="rId104"/>
    <hyperlink ref="AH30" r:id="rId105"/>
    <hyperlink ref="AH29" r:id="rId106"/>
    <hyperlink ref="AH28" r:id="rId107"/>
    <hyperlink ref="AH45" r:id="rId108"/>
    <hyperlink ref="AH94" r:id="rId109"/>
    <hyperlink ref="AH106" r:id="rId110"/>
    <hyperlink ref="AH98" r:id="rId111"/>
    <hyperlink ref="AH114" r:id="rId112"/>
    <hyperlink ref="AH40" r:id="rId113"/>
    <hyperlink ref="AH15" r:id="rId114"/>
    <hyperlink ref="AH118" r:id="rId115"/>
    <hyperlink ref="AH93" r:id="rId116"/>
    <hyperlink ref="AH97" r:id="rId117"/>
    <hyperlink ref="AH96" r:id="rId118"/>
    <hyperlink ref="AH46" r:id="rId119"/>
    <hyperlink ref="AH16" r:id="rId120"/>
    <hyperlink ref="AH119" r:id="rId121"/>
    <hyperlink ref="AH41" r:id="rId122"/>
    <hyperlink ref="AH47" r:id="rId123"/>
    <hyperlink ref="AH48" r:id="rId124"/>
    <hyperlink ref="AH38" r:id="rId125"/>
    <hyperlink ref="AH49" r:id="rId126"/>
    <hyperlink ref="AH9" r:id="rId127"/>
    <hyperlink ref="AH4" r:id="rId128"/>
    <hyperlink ref="AH115" r:id="rId129"/>
    <hyperlink ref="AH19" r:id="rId130"/>
    <hyperlink ref="AH112" r:id="rId131"/>
    <hyperlink ref="AH116" r:id="rId132"/>
    <hyperlink ref="AH27" r:id="rId133"/>
    <hyperlink ref="AH32" r:id="rId134"/>
    <hyperlink ref="AH31" r:id="rId135"/>
    <hyperlink ref="AH120" r:id="rId136"/>
    <hyperlink ref="AH21" r:id="rId137"/>
    <hyperlink ref="AH6" r:id="rId138"/>
    <hyperlink ref="AH107" r:id="rId139"/>
    <hyperlink ref="AH113" r:id="rId140"/>
    <hyperlink ref="AH108" r:id="rId141"/>
    <hyperlink ref="AH109" r:id="rId142"/>
    <hyperlink ref="AI50" r:id="rId143"/>
    <hyperlink ref="AH59" r:id="rId144"/>
    <hyperlink ref="AH80" r:id="rId145"/>
    <hyperlink ref="AH84" r:id="rId146"/>
    <hyperlink ref="AI84" r:id="rId147"/>
    <hyperlink ref="AI80" r:id="rId148"/>
    <hyperlink ref="AI64" r:id="rId149"/>
    <hyperlink ref="AI56" r:id="rId150"/>
    <hyperlink ref="AH90" r:id="rId151"/>
    <hyperlink ref="AH13" r:id="rId152"/>
    <hyperlink ref="AH66" r:id="rId153"/>
    <hyperlink ref="AH70" r:id="rId154"/>
    <hyperlink ref="AH69" r:id="rId155"/>
    <hyperlink ref="AH56" r:id="rId156"/>
    <hyperlink ref="AI67" r:id="rId157"/>
    <hyperlink ref="AH67" r:id="rId158"/>
    <hyperlink ref="AI68" r:id="rId159"/>
    <hyperlink ref="AH68" r:id="rId160"/>
    <hyperlink ref="AH133" r:id="rId161"/>
    <hyperlink ref="AH131" r:id="rId162"/>
    <hyperlink ref="AH150" r:id="rId163"/>
    <hyperlink ref="AH92" r:id="rId164"/>
    <hyperlink ref="AH91" r:id="rId165"/>
    <hyperlink ref="AH82" r:id="rId166"/>
    <hyperlink ref="AI82" r:id="rId167"/>
    <hyperlink ref="AH75" r:id="rId168"/>
    <hyperlink ref="AH74" r:id="rId169"/>
    <hyperlink ref="AH62" r:id="rId170"/>
    <hyperlink ref="AH60" r:id="rId171"/>
    <hyperlink ref="AI83" r:id="rId172"/>
    <hyperlink ref="AI58" r:id="rId173"/>
    <hyperlink ref="AI66" r:id="rId174"/>
    <hyperlink ref="AI70" r:id="rId175"/>
    <hyperlink ref="AI69" r:id="rId176"/>
    <hyperlink ref="AH71" r:id="rId177"/>
    <hyperlink ref="AH53" r:id="rId178"/>
    <hyperlink ref="AJ50" r:id="rId179"/>
    <hyperlink ref="AH51" r:id="rId180"/>
    <hyperlink ref="AI51" r:id="rId181"/>
    <hyperlink ref="AJ51" r:id="rId182"/>
    <hyperlink ref="AH52" r:id="rId183"/>
    <hyperlink ref="AI52" r:id="rId184"/>
    <hyperlink ref="AJ52" r:id="rId185"/>
    <hyperlink ref="AI25" r:id="rId186"/>
    <hyperlink ref="AI8" r:id="rId187"/>
    <hyperlink ref="AI9" r:id="rId188"/>
    <hyperlink ref="AI26" r:id="rId189"/>
    <hyperlink ref="AI18" r:id="rId190"/>
    <hyperlink ref="AI20" r:id="rId191"/>
    <hyperlink ref="AI14" r:id="rId192"/>
    <hyperlink ref="AJ20" r:id="rId193"/>
    <hyperlink ref="AJ18" r:id="rId194"/>
    <hyperlink ref="AJ8" r:id="rId195"/>
    <hyperlink ref="AI13" r:id="rId196"/>
    <hyperlink ref="AJ9" r:id="rId197"/>
    <hyperlink ref="AI6" r:id="rId198"/>
    <hyperlink ref="AI21" r:id="rId199"/>
    <hyperlink ref="AJ6" r:id="rId200"/>
    <hyperlink ref="AJ21" r:id="rId201"/>
    <hyperlink ref="AH10" r:id="rId202"/>
    <hyperlink ref="AI45" r:id="rId203"/>
    <hyperlink ref="AI94" r:id="rId204"/>
    <hyperlink ref="AI16" r:id="rId205"/>
    <hyperlink ref="AI17" r:id="rId206"/>
    <hyperlink ref="AH110" r:id="rId207"/>
    <hyperlink ref="AI19" r:id="rId208"/>
    <hyperlink ref="AH22" r:id="rId209"/>
    <hyperlink ref="AI112" r:id="rId210"/>
    <hyperlink ref="AI100" r:id="rId211"/>
    <hyperlink ref="AH101" r:id="rId212"/>
    <hyperlink ref="AI101" r:id="rId213"/>
    <hyperlink ref="AH99" r:id="rId214"/>
    <hyperlink ref="AI99" r:id="rId215"/>
    <hyperlink ref="AI61" r:id="rId216"/>
    <hyperlink ref="AI81" r:id="rId217"/>
    <hyperlink ref="AI79" r:id="rId218"/>
    <hyperlink ref="AI15" r:id="rId219"/>
    <hyperlink ref="AI37" r:id="rId220"/>
    <hyperlink ref="AI34" r:id="rId221"/>
    <hyperlink ref="AI23" r:id="rId222"/>
    <hyperlink ref="AI33" r:id="rId223"/>
    <hyperlink ref="AI35" r:id="rId224"/>
    <hyperlink ref="AI36" r:id="rId225"/>
    <hyperlink ref="AI24" r:id="rId226"/>
    <hyperlink ref="AI110" r:id="rId227"/>
    <hyperlink ref="AI73" r:id="rId228"/>
    <hyperlink ref="AI75" r:id="rId229"/>
    <hyperlink ref="AI74" r:id="rId230"/>
    <hyperlink ref="AI62" r:id="rId231"/>
    <hyperlink ref="AH253" r:id="rId232"/>
    <hyperlink ref="AH255" r:id="rId233"/>
    <hyperlink ref="AH259" r:id="rId234"/>
    <hyperlink ref="AH257" r:id="rId235"/>
    <hyperlink ref="AH65" r:id="rId236"/>
    <hyperlink ref="AH63" r:id="rId237"/>
    <hyperlink ref="AI63" r:id="rId238"/>
    <hyperlink ref="AI128" r:id="rId239"/>
    <hyperlink ref="AI130" r:id="rId240"/>
    <hyperlink ref="AI129" r:id="rId241"/>
    <hyperlink ref="AI122" r:id="rId242"/>
    <hyperlink ref="AI127" r:id="rId243"/>
    <hyperlink ref="AI65" r:id="rId244"/>
    <hyperlink ref="AI138" r:id="rId245"/>
    <hyperlink ref="AH139" r:id="rId246"/>
    <hyperlink ref="AI139" r:id="rId247"/>
    <hyperlink ref="AH137" r:id="rId248"/>
    <hyperlink ref="AI137" r:id="rId249"/>
    <hyperlink ref="AI144" r:id="rId250"/>
    <hyperlink ref="AI145" r:id="rId251"/>
    <hyperlink ref="AI143" r:id="rId252"/>
    <hyperlink ref="AI153" r:id="rId253"/>
    <hyperlink ref="AH154" r:id="rId254"/>
    <hyperlink ref="AI154" r:id="rId255"/>
    <hyperlink ref="AH152" r:id="rId256"/>
    <hyperlink ref="AI152" r:id="rId257"/>
    <hyperlink ref="AH148" r:id="rId258"/>
    <hyperlink ref="AI147" r:id="rId259"/>
    <hyperlink ref="AI148" r:id="rId260"/>
    <hyperlink ref="AI146" r:id="rId261"/>
    <hyperlink ref="AI156" r:id="rId262"/>
    <hyperlink ref="AH157" r:id="rId263"/>
    <hyperlink ref="AI157" r:id="rId264"/>
    <hyperlink ref="AH155" r:id="rId265"/>
    <hyperlink ref="AI155" r:id="rId266"/>
    <hyperlink ref="AI135" r:id="rId267"/>
    <hyperlink ref="AH136" r:id="rId268"/>
    <hyperlink ref="AI136" r:id="rId269"/>
    <hyperlink ref="AH134" r:id="rId270"/>
    <hyperlink ref="AI134" r:id="rId271"/>
    <hyperlink ref="AI150" r:id="rId272"/>
    <hyperlink ref="AH151" r:id="rId273"/>
    <hyperlink ref="AI151" r:id="rId274"/>
    <hyperlink ref="AH149" r:id="rId275"/>
    <hyperlink ref="AI149" r:id="rId276"/>
    <hyperlink ref="AI109" r:id="rId277"/>
    <hyperlink ref="AI116" r:id="rId278"/>
    <hyperlink ref="AH35" r:id="rId279"/>
    <hyperlink ref="AI43" r:id="rId280"/>
    <hyperlink ref="AH44" r:id="rId281"/>
    <hyperlink ref="AI40" r:id="rId282"/>
    <hyperlink ref="AI31" r:id="rId283"/>
    <hyperlink ref="AI32" r:id="rId284"/>
    <hyperlink ref="AI27" r:id="rId285"/>
    <hyperlink ref="AH562" r:id="rId286"/>
    <hyperlink ref="AH548" r:id="rId287"/>
    <hyperlink ref="AH24" r:id="rId288"/>
    <hyperlink ref="AI5" r:id="rId289"/>
    <hyperlink ref="AI4" r:id="rId290"/>
    <hyperlink ref="AJ5" r:id="rId291"/>
    <hyperlink ref="AJ4" r:id="rId292"/>
    <hyperlink ref="AI44" r:id="rId293"/>
    <hyperlink ref="AH57" r:id="rId294"/>
    <hyperlink ref="AI57" r:id="rId295"/>
    <hyperlink ref="AH58" r:id="rId296"/>
    <hyperlink ref="AH126" r:id="rId297"/>
    <hyperlink ref="AI126" r:id="rId298"/>
    <hyperlink ref="AI123" r:id="rId299"/>
    <hyperlink ref="AH123" r:id="rId300"/>
    <hyperlink ref="AH122" r:id="rId301"/>
    <hyperlink ref="AJ122" r:id="rId302"/>
    <hyperlink ref="AJ121" r:id="rId303"/>
    <hyperlink ref="AH121" r:id="rId304"/>
    <hyperlink ref="AI121" r:id="rId305"/>
    <hyperlink ref="AH561" r:id="rId306"/>
    <hyperlink ref="AH560" r:id="rId30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71"/>
  <sheetViews>
    <sheetView topLeftCell="K1" workbookViewId="0">
      <selection activeCell="R15" sqref="R15"/>
    </sheetView>
  </sheetViews>
  <sheetFormatPr defaultRowHeight="11.4"/>
  <cols>
    <col min="2" max="2" width="26.25" customWidth="1"/>
    <col min="5" max="5" width="15.875" customWidth="1"/>
    <col min="6" max="6" width="13.75" customWidth="1"/>
    <col min="7" max="7" width="15.875" customWidth="1"/>
    <col min="14" max="14" width="19.125" customWidth="1"/>
    <col min="15" max="15" width="15.25" customWidth="1"/>
    <col min="17" max="17" width="20.375" customWidth="1"/>
    <col min="18" max="18" width="15.25" customWidth="1"/>
    <col min="19" max="19" width="17" customWidth="1"/>
    <col min="20" max="20" width="18" customWidth="1"/>
    <col min="21" max="21" width="18.25" customWidth="1"/>
    <col min="23" max="23" width="18.625" customWidth="1"/>
    <col min="28" max="28" width="11" customWidth="1"/>
    <col min="33" max="33" width="10.875" customWidth="1"/>
    <col min="34" max="34" width="12" customWidth="1"/>
    <col min="35" max="35" width="27.625" customWidth="1"/>
    <col min="36" max="36" width="12.875" customWidth="1"/>
    <col min="42" max="42" width="12.125" customWidth="1"/>
    <col min="43" max="43" width="10.875" customWidth="1"/>
    <col min="44" max="44" width="12.25" customWidth="1"/>
    <col min="45" max="45" width="14.875" customWidth="1"/>
  </cols>
  <sheetData>
    <row r="1" spans="1:57" ht="12">
      <c r="A1" s="6"/>
      <c r="B1" s="12"/>
      <c r="C1" s="13"/>
      <c r="D1" s="1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77" t="s">
        <v>0</v>
      </c>
      <c r="R1" s="178" t="s">
        <v>1</v>
      </c>
      <c r="S1" s="178" t="s">
        <v>2</v>
      </c>
      <c r="T1" s="178" t="s">
        <v>3</v>
      </c>
      <c r="U1" s="179" t="s">
        <v>4</v>
      </c>
      <c r="V1" s="180" t="s">
        <v>5</v>
      </c>
      <c r="W1" s="181" t="s">
        <v>6</v>
      </c>
      <c r="X1" s="182" t="s">
        <v>7</v>
      </c>
      <c r="Y1" s="182" t="s">
        <v>8</v>
      </c>
      <c r="Z1" s="182" t="s">
        <v>9</v>
      </c>
      <c r="AA1" s="183" t="s">
        <v>10</v>
      </c>
      <c r="AB1" s="183" t="s">
        <v>11</v>
      </c>
      <c r="AC1" s="183" t="s">
        <v>12</v>
      </c>
      <c r="AD1" s="182" t="s">
        <v>13</v>
      </c>
      <c r="AE1" s="184" t="s">
        <v>14</v>
      </c>
      <c r="AF1" s="8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spans="1:57">
      <c r="A2" s="6"/>
      <c r="B2" s="12"/>
      <c r="C2" s="13"/>
      <c r="D2" s="13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40"/>
      <c r="R2" s="171">
        <f>71.844</f>
        <v>71.843999999999994</v>
      </c>
      <c r="S2" s="171">
        <f>40.304</f>
        <v>40.304000000000002</v>
      </c>
      <c r="T2" s="171">
        <f>56.0774</f>
        <v>56.077399999999997</v>
      </c>
      <c r="U2" s="171">
        <f>61.9789/2</f>
        <v>30.989450000000001</v>
      </c>
      <c r="V2" s="171">
        <f>94.2/2</f>
        <v>47.1</v>
      </c>
      <c r="W2" s="241"/>
      <c r="X2" s="171">
        <f>4.39/100</f>
        <v>4.3899999999999995E-2</v>
      </c>
      <c r="Y2" s="171">
        <f>3.27/100</f>
        <v>3.27E-2</v>
      </c>
      <c r="Z2" s="171">
        <f>3.95/100</f>
        <v>3.95E-2</v>
      </c>
      <c r="AA2" s="171">
        <f>3.2/100</f>
        <v>3.2000000000000001E-2</v>
      </c>
      <c r="AB2" s="171">
        <f>2.9/100</f>
        <v>2.8999999999999998E-2</v>
      </c>
      <c r="AC2" s="171">
        <f>2.73/100</f>
        <v>2.7300000000000001E-2</v>
      </c>
      <c r="AD2" s="171">
        <f>2.62/100</f>
        <v>2.6200000000000001E-2</v>
      </c>
      <c r="AE2" s="242">
        <f>2.56/100</f>
        <v>2.5600000000000001E-2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21"/>
      <c r="BD2" s="21"/>
      <c r="BE2" s="21"/>
    </row>
    <row r="3" spans="1:57" s="262" customFormat="1" ht="48">
      <c r="A3" s="250" t="s">
        <v>15</v>
      </c>
      <c r="B3" s="251" t="s">
        <v>16</v>
      </c>
      <c r="C3" s="250" t="s">
        <v>17</v>
      </c>
      <c r="D3" s="250" t="s">
        <v>18</v>
      </c>
      <c r="E3" s="250" t="s">
        <v>19</v>
      </c>
      <c r="F3" s="250" t="s">
        <v>20</v>
      </c>
      <c r="G3" s="250" t="s">
        <v>21</v>
      </c>
      <c r="H3" s="250" t="s">
        <v>22</v>
      </c>
      <c r="I3" s="250" t="s">
        <v>23</v>
      </c>
      <c r="J3" s="250" t="s">
        <v>24</v>
      </c>
      <c r="K3" s="250" t="s">
        <v>25</v>
      </c>
      <c r="L3" s="250" t="s">
        <v>26</v>
      </c>
      <c r="M3" s="250" t="s">
        <v>27</v>
      </c>
      <c r="N3" s="250" t="s">
        <v>28</v>
      </c>
      <c r="O3" s="250" t="s">
        <v>29</v>
      </c>
      <c r="P3" s="250" t="s">
        <v>30</v>
      </c>
      <c r="Q3" s="250" t="s">
        <v>31</v>
      </c>
      <c r="R3" s="252" t="s">
        <v>32</v>
      </c>
      <c r="S3" s="252" t="s">
        <v>33</v>
      </c>
      <c r="T3" s="252" t="s">
        <v>34</v>
      </c>
      <c r="U3" s="252" t="s">
        <v>35</v>
      </c>
      <c r="V3" s="253" t="s">
        <v>36</v>
      </c>
      <c r="W3" s="261" t="s">
        <v>37</v>
      </c>
      <c r="X3" s="252" t="s">
        <v>38</v>
      </c>
      <c r="Y3" s="260" t="s">
        <v>39</v>
      </c>
      <c r="Z3" s="260" t="s">
        <v>40</v>
      </c>
      <c r="AA3" s="253" t="s">
        <v>38</v>
      </c>
      <c r="AB3" s="261" t="s">
        <v>39</v>
      </c>
      <c r="AC3" s="261" t="s">
        <v>40</v>
      </c>
      <c r="AD3" s="252" t="s">
        <v>41</v>
      </c>
      <c r="AE3" s="260" t="s">
        <v>42</v>
      </c>
      <c r="AF3" s="257" t="s">
        <v>43</v>
      </c>
      <c r="AG3" s="250" t="s">
        <v>44</v>
      </c>
      <c r="AH3" s="250" t="s">
        <v>45</v>
      </c>
      <c r="AI3" s="252" t="s">
        <v>46</v>
      </c>
      <c r="AJ3" s="252" t="s">
        <v>47</v>
      </c>
      <c r="AK3" s="260" t="s">
        <v>48</v>
      </c>
      <c r="AL3" s="260" t="s">
        <v>49</v>
      </c>
      <c r="AM3" s="260" t="s">
        <v>50</v>
      </c>
      <c r="AN3" s="257" t="s">
        <v>51</v>
      </c>
      <c r="AO3" s="260" t="s">
        <v>52</v>
      </c>
      <c r="AP3" s="260" t="s">
        <v>53</v>
      </c>
      <c r="AQ3" s="260" t="s">
        <v>54</v>
      </c>
      <c r="AR3" s="260" t="s">
        <v>55</v>
      </c>
      <c r="AS3" s="252" t="s">
        <v>56</v>
      </c>
      <c r="AT3" s="260" t="s">
        <v>48</v>
      </c>
      <c r="AU3" s="260" t="s">
        <v>49</v>
      </c>
      <c r="AV3" s="260" t="s">
        <v>50</v>
      </c>
      <c r="AW3" s="257" t="s">
        <v>51</v>
      </c>
      <c r="AX3" s="258"/>
      <c r="AY3" s="258"/>
      <c r="AZ3" s="258"/>
      <c r="BA3" s="258"/>
      <c r="BB3" s="258"/>
      <c r="BC3" s="258"/>
      <c r="BD3" s="258"/>
      <c r="BE3" s="258"/>
    </row>
    <row r="4" spans="1:57" s="6" customFormat="1">
      <c r="A4" s="6" t="s">
        <v>1874</v>
      </c>
      <c r="B4" s="6" t="s">
        <v>1875</v>
      </c>
      <c r="D4" s="6" t="s">
        <v>642</v>
      </c>
      <c r="E4" s="6" t="s">
        <v>643</v>
      </c>
      <c r="G4" s="6" t="s">
        <v>1876</v>
      </c>
      <c r="H4" s="6" t="s">
        <v>1877</v>
      </c>
      <c r="J4" s="6">
        <v>45</v>
      </c>
      <c r="K4" s="6">
        <v>90</v>
      </c>
      <c r="Q4" s="6" t="s">
        <v>1878</v>
      </c>
      <c r="R4" s="243">
        <f>AT4/SUMIF($AT4:$AW4, "&lt;&gt;#VALUE!")*100</f>
        <v>50.825154489276628</v>
      </c>
      <c r="S4" s="113">
        <f>AU4/SUMIF($AT4:$AW4, "&lt;&gt;#VALUE!")*100</f>
        <v>49.174845510723372</v>
      </c>
      <c r="T4" s="113">
        <f>AV4/SUMIF($AT4:$AW4, "&lt;&gt;#VALUE!")*100</f>
        <v>0</v>
      </c>
      <c r="U4" s="113">
        <f>AW4/SUMIF($AT4:$AW4, "&lt;&gt;#VALUE!")*100</f>
        <v>0</v>
      </c>
      <c r="V4" s="246">
        <v>10</v>
      </c>
      <c r="W4" s="6">
        <v>90</v>
      </c>
      <c r="X4" s="246">
        <v>41</v>
      </c>
      <c r="Y4" s="6">
        <v>55</v>
      </c>
      <c r="Z4" s="6">
        <v>4</v>
      </c>
      <c r="AA4" s="246">
        <v>0</v>
      </c>
      <c r="AB4" s="6">
        <v>0</v>
      </c>
      <c r="AC4" s="6">
        <v>0</v>
      </c>
      <c r="AD4" s="246">
        <v>0</v>
      </c>
      <c r="AE4" s="6">
        <v>0</v>
      </c>
      <c r="AF4" s="247">
        <v>0</v>
      </c>
      <c r="AG4" s="6" t="s">
        <v>69</v>
      </c>
      <c r="AI4" s="246" t="s">
        <v>73</v>
      </c>
      <c r="AJ4" s="246"/>
      <c r="AK4" s="6">
        <v>50</v>
      </c>
      <c r="AL4" s="6">
        <v>50</v>
      </c>
      <c r="AM4" s="6">
        <v>0</v>
      </c>
      <c r="AN4" s="6">
        <v>0</v>
      </c>
      <c r="AO4" s="246">
        <f>V4*$X$2 + W4*$Y$2</f>
        <v>3.3820000000000001</v>
      </c>
      <c r="AP4" s="6">
        <f t="shared" ref="AP4:AP18" si="0">X4*$Z$2+Y4*$AA$2+Z4*$AB$2</f>
        <v>3.4955000000000003</v>
      </c>
      <c r="AQ4" s="6">
        <v>1</v>
      </c>
      <c r="AR4" s="6">
        <v>1</v>
      </c>
      <c r="AS4" s="246"/>
      <c r="AT4" s="6">
        <f>AK4/AO4</f>
        <v>14.78415138971023</v>
      </c>
      <c r="AU4" s="6">
        <f t="shared" ref="AU4:AW4" si="1">AL4/AP4</f>
        <v>14.304105278214847</v>
      </c>
      <c r="AV4" s="6">
        <f t="shared" si="1"/>
        <v>0</v>
      </c>
      <c r="AW4" s="247">
        <f t="shared" si="1"/>
        <v>0</v>
      </c>
    </row>
    <row r="5" spans="1:57" s="6" customFormat="1">
      <c r="A5" s="6" t="s">
        <v>1879</v>
      </c>
      <c r="B5" s="6" t="s">
        <v>1880</v>
      </c>
      <c r="D5" s="6" t="s">
        <v>642</v>
      </c>
      <c r="E5" s="6" t="s">
        <v>643</v>
      </c>
      <c r="G5" s="6" t="s">
        <v>1876</v>
      </c>
      <c r="H5" s="6" t="s">
        <v>1877</v>
      </c>
      <c r="J5" s="6">
        <v>45</v>
      </c>
      <c r="K5" s="6">
        <v>90</v>
      </c>
      <c r="Q5" s="6" t="s">
        <v>1878</v>
      </c>
      <c r="R5" s="243">
        <f t="shared" ref="R5:R18" si="2">AT5/SUMIF($AT5:$AW5, "&lt;&gt;#VALUE!")*100</f>
        <v>48.457752824565056</v>
      </c>
      <c r="S5" s="113">
        <f t="shared" ref="S5:S18" si="3">AU5/SUMIF($AT5:$AW5, "&lt;&gt;#VALUE!")*100</f>
        <v>51.542247175434937</v>
      </c>
      <c r="T5" s="113">
        <f t="shared" ref="T5:T18" si="4">AV5/SUMIF($AT5:$AW5, "&lt;&gt;#VALUE!")*100</f>
        <v>0</v>
      </c>
      <c r="U5" s="113">
        <f t="shared" ref="U5:U18" si="5">AW5/SUMIF($AT5:$AW5, "&lt;&gt;#VALUE!")*100</f>
        <v>0</v>
      </c>
      <c r="V5" s="246">
        <v>40</v>
      </c>
      <c r="W5" s="6">
        <v>60</v>
      </c>
      <c r="X5" s="246">
        <v>41</v>
      </c>
      <c r="Y5" s="6">
        <v>55</v>
      </c>
      <c r="Z5" s="6">
        <v>4</v>
      </c>
      <c r="AA5" s="246">
        <v>0</v>
      </c>
      <c r="AB5" s="6">
        <v>0</v>
      </c>
      <c r="AC5" s="6">
        <v>0</v>
      </c>
      <c r="AD5" s="246">
        <v>0</v>
      </c>
      <c r="AE5" s="6">
        <v>0</v>
      </c>
      <c r="AF5" s="247">
        <v>0</v>
      </c>
      <c r="AG5" s="6" t="s">
        <v>69</v>
      </c>
      <c r="AI5" s="246" t="s">
        <v>73</v>
      </c>
      <c r="AJ5" s="246"/>
      <c r="AK5" s="6">
        <v>50</v>
      </c>
      <c r="AL5" s="6">
        <v>50</v>
      </c>
      <c r="AM5" s="6">
        <v>0</v>
      </c>
      <c r="AN5" s="6">
        <v>0</v>
      </c>
      <c r="AO5" s="246">
        <f>V5*$X$2 + W5*$Y$2</f>
        <v>3.718</v>
      </c>
      <c r="AP5" s="6">
        <f t="shared" si="0"/>
        <v>3.4955000000000003</v>
      </c>
      <c r="AQ5" s="6">
        <v>1</v>
      </c>
      <c r="AR5" s="6">
        <v>1</v>
      </c>
      <c r="AS5" s="246"/>
      <c r="AT5" s="6">
        <f t="shared" ref="AT5:AT68" si="6">AK5/AO5</f>
        <v>13.448090371167295</v>
      </c>
      <c r="AU5" s="6">
        <f t="shared" ref="AU5:AU68" si="7">AL5/AP5</f>
        <v>14.304105278214847</v>
      </c>
      <c r="AV5" s="6">
        <f t="shared" ref="AV5:AV68" si="8">AM5/AQ5</f>
        <v>0</v>
      </c>
      <c r="AW5" s="247">
        <f t="shared" ref="AW5:AW68" si="9">AN5/AR5</f>
        <v>0</v>
      </c>
    </row>
    <row r="6" spans="1:57" s="6" customFormat="1">
      <c r="A6" s="6" t="s">
        <v>1881</v>
      </c>
      <c r="B6" s="6" t="s">
        <v>1882</v>
      </c>
      <c r="D6" s="6" t="s">
        <v>642</v>
      </c>
      <c r="E6" s="6" t="s">
        <v>643</v>
      </c>
      <c r="G6" s="6" t="s">
        <v>1876</v>
      </c>
      <c r="H6" s="6" t="s">
        <v>1883</v>
      </c>
      <c r="J6" s="6">
        <v>45</v>
      </c>
      <c r="K6" s="6">
        <v>90</v>
      </c>
      <c r="Q6" s="6" t="s">
        <v>1878</v>
      </c>
      <c r="R6" s="243">
        <f t="shared" si="2"/>
        <v>0</v>
      </c>
      <c r="S6" s="113">
        <f t="shared" si="3"/>
        <v>72.794383758352183</v>
      </c>
      <c r="T6" s="113">
        <f t="shared" si="4"/>
        <v>27.205616241647828</v>
      </c>
      <c r="U6" s="113">
        <f t="shared" si="5"/>
        <v>0</v>
      </c>
      <c r="V6" s="246">
        <v>0</v>
      </c>
      <c r="W6" s="6">
        <v>0</v>
      </c>
      <c r="X6" s="246">
        <v>41</v>
      </c>
      <c r="Y6" s="6">
        <v>55</v>
      </c>
      <c r="Z6" s="6">
        <v>4</v>
      </c>
      <c r="AA6" s="246">
        <v>8.5</v>
      </c>
      <c r="AB6" s="6">
        <v>42.8</v>
      </c>
      <c r="AC6" s="6">
        <v>48.7</v>
      </c>
      <c r="AD6" s="246">
        <v>0</v>
      </c>
      <c r="AE6" s="6">
        <v>0</v>
      </c>
      <c r="AF6" s="247">
        <v>0</v>
      </c>
      <c r="AG6" s="6" t="s">
        <v>69</v>
      </c>
      <c r="AI6" s="246" t="s">
        <v>73</v>
      </c>
      <c r="AJ6" s="246"/>
      <c r="AK6" s="6">
        <v>0</v>
      </c>
      <c r="AL6" s="6">
        <v>75</v>
      </c>
      <c r="AM6" s="6">
        <v>25</v>
      </c>
      <c r="AN6" s="6">
        <v>0</v>
      </c>
      <c r="AO6" s="246">
        <v>1</v>
      </c>
      <c r="AP6" s="6">
        <f t="shared" si="0"/>
        <v>3.4955000000000003</v>
      </c>
      <c r="AQ6" s="6">
        <f>AA6*$Z$2+AB6*$AA$2+AC6*$AB$2</f>
        <v>3.1176499999999998</v>
      </c>
      <c r="AR6" s="6">
        <v>1</v>
      </c>
      <c r="AS6" s="246"/>
      <c r="AT6" s="6">
        <f t="shared" si="6"/>
        <v>0</v>
      </c>
      <c r="AU6" s="6">
        <f t="shared" si="7"/>
        <v>21.456157917322269</v>
      </c>
      <c r="AV6" s="6">
        <f t="shared" si="8"/>
        <v>8.0188603595656982</v>
      </c>
      <c r="AW6" s="247">
        <f t="shared" si="9"/>
        <v>0</v>
      </c>
    </row>
    <row r="7" spans="1:57" s="6" customFormat="1">
      <c r="A7" s="6" t="s">
        <v>1884</v>
      </c>
      <c r="B7" s="6" t="s">
        <v>1885</v>
      </c>
      <c r="D7" s="6" t="s">
        <v>642</v>
      </c>
      <c r="E7" s="6" t="s">
        <v>643</v>
      </c>
      <c r="G7" s="6" t="s">
        <v>1876</v>
      </c>
      <c r="H7" s="6" t="s">
        <v>1883</v>
      </c>
      <c r="J7" s="6">
        <v>45</v>
      </c>
      <c r="K7" s="6">
        <v>90</v>
      </c>
      <c r="Q7" s="6" t="s">
        <v>1878</v>
      </c>
      <c r="R7" s="243">
        <f t="shared" si="2"/>
        <v>0</v>
      </c>
      <c r="S7" s="113">
        <f t="shared" si="3"/>
        <v>47.143191973567816</v>
      </c>
      <c r="T7" s="113">
        <f t="shared" si="4"/>
        <v>52.856808026432191</v>
      </c>
      <c r="U7" s="113">
        <f t="shared" si="5"/>
        <v>0</v>
      </c>
      <c r="V7" s="246">
        <v>0</v>
      </c>
      <c r="W7" s="6">
        <v>0</v>
      </c>
      <c r="X7" s="246">
        <v>41</v>
      </c>
      <c r="Y7" s="6">
        <v>55</v>
      </c>
      <c r="Z7" s="6">
        <v>4</v>
      </c>
      <c r="AA7" s="246">
        <v>8.5</v>
      </c>
      <c r="AB7" s="6">
        <v>42.8</v>
      </c>
      <c r="AC7" s="6">
        <v>48.7</v>
      </c>
      <c r="AD7" s="246">
        <v>0</v>
      </c>
      <c r="AE7" s="6">
        <v>0</v>
      </c>
      <c r="AF7" s="247">
        <v>0</v>
      </c>
      <c r="AG7" s="6" t="s">
        <v>69</v>
      </c>
      <c r="AI7" s="246" t="s">
        <v>73</v>
      </c>
      <c r="AJ7" s="246"/>
      <c r="AK7" s="6">
        <v>0</v>
      </c>
      <c r="AL7" s="6">
        <v>50</v>
      </c>
      <c r="AM7" s="6">
        <v>50</v>
      </c>
      <c r="AN7" s="6">
        <v>0</v>
      </c>
      <c r="AO7" s="246">
        <v>1</v>
      </c>
      <c r="AP7" s="6">
        <f t="shared" si="0"/>
        <v>3.4955000000000003</v>
      </c>
      <c r="AQ7" s="6">
        <f>AA7*$Z$2+AB7*$AA$2+AC7*$AB$2</f>
        <v>3.1176499999999998</v>
      </c>
      <c r="AR7" s="6">
        <v>1</v>
      </c>
      <c r="AS7" s="246"/>
      <c r="AT7" s="6">
        <f t="shared" si="6"/>
        <v>0</v>
      </c>
      <c r="AU7" s="6">
        <f t="shared" si="7"/>
        <v>14.304105278214847</v>
      </c>
      <c r="AV7" s="6">
        <f t="shared" si="8"/>
        <v>16.037720719131396</v>
      </c>
      <c r="AW7" s="247">
        <f t="shared" si="9"/>
        <v>0</v>
      </c>
    </row>
    <row r="8" spans="1:57" s="6" customFormat="1">
      <c r="A8" s="6" t="s">
        <v>1886</v>
      </c>
      <c r="B8" s="6" t="s">
        <v>1887</v>
      </c>
      <c r="D8" s="6" t="s">
        <v>642</v>
      </c>
      <c r="E8" s="6" t="s">
        <v>643</v>
      </c>
      <c r="G8" s="6" t="s">
        <v>1876</v>
      </c>
      <c r="H8" s="6" t="s">
        <v>1883</v>
      </c>
      <c r="J8" s="6">
        <v>45</v>
      </c>
      <c r="K8" s="6">
        <v>90</v>
      </c>
      <c r="Q8" s="6" t="s">
        <v>1878</v>
      </c>
      <c r="R8" s="243">
        <f t="shared" si="2"/>
        <v>0</v>
      </c>
      <c r="S8" s="113">
        <f t="shared" si="3"/>
        <v>22.916904032960527</v>
      </c>
      <c r="T8" s="113">
        <f t="shared" si="4"/>
        <v>77.083095967039469</v>
      </c>
      <c r="U8" s="113">
        <f t="shared" si="5"/>
        <v>0</v>
      </c>
      <c r="V8" s="246">
        <v>0</v>
      </c>
      <c r="W8" s="6">
        <v>0</v>
      </c>
      <c r="X8" s="246">
        <v>41</v>
      </c>
      <c r="Y8" s="6">
        <v>55</v>
      </c>
      <c r="Z8" s="6">
        <v>4</v>
      </c>
      <c r="AA8" s="246">
        <v>8.5</v>
      </c>
      <c r="AB8" s="6">
        <v>42.8</v>
      </c>
      <c r="AC8" s="6">
        <v>48.7</v>
      </c>
      <c r="AD8" s="246">
        <v>0</v>
      </c>
      <c r="AE8" s="6">
        <v>0</v>
      </c>
      <c r="AF8" s="247">
        <v>0</v>
      </c>
      <c r="AG8" s="6" t="s">
        <v>69</v>
      </c>
      <c r="AI8" s="246" t="s">
        <v>73</v>
      </c>
      <c r="AJ8" s="246"/>
      <c r="AK8" s="6">
        <v>0</v>
      </c>
      <c r="AL8" s="6">
        <v>25</v>
      </c>
      <c r="AM8" s="6">
        <v>75</v>
      </c>
      <c r="AN8" s="6">
        <v>0</v>
      </c>
      <c r="AO8" s="246">
        <v>1</v>
      </c>
      <c r="AP8" s="6">
        <f t="shared" si="0"/>
        <v>3.4955000000000003</v>
      </c>
      <c r="AQ8" s="6">
        <f>AA8*$Z$2+AB8*$AA$2+AC8*$AB$2</f>
        <v>3.1176499999999998</v>
      </c>
      <c r="AR8" s="6">
        <v>1</v>
      </c>
      <c r="AS8" s="246"/>
      <c r="AT8" s="6">
        <f t="shared" si="6"/>
        <v>0</v>
      </c>
      <c r="AU8" s="6">
        <f t="shared" si="7"/>
        <v>7.1520526391074233</v>
      </c>
      <c r="AV8" s="6">
        <f t="shared" si="8"/>
        <v>24.056581078697096</v>
      </c>
      <c r="AW8" s="247">
        <f t="shared" si="9"/>
        <v>0</v>
      </c>
    </row>
    <row r="9" spans="1:57" s="6" customFormat="1">
      <c r="A9" s="6" t="s">
        <v>1888</v>
      </c>
      <c r="B9" s="6" t="s">
        <v>1889</v>
      </c>
      <c r="D9" s="6" t="s">
        <v>642</v>
      </c>
      <c r="E9" s="6" t="s">
        <v>643</v>
      </c>
      <c r="G9" s="6" t="s">
        <v>1876</v>
      </c>
      <c r="H9" s="6" t="s">
        <v>1877</v>
      </c>
      <c r="J9" s="6">
        <v>0</v>
      </c>
      <c r="K9" s="6">
        <v>45</v>
      </c>
      <c r="Q9" s="6" t="s">
        <v>1878</v>
      </c>
      <c r="R9" s="243">
        <f t="shared" si="2"/>
        <v>74.522580888169045</v>
      </c>
      <c r="S9" s="113">
        <f t="shared" si="3"/>
        <v>25.477419111830951</v>
      </c>
      <c r="T9" s="113">
        <f t="shared" si="4"/>
        <v>0</v>
      </c>
      <c r="U9" s="113">
        <f t="shared" si="5"/>
        <v>0</v>
      </c>
      <c r="V9" s="246">
        <v>10</v>
      </c>
      <c r="W9" s="6">
        <v>90</v>
      </c>
      <c r="X9" s="246">
        <v>13</v>
      </c>
      <c r="Y9" s="6">
        <v>87</v>
      </c>
      <c r="Z9" s="6">
        <v>0</v>
      </c>
      <c r="AA9" s="246">
        <v>0</v>
      </c>
      <c r="AB9" s="6">
        <v>0</v>
      </c>
      <c r="AC9" s="6">
        <v>0</v>
      </c>
      <c r="AD9" s="246">
        <v>0</v>
      </c>
      <c r="AE9" s="6">
        <v>0</v>
      </c>
      <c r="AF9" s="247">
        <v>0</v>
      </c>
      <c r="AG9" s="6" t="s">
        <v>69</v>
      </c>
      <c r="AI9" s="246" t="s">
        <v>73</v>
      </c>
      <c r="AJ9" s="246"/>
      <c r="AK9" s="6">
        <v>75</v>
      </c>
      <c r="AL9" s="6">
        <v>25</v>
      </c>
      <c r="AM9" s="6">
        <v>0</v>
      </c>
      <c r="AN9" s="6">
        <v>0</v>
      </c>
      <c r="AO9" s="246">
        <f>V9*$X$2 + W9*$Y$2</f>
        <v>3.3820000000000001</v>
      </c>
      <c r="AP9" s="6">
        <f t="shared" si="0"/>
        <v>3.2975000000000003</v>
      </c>
      <c r="AQ9" s="6">
        <v>1</v>
      </c>
      <c r="AR9" s="6">
        <v>1</v>
      </c>
      <c r="AS9" s="246"/>
      <c r="AT9" s="6">
        <f t="shared" si="6"/>
        <v>22.176227084565344</v>
      </c>
      <c r="AU9" s="6">
        <f t="shared" si="7"/>
        <v>7.5815011372251702</v>
      </c>
      <c r="AV9" s="6">
        <f t="shared" si="8"/>
        <v>0</v>
      </c>
      <c r="AW9" s="247">
        <f t="shared" si="9"/>
        <v>0</v>
      </c>
    </row>
    <row r="10" spans="1:57" s="6" customFormat="1">
      <c r="A10" s="6" t="s">
        <v>1890</v>
      </c>
      <c r="B10" s="6" t="s">
        <v>1891</v>
      </c>
      <c r="D10" s="6" t="s">
        <v>642</v>
      </c>
      <c r="E10" s="6" t="s">
        <v>643</v>
      </c>
      <c r="G10" s="6" t="s">
        <v>1876</v>
      </c>
      <c r="H10" s="6" t="s">
        <v>1883</v>
      </c>
      <c r="J10" s="6">
        <v>0</v>
      </c>
      <c r="K10" s="6">
        <v>45</v>
      </c>
      <c r="Q10" s="6" t="s">
        <v>1878</v>
      </c>
      <c r="R10" s="243">
        <f t="shared" si="2"/>
        <v>0</v>
      </c>
      <c r="S10" s="113">
        <f t="shared" si="3"/>
        <v>9.6157097580394755</v>
      </c>
      <c r="T10" s="113">
        <f t="shared" si="4"/>
        <v>90.384290241960528</v>
      </c>
      <c r="U10" s="113">
        <f t="shared" si="5"/>
        <v>0</v>
      </c>
      <c r="V10" s="246">
        <v>0</v>
      </c>
      <c r="W10" s="6">
        <v>0</v>
      </c>
      <c r="X10" s="246">
        <v>9.4</v>
      </c>
      <c r="Y10" s="6">
        <v>89.4</v>
      </c>
      <c r="Z10" s="6">
        <v>1.2</v>
      </c>
      <c r="AA10" s="246">
        <v>10</v>
      </c>
      <c r="AB10" s="6">
        <v>41</v>
      </c>
      <c r="AC10" s="6">
        <v>49</v>
      </c>
      <c r="AD10" s="246">
        <v>0</v>
      </c>
      <c r="AE10" s="6">
        <v>0</v>
      </c>
      <c r="AF10" s="247">
        <v>0</v>
      </c>
      <c r="AG10" s="6" t="s">
        <v>69</v>
      </c>
      <c r="AI10" s="246" t="s">
        <v>73</v>
      </c>
      <c r="AJ10" s="246"/>
      <c r="AK10" s="6">
        <v>0</v>
      </c>
      <c r="AL10" s="6">
        <v>10</v>
      </c>
      <c r="AM10" s="6">
        <v>90</v>
      </c>
      <c r="AN10" s="6">
        <v>0</v>
      </c>
      <c r="AO10" s="246">
        <v>1</v>
      </c>
      <c r="AP10" s="6">
        <f t="shared" si="0"/>
        <v>3.2669000000000006</v>
      </c>
      <c r="AQ10" s="6">
        <f t="shared" ref="AQ10:AQ18" si="10">AA10*$Z$2+AB10*$AA$2+AC10*$AB$2</f>
        <v>3.1280000000000001</v>
      </c>
      <c r="AR10" s="6">
        <v>1</v>
      </c>
      <c r="AS10" s="246"/>
      <c r="AT10" s="6">
        <f t="shared" si="6"/>
        <v>0</v>
      </c>
      <c r="AU10" s="6">
        <f t="shared" si="7"/>
        <v>3.0610058465211663</v>
      </c>
      <c r="AV10" s="6">
        <f t="shared" si="8"/>
        <v>28.772378516624041</v>
      </c>
      <c r="AW10" s="247">
        <f t="shared" si="9"/>
        <v>0</v>
      </c>
    </row>
    <row r="11" spans="1:57" s="6" customFormat="1">
      <c r="A11" s="6" t="s">
        <v>1892</v>
      </c>
      <c r="B11" s="6" t="s">
        <v>1893</v>
      </c>
      <c r="D11" s="6" t="s">
        <v>642</v>
      </c>
      <c r="E11" s="6" t="s">
        <v>643</v>
      </c>
      <c r="G11" s="6" t="s">
        <v>1876</v>
      </c>
      <c r="H11" s="6" t="s">
        <v>1883</v>
      </c>
      <c r="J11" s="6">
        <v>0</v>
      </c>
      <c r="K11" s="6">
        <v>45</v>
      </c>
      <c r="Q11" s="6" t="s">
        <v>1878</v>
      </c>
      <c r="R11" s="243">
        <f t="shared" si="2"/>
        <v>0</v>
      </c>
      <c r="S11" s="113">
        <f t="shared" si="3"/>
        <v>19.313887722591318</v>
      </c>
      <c r="T11" s="113">
        <f t="shared" si="4"/>
        <v>80.686112277408682</v>
      </c>
      <c r="U11" s="113">
        <f t="shared" si="5"/>
        <v>0</v>
      </c>
      <c r="V11" s="246">
        <v>0</v>
      </c>
      <c r="W11" s="6">
        <v>0</v>
      </c>
      <c r="X11" s="246">
        <v>9.4</v>
      </c>
      <c r="Y11" s="6">
        <v>89.4</v>
      </c>
      <c r="Z11" s="6">
        <v>1.2</v>
      </c>
      <c r="AA11" s="246">
        <v>10</v>
      </c>
      <c r="AB11" s="6">
        <v>41</v>
      </c>
      <c r="AC11" s="6">
        <v>49</v>
      </c>
      <c r="AD11" s="246">
        <v>0</v>
      </c>
      <c r="AE11" s="6">
        <v>0</v>
      </c>
      <c r="AF11" s="247">
        <v>0</v>
      </c>
      <c r="AG11" s="6" t="s">
        <v>69</v>
      </c>
      <c r="AI11" s="246" t="s">
        <v>73</v>
      </c>
      <c r="AJ11" s="246"/>
      <c r="AK11" s="6">
        <v>0</v>
      </c>
      <c r="AL11" s="6">
        <v>20</v>
      </c>
      <c r="AM11" s="6">
        <v>80</v>
      </c>
      <c r="AN11" s="6">
        <v>0</v>
      </c>
      <c r="AO11" s="246">
        <v>1</v>
      </c>
      <c r="AP11" s="6">
        <f t="shared" si="0"/>
        <v>3.2669000000000006</v>
      </c>
      <c r="AQ11" s="6">
        <f t="shared" si="10"/>
        <v>3.1280000000000001</v>
      </c>
      <c r="AR11" s="6">
        <v>1</v>
      </c>
      <c r="AS11" s="246"/>
      <c r="AT11" s="6">
        <f t="shared" si="6"/>
        <v>0</v>
      </c>
      <c r="AU11" s="6">
        <f t="shared" si="7"/>
        <v>6.1220116930423325</v>
      </c>
      <c r="AV11" s="6">
        <f t="shared" si="8"/>
        <v>25.575447570332479</v>
      </c>
      <c r="AW11" s="247">
        <f t="shared" si="9"/>
        <v>0</v>
      </c>
    </row>
    <row r="12" spans="1:57" s="6" customFormat="1">
      <c r="A12" s="6" t="s">
        <v>1894</v>
      </c>
      <c r="B12" s="6" t="s">
        <v>1895</v>
      </c>
      <c r="D12" s="6" t="s">
        <v>642</v>
      </c>
      <c r="E12" s="6" t="s">
        <v>643</v>
      </c>
      <c r="G12" s="6" t="s">
        <v>1876</v>
      </c>
      <c r="H12" s="6" t="s">
        <v>1883</v>
      </c>
      <c r="J12" s="6">
        <v>0</v>
      </c>
      <c r="K12" s="6">
        <v>45</v>
      </c>
      <c r="Q12" s="6" t="s">
        <v>1878</v>
      </c>
      <c r="R12" s="243">
        <f t="shared" si="2"/>
        <v>0</v>
      </c>
      <c r="S12" s="113">
        <f t="shared" si="3"/>
        <v>29.095599383609848</v>
      </c>
      <c r="T12" s="113">
        <f t="shared" si="4"/>
        <v>70.904400616390149</v>
      </c>
      <c r="U12" s="113">
        <f t="shared" si="5"/>
        <v>0</v>
      </c>
      <c r="V12" s="246">
        <v>0</v>
      </c>
      <c r="W12" s="6">
        <v>0</v>
      </c>
      <c r="X12" s="246">
        <v>9.4</v>
      </c>
      <c r="Y12" s="6">
        <v>89.4</v>
      </c>
      <c r="Z12" s="6">
        <v>1.2</v>
      </c>
      <c r="AA12" s="246">
        <v>10</v>
      </c>
      <c r="AB12" s="6">
        <v>41</v>
      </c>
      <c r="AC12" s="6">
        <v>49</v>
      </c>
      <c r="AD12" s="246">
        <v>0</v>
      </c>
      <c r="AE12" s="6">
        <v>0</v>
      </c>
      <c r="AF12" s="247">
        <v>0</v>
      </c>
      <c r="AG12" s="6" t="s">
        <v>69</v>
      </c>
      <c r="AI12" s="246" t="s">
        <v>73</v>
      </c>
      <c r="AJ12" s="246"/>
      <c r="AK12" s="6">
        <v>0</v>
      </c>
      <c r="AL12" s="6">
        <v>30</v>
      </c>
      <c r="AM12" s="6">
        <v>70</v>
      </c>
      <c r="AN12" s="6">
        <v>0</v>
      </c>
      <c r="AO12" s="246">
        <v>1</v>
      </c>
      <c r="AP12" s="6">
        <f t="shared" si="0"/>
        <v>3.2669000000000006</v>
      </c>
      <c r="AQ12" s="6">
        <f t="shared" si="10"/>
        <v>3.1280000000000001</v>
      </c>
      <c r="AR12" s="6">
        <v>1</v>
      </c>
      <c r="AS12" s="246"/>
      <c r="AT12" s="6">
        <f t="shared" si="6"/>
        <v>0</v>
      </c>
      <c r="AU12" s="6">
        <f t="shared" si="7"/>
        <v>9.1830175395634992</v>
      </c>
      <c r="AV12" s="6">
        <f t="shared" si="8"/>
        <v>22.37851662404092</v>
      </c>
      <c r="AW12" s="247">
        <f t="shared" si="9"/>
        <v>0</v>
      </c>
    </row>
    <row r="13" spans="1:57" s="6" customFormat="1">
      <c r="A13" s="6" t="s">
        <v>1896</v>
      </c>
      <c r="B13" s="6" t="s">
        <v>1897</v>
      </c>
      <c r="D13" s="6" t="s">
        <v>642</v>
      </c>
      <c r="E13" s="6" t="s">
        <v>643</v>
      </c>
      <c r="G13" s="6" t="s">
        <v>1876</v>
      </c>
      <c r="H13" s="6" t="s">
        <v>1883</v>
      </c>
      <c r="J13" s="6">
        <v>0</v>
      </c>
      <c r="K13" s="6">
        <v>45</v>
      </c>
      <c r="Q13" s="6" t="s">
        <v>1878</v>
      </c>
      <c r="R13" s="243">
        <f t="shared" si="2"/>
        <v>0</v>
      </c>
      <c r="S13" s="113">
        <f t="shared" si="3"/>
        <v>38.961928665292369</v>
      </c>
      <c r="T13" s="113">
        <f t="shared" si="4"/>
        <v>61.038071334707631</v>
      </c>
      <c r="U13" s="113">
        <f t="shared" si="5"/>
        <v>0</v>
      </c>
      <c r="V13" s="246">
        <v>0</v>
      </c>
      <c r="W13" s="6">
        <v>0</v>
      </c>
      <c r="X13" s="246">
        <v>9.4</v>
      </c>
      <c r="Y13" s="6">
        <v>89.4</v>
      </c>
      <c r="Z13" s="6">
        <v>1.2</v>
      </c>
      <c r="AA13" s="246">
        <v>10</v>
      </c>
      <c r="AB13" s="6">
        <v>41</v>
      </c>
      <c r="AC13" s="6">
        <v>49</v>
      </c>
      <c r="AD13" s="246">
        <v>0</v>
      </c>
      <c r="AE13" s="6">
        <v>0</v>
      </c>
      <c r="AF13" s="247">
        <v>0</v>
      </c>
      <c r="AG13" s="6" t="s">
        <v>69</v>
      </c>
      <c r="AI13" s="246" t="s">
        <v>73</v>
      </c>
      <c r="AJ13" s="246"/>
      <c r="AK13" s="6">
        <v>0</v>
      </c>
      <c r="AL13" s="6">
        <v>40</v>
      </c>
      <c r="AM13" s="6">
        <v>60</v>
      </c>
      <c r="AN13" s="6">
        <v>0</v>
      </c>
      <c r="AO13" s="246">
        <v>1</v>
      </c>
      <c r="AP13" s="6">
        <f t="shared" si="0"/>
        <v>3.2669000000000006</v>
      </c>
      <c r="AQ13" s="6">
        <f t="shared" si="10"/>
        <v>3.1280000000000001</v>
      </c>
      <c r="AR13" s="6">
        <v>1</v>
      </c>
      <c r="AS13" s="246"/>
      <c r="AT13" s="6">
        <f t="shared" si="6"/>
        <v>0</v>
      </c>
      <c r="AU13" s="6">
        <f t="shared" si="7"/>
        <v>12.244023386084665</v>
      </c>
      <c r="AV13" s="6">
        <f t="shared" si="8"/>
        <v>19.181585677749361</v>
      </c>
      <c r="AW13" s="247">
        <f t="shared" si="9"/>
        <v>0</v>
      </c>
    </row>
    <row r="14" spans="1:57" s="6" customFormat="1">
      <c r="A14" s="6" t="s">
        <v>1898</v>
      </c>
      <c r="B14" s="6" t="s">
        <v>1899</v>
      </c>
      <c r="D14" s="6" t="s">
        <v>642</v>
      </c>
      <c r="E14" s="6" t="s">
        <v>643</v>
      </c>
      <c r="G14" s="6" t="s">
        <v>1876</v>
      </c>
      <c r="H14" s="6" t="s">
        <v>1883</v>
      </c>
      <c r="J14" s="6">
        <v>0</v>
      </c>
      <c r="K14" s="6">
        <v>45</v>
      </c>
      <c r="Q14" s="6" t="s">
        <v>1878</v>
      </c>
      <c r="R14" s="243">
        <f t="shared" si="2"/>
        <v>0</v>
      </c>
      <c r="S14" s="113">
        <f t="shared" si="3"/>
        <v>48.913978326478905</v>
      </c>
      <c r="T14" s="113">
        <f t="shared" si="4"/>
        <v>51.086021673521088</v>
      </c>
      <c r="U14" s="113">
        <f t="shared" si="5"/>
        <v>0</v>
      </c>
      <c r="V14" s="246">
        <v>0</v>
      </c>
      <c r="W14" s="6">
        <v>0</v>
      </c>
      <c r="X14" s="246">
        <v>9.4</v>
      </c>
      <c r="Y14" s="6">
        <v>89.4</v>
      </c>
      <c r="Z14" s="6">
        <v>1.2</v>
      </c>
      <c r="AA14" s="246">
        <v>10</v>
      </c>
      <c r="AB14" s="6">
        <v>41</v>
      </c>
      <c r="AC14" s="6">
        <v>49</v>
      </c>
      <c r="AD14" s="246">
        <v>0</v>
      </c>
      <c r="AE14" s="6">
        <v>0</v>
      </c>
      <c r="AF14" s="247">
        <v>0</v>
      </c>
      <c r="AG14" s="6" t="s">
        <v>69</v>
      </c>
      <c r="AI14" s="246" t="s">
        <v>73</v>
      </c>
      <c r="AJ14" s="246"/>
      <c r="AK14" s="6">
        <v>0</v>
      </c>
      <c r="AL14" s="6">
        <v>50</v>
      </c>
      <c r="AM14" s="6">
        <v>50</v>
      </c>
      <c r="AN14" s="6">
        <v>0</v>
      </c>
      <c r="AO14" s="246">
        <v>1</v>
      </c>
      <c r="AP14" s="6">
        <f t="shared" si="0"/>
        <v>3.2669000000000006</v>
      </c>
      <c r="AQ14" s="6">
        <f t="shared" si="10"/>
        <v>3.1280000000000001</v>
      </c>
      <c r="AR14" s="6">
        <v>1</v>
      </c>
      <c r="AS14" s="246"/>
      <c r="AT14" s="6">
        <f t="shared" si="6"/>
        <v>0</v>
      </c>
      <c r="AU14" s="6">
        <f t="shared" si="7"/>
        <v>15.305029232605831</v>
      </c>
      <c r="AV14" s="6">
        <f t="shared" si="8"/>
        <v>15.9846547314578</v>
      </c>
      <c r="AW14" s="247">
        <f t="shared" si="9"/>
        <v>0</v>
      </c>
    </row>
    <row r="15" spans="1:57" s="6" customFormat="1">
      <c r="A15" s="6" t="s">
        <v>1900</v>
      </c>
      <c r="B15" s="6" t="s">
        <v>1901</v>
      </c>
      <c r="D15" s="6" t="s">
        <v>642</v>
      </c>
      <c r="E15" s="6" t="s">
        <v>643</v>
      </c>
      <c r="G15" s="6" t="s">
        <v>1876</v>
      </c>
      <c r="H15" s="6" t="s">
        <v>1883</v>
      </c>
      <c r="J15" s="6">
        <v>0</v>
      </c>
      <c r="K15" s="6">
        <v>45</v>
      </c>
      <c r="Q15" s="6" t="s">
        <v>1878</v>
      </c>
      <c r="R15" s="243">
        <f t="shared" si="2"/>
        <v>0</v>
      </c>
      <c r="S15" s="113">
        <f t="shared" si="3"/>
        <v>58.952870371533749</v>
      </c>
      <c r="T15" s="113">
        <f t="shared" si="4"/>
        <v>41.047129628466244</v>
      </c>
      <c r="U15" s="113">
        <f t="shared" si="5"/>
        <v>0</v>
      </c>
      <c r="V15" s="246">
        <v>0</v>
      </c>
      <c r="W15" s="6">
        <v>0</v>
      </c>
      <c r="X15" s="246">
        <v>9.4</v>
      </c>
      <c r="Y15" s="6">
        <v>89.4</v>
      </c>
      <c r="Z15" s="6">
        <v>1.2</v>
      </c>
      <c r="AA15" s="246">
        <v>10</v>
      </c>
      <c r="AB15" s="6">
        <v>41</v>
      </c>
      <c r="AC15" s="6">
        <v>49</v>
      </c>
      <c r="AD15" s="246">
        <v>0</v>
      </c>
      <c r="AE15" s="6">
        <v>0</v>
      </c>
      <c r="AF15" s="247">
        <v>0</v>
      </c>
      <c r="AG15" s="6" t="s">
        <v>69</v>
      </c>
      <c r="AI15" s="246" t="s">
        <v>73</v>
      </c>
      <c r="AJ15" s="246"/>
      <c r="AK15" s="6">
        <v>0</v>
      </c>
      <c r="AL15" s="6">
        <v>60</v>
      </c>
      <c r="AM15" s="6">
        <v>40</v>
      </c>
      <c r="AN15" s="6">
        <v>0</v>
      </c>
      <c r="AO15" s="246">
        <v>1</v>
      </c>
      <c r="AP15" s="6">
        <f t="shared" si="0"/>
        <v>3.2669000000000006</v>
      </c>
      <c r="AQ15" s="6">
        <f t="shared" si="10"/>
        <v>3.1280000000000001</v>
      </c>
      <c r="AR15" s="6">
        <v>1</v>
      </c>
      <c r="AS15" s="246"/>
      <c r="AT15" s="6">
        <f t="shared" si="6"/>
        <v>0</v>
      </c>
      <c r="AU15" s="6">
        <f t="shared" si="7"/>
        <v>18.366035079126998</v>
      </c>
      <c r="AV15" s="6">
        <f t="shared" si="8"/>
        <v>12.787723785166239</v>
      </c>
      <c r="AW15" s="247">
        <f t="shared" si="9"/>
        <v>0</v>
      </c>
    </row>
    <row r="16" spans="1:57" s="6" customFormat="1">
      <c r="A16" s="6" t="s">
        <v>1902</v>
      </c>
      <c r="B16" s="6" t="s">
        <v>1903</v>
      </c>
      <c r="D16" s="6" t="s">
        <v>642</v>
      </c>
      <c r="E16" s="6" t="s">
        <v>643</v>
      </c>
      <c r="G16" s="6" t="s">
        <v>1876</v>
      </c>
      <c r="H16" s="6" t="s">
        <v>1883</v>
      </c>
      <c r="J16" s="6">
        <v>0</v>
      </c>
      <c r="K16" s="6">
        <v>45</v>
      </c>
      <c r="Q16" s="6" t="s">
        <v>1878</v>
      </c>
      <c r="R16" s="243">
        <f t="shared" si="2"/>
        <v>0</v>
      </c>
      <c r="S16" s="113">
        <f t="shared" si="3"/>
        <v>69.079746472030209</v>
      </c>
      <c r="T16" s="113">
        <f t="shared" si="4"/>
        <v>30.920253527969795</v>
      </c>
      <c r="U16" s="113">
        <f t="shared" si="5"/>
        <v>0</v>
      </c>
      <c r="V16" s="246">
        <v>0</v>
      </c>
      <c r="W16" s="6">
        <v>0</v>
      </c>
      <c r="X16" s="246">
        <v>9.4</v>
      </c>
      <c r="Y16" s="6">
        <v>89.4</v>
      </c>
      <c r="Z16" s="6">
        <v>1.2</v>
      </c>
      <c r="AA16" s="246">
        <v>10</v>
      </c>
      <c r="AB16" s="6">
        <v>41</v>
      </c>
      <c r="AC16" s="6">
        <v>49</v>
      </c>
      <c r="AD16" s="246">
        <v>0</v>
      </c>
      <c r="AE16" s="6">
        <v>0</v>
      </c>
      <c r="AF16" s="247">
        <v>0</v>
      </c>
      <c r="AG16" s="6" t="s">
        <v>69</v>
      </c>
      <c r="AI16" s="246" t="s">
        <v>73</v>
      </c>
      <c r="AJ16" s="246"/>
      <c r="AK16" s="6">
        <v>0</v>
      </c>
      <c r="AL16" s="6">
        <v>70</v>
      </c>
      <c r="AM16" s="6">
        <v>30</v>
      </c>
      <c r="AN16" s="6">
        <v>0</v>
      </c>
      <c r="AO16" s="246">
        <v>1</v>
      </c>
      <c r="AP16" s="6">
        <f t="shared" si="0"/>
        <v>3.2669000000000006</v>
      </c>
      <c r="AQ16" s="6">
        <f t="shared" si="10"/>
        <v>3.1280000000000001</v>
      </c>
      <c r="AR16" s="6">
        <v>1</v>
      </c>
      <c r="AS16" s="246"/>
      <c r="AT16" s="6">
        <f t="shared" si="6"/>
        <v>0</v>
      </c>
      <c r="AU16" s="6">
        <f t="shared" si="7"/>
        <v>21.427040925648164</v>
      </c>
      <c r="AV16" s="6">
        <f t="shared" si="8"/>
        <v>9.5907928388746804</v>
      </c>
      <c r="AW16" s="247">
        <f t="shared" si="9"/>
        <v>0</v>
      </c>
    </row>
    <row r="17" spans="1:49" s="6" customFormat="1">
      <c r="A17" s="6" t="s">
        <v>1904</v>
      </c>
      <c r="B17" s="6" t="s">
        <v>1905</v>
      </c>
      <c r="D17" s="6" t="s">
        <v>642</v>
      </c>
      <c r="E17" s="6" t="s">
        <v>643</v>
      </c>
      <c r="G17" s="6" t="s">
        <v>1876</v>
      </c>
      <c r="H17" s="6" t="s">
        <v>1883</v>
      </c>
      <c r="J17" s="6">
        <v>0</v>
      </c>
      <c r="K17" s="6">
        <v>45</v>
      </c>
      <c r="Q17" s="6" t="s">
        <v>1878</v>
      </c>
      <c r="R17" s="243">
        <f t="shared" si="2"/>
        <v>0</v>
      </c>
      <c r="S17" s="113">
        <f t="shared" si="3"/>
        <v>79.295768399571571</v>
      </c>
      <c r="T17" s="113">
        <f t="shared" si="4"/>
        <v>20.704231600428422</v>
      </c>
      <c r="U17" s="113">
        <f t="shared" si="5"/>
        <v>0</v>
      </c>
      <c r="V17" s="246">
        <v>0</v>
      </c>
      <c r="W17" s="6">
        <v>0</v>
      </c>
      <c r="X17" s="246">
        <v>9.4</v>
      </c>
      <c r="Y17" s="6">
        <v>89.4</v>
      </c>
      <c r="Z17" s="6">
        <v>1.2</v>
      </c>
      <c r="AA17" s="246">
        <v>10</v>
      </c>
      <c r="AB17" s="6">
        <v>41</v>
      </c>
      <c r="AC17" s="6">
        <v>49</v>
      </c>
      <c r="AD17" s="246">
        <v>0</v>
      </c>
      <c r="AE17" s="6">
        <v>0</v>
      </c>
      <c r="AF17" s="247">
        <v>0</v>
      </c>
      <c r="AG17" s="6" t="s">
        <v>69</v>
      </c>
      <c r="AI17" s="246" t="s">
        <v>73</v>
      </c>
      <c r="AJ17" s="246"/>
      <c r="AK17" s="6">
        <v>0</v>
      </c>
      <c r="AL17" s="6">
        <v>80</v>
      </c>
      <c r="AM17" s="6">
        <v>20</v>
      </c>
      <c r="AN17" s="6">
        <v>0</v>
      </c>
      <c r="AO17" s="246">
        <v>1</v>
      </c>
      <c r="AP17" s="6">
        <f t="shared" si="0"/>
        <v>3.2669000000000006</v>
      </c>
      <c r="AQ17" s="6">
        <f t="shared" si="10"/>
        <v>3.1280000000000001</v>
      </c>
      <c r="AR17" s="6">
        <v>1</v>
      </c>
      <c r="AS17" s="246"/>
      <c r="AT17" s="6">
        <f t="shared" si="6"/>
        <v>0</v>
      </c>
      <c r="AU17" s="6">
        <f t="shared" si="7"/>
        <v>24.48804677216933</v>
      </c>
      <c r="AV17" s="6">
        <f t="shared" si="8"/>
        <v>6.3938618925831197</v>
      </c>
      <c r="AW17" s="247">
        <f t="shared" si="9"/>
        <v>0</v>
      </c>
    </row>
    <row r="18" spans="1:49" s="6" customFormat="1">
      <c r="A18" s="6" t="s">
        <v>1906</v>
      </c>
      <c r="B18" s="6" t="s">
        <v>1907</v>
      </c>
      <c r="D18" s="6" t="s">
        <v>642</v>
      </c>
      <c r="E18" s="6" t="s">
        <v>643</v>
      </c>
      <c r="G18" s="6" t="s">
        <v>1876</v>
      </c>
      <c r="H18" s="6" t="s">
        <v>1883</v>
      </c>
      <c r="J18" s="6">
        <v>0</v>
      </c>
      <c r="K18" s="6">
        <v>45</v>
      </c>
      <c r="Q18" s="6" t="s">
        <v>1878</v>
      </c>
      <c r="R18" s="243">
        <f t="shared" si="2"/>
        <v>0</v>
      </c>
      <c r="S18" s="113">
        <f t="shared" si="3"/>
        <v>89.602118470092833</v>
      </c>
      <c r="T18" s="113">
        <f t="shared" si="4"/>
        <v>10.397881529907158</v>
      </c>
      <c r="U18" s="113">
        <f t="shared" si="5"/>
        <v>0</v>
      </c>
      <c r="V18" s="246">
        <v>0</v>
      </c>
      <c r="W18" s="6">
        <v>0</v>
      </c>
      <c r="X18" s="246">
        <v>9.4</v>
      </c>
      <c r="Y18" s="6">
        <v>89.4</v>
      </c>
      <c r="Z18" s="6">
        <v>1.2</v>
      </c>
      <c r="AA18" s="246">
        <v>10</v>
      </c>
      <c r="AB18" s="6">
        <v>41</v>
      </c>
      <c r="AC18" s="6">
        <v>49</v>
      </c>
      <c r="AD18" s="246">
        <v>0</v>
      </c>
      <c r="AE18" s="6">
        <v>0</v>
      </c>
      <c r="AF18" s="247">
        <v>0</v>
      </c>
      <c r="AG18" s="6" t="s">
        <v>69</v>
      </c>
      <c r="AI18" s="246" t="s">
        <v>73</v>
      </c>
      <c r="AJ18" s="246"/>
      <c r="AK18" s="6">
        <v>0</v>
      </c>
      <c r="AL18" s="6">
        <v>90</v>
      </c>
      <c r="AM18" s="6">
        <v>10</v>
      </c>
      <c r="AN18" s="6">
        <v>0</v>
      </c>
      <c r="AO18" s="246">
        <v>1</v>
      </c>
      <c r="AP18" s="6">
        <f t="shared" si="0"/>
        <v>3.2669000000000006</v>
      </c>
      <c r="AQ18" s="6">
        <f t="shared" si="10"/>
        <v>3.1280000000000001</v>
      </c>
      <c r="AR18" s="6">
        <v>1</v>
      </c>
      <c r="AS18" s="246"/>
      <c r="AT18" s="6">
        <f t="shared" si="6"/>
        <v>0</v>
      </c>
      <c r="AU18" s="6">
        <f t="shared" si="7"/>
        <v>27.549052618690496</v>
      </c>
      <c r="AV18" s="6">
        <f t="shared" si="8"/>
        <v>3.1969309462915598</v>
      </c>
      <c r="AW18" s="247">
        <f t="shared" si="9"/>
        <v>0</v>
      </c>
    </row>
    <row r="19" spans="1:49" s="6" customFormat="1">
      <c r="A19" s="6" t="s">
        <v>1908</v>
      </c>
      <c r="B19" s="6" t="s">
        <v>1909</v>
      </c>
      <c r="D19" s="6" t="s">
        <v>642</v>
      </c>
      <c r="E19" s="6" t="s">
        <v>643</v>
      </c>
      <c r="G19" s="6" t="s">
        <v>755</v>
      </c>
      <c r="H19" s="6" t="s">
        <v>1541</v>
      </c>
      <c r="J19" s="6">
        <v>0</v>
      </c>
      <c r="K19" s="6">
        <v>45</v>
      </c>
      <c r="L19" s="6" t="s">
        <v>64</v>
      </c>
      <c r="M19" s="6" t="s">
        <v>26</v>
      </c>
      <c r="N19" s="6" t="s">
        <v>1910</v>
      </c>
      <c r="O19" s="6" t="s">
        <v>957</v>
      </c>
      <c r="P19" s="6">
        <v>420</v>
      </c>
      <c r="Q19" s="6" t="s">
        <v>1234</v>
      </c>
      <c r="R19" s="243">
        <v>0</v>
      </c>
      <c r="S19" s="113">
        <v>100</v>
      </c>
      <c r="T19" s="113">
        <v>0</v>
      </c>
      <c r="U19" s="113">
        <v>0</v>
      </c>
      <c r="V19" s="246">
        <v>0</v>
      </c>
      <c r="W19" s="6">
        <v>0</v>
      </c>
      <c r="X19" s="246">
        <v>9.4</v>
      </c>
      <c r="Y19" s="6">
        <v>89.4</v>
      </c>
      <c r="Z19" s="6">
        <v>1.2</v>
      </c>
      <c r="AA19" s="246">
        <v>0</v>
      </c>
      <c r="AB19" s="6">
        <v>0</v>
      </c>
      <c r="AC19" s="6">
        <v>0</v>
      </c>
      <c r="AD19" s="246">
        <v>0</v>
      </c>
      <c r="AE19" s="6">
        <v>0</v>
      </c>
      <c r="AF19" s="247">
        <v>0</v>
      </c>
      <c r="AG19" s="6" t="s">
        <v>69</v>
      </c>
      <c r="AH19" s="6" t="s">
        <v>1911</v>
      </c>
      <c r="AI19" s="246"/>
      <c r="AJ19" s="246"/>
      <c r="AO19" s="246"/>
      <c r="AS19" s="246"/>
      <c r="AW19" s="247"/>
    </row>
    <row r="20" spans="1:49" s="6" customFormat="1">
      <c r="A20" s="6" t="s">
        <v>1912</v>
      </c>
      <c r="B20" s="6" t="s">
        <v>1913</v>
      </c>
      <c r="D20" s="6" t="s">
        <v>642</v>
      </c>
      <c r="E20" s="6" t="s">
        <v>643</v>
      </c>
      <c r="G20" s="6" t="s">
        <v>1876</v>
      </c>
      <c r="H20" s="6" t="s">
        <v>1883</v>
      </c>
      <c r="J20" s="6">
        <v>90</v>
      </c>
      <c r="K20" s="6">
        <v>180</v>
      </c>
      <c r="Q20" s="6" t="s">
        <v>1878</v>
      </c>
      <c r="R20" s="243">
        <f t="shared" ref="R20" si="11">AT20/SUMIF($AT20:$AW20, "&lt;&gt;#VALUE!")*100</f>
        <v>0</v>
      </c>
      <c r="S20" s="113">
        <f t="shared" ref="S20" si="12">AU20/SUMIF($AT20:$AW20, "&lt;&gt;#VALUE!")*100</f>
        <v>18.281706604324956</v>
      </c>
      <c r="T20" s="113">
        <f t="shared" ref="T20" si="13">AV20/SUMIF($AT20:$AW20, "&lt;&gt;#VALUE!")*100</f>
        <v>81.718293395675047</v>
      </c>
      <c r="U20" s="113">
        <f t="shared" ref="U20" si="14">AW20/SUMIF($AT20:$AW20, "&lt;&gt;#VALUE!")*100</f>
        <v>0</v>
      </c>
      <c r="V20" s="246">
        <v>0</v>
      </c>
      <c r="W20" s="6">
        <v>0</v>
      </c>
      <c r="X20" s="246">
        <v>41</v>
      </c>
      <c r="Y20" s="6">
        <v>55</v>
      </c>
      <c r="Z20" s="6">
        <v>4</v>
      </c>
      <c r="AA20" s="246">
        <v>8</v>
      </c>
      <c r="AB20" s="6">
        <v>48</v>
      </c>
      <c r="AC20" s="6">
        <v>44</v>
      </c>
      <c r="AD20" s="246">
        <v>0</v>
      </c>
      <c r="AE20" s="6">
        <v>0</v>
      </c>
      <c r="AF20" s="247">
        <v>0</v>
      </c>
      <c r="AG20" s="6" t="s">
        <v>69</v>
      </c>
      <c r="AI20" s="246" t="s">
        <v>73</v>
      </c>
      <c r="AJ20" s="246"/>
      <c r="AK20" s="6">
        <v>0</v>
      </c>
      <c r="AL20" s="6">
        <v>20</v>
      </c>
      <c r="AM20" s="6">
        <v>80</v>
      </c>
      <c r="AN20" s="6">
        <v>0</v>
      </c>
      <c r="AO20" s="246">
        <v>1</v>
      </c>
      <c r="AP20" s="6">
        <f t="shared" ref="AP20:AP51" si="15">X20*$Z$2+Y20*$AA$2+Z20*$AB$2</f>
        <v>3.4955000000000003</v>
      </c>
      <c r="AQ20" s="6">
        <f t="shared" ref="AQ20:AQ27" si="16">AA20*$Z$2+AB20*$AA$2+AC20*$AB$2</f>
        <v>3.1280000000000001</v>
      </c>
      <c r="AR20" s="6">
        <v>1</v>
      </c>
      <c r="AS20" s="246"/>
      <c r="AT20" s="6">
        <f t="shared" si="6"/>
        <v>0</v>
      </c>
      <c r="AU20" s="6">
        <f t="shared" si="7"/>
        <v>5.7216421112859388</v>
      </c>
      <c r="AV20" s="6">
        <f t="shared" si="8"/>
        <v>25.575447570332479</v>
      </c>
      <c r="AW20" s="247">
        <f t="shared" si="9"/>
        <v>0</v>
      </c>
    </row>
    <row r="21" spans="1:49" s="6" customFormat="1">
      <c r="A21" s="6" t="s">
        <v>1914</v>
      </c>
      <c r="B21" s="6" t="s">
        <v>1915</v>
      </c>
      <c r="D21" s="6" t="s">
        <v>642</v>
      </c>
      <c r="E21" s="6" t="s">
        <v>643</v>
      </c>
      <c r="G21" s="6" t="s">
        <v>1876</v>
      </c>
      <c r="H21" s="6" t="s">
        <v>1883</v>
      </c>
      <c r="J21" s="6">
        <v>90</v>
      </c>
      <c r="K21" s="6">
        <v>180</v>
      </c>
      <c r="Q21" s="6" t="s">
        <v>1878</v>
      </c>
      <c r="R21" s="243">
        <f t="shared" ref="R21:R46" si="17">AT21/SUMIF($AT21:$AW21, "&lt;&gt;#VALUE!")*100</f>
        <v>0</v>
      </c>
      <c r="S21" s="113">
        <f t="shared" ref="S21:S46" si="18">AU21/SUMIF($AT21:$AW21, "&lt;&gt;#VALUE!")*100</f>
        <v>37.365984769299686</v>
      </c>
      <c r="T21" s="113">
        <f t="shared" ref="T21:T46" si="19">AV21/SUMIF($AT21:$AW21, "&lt;&gt;#VALUE!")*100</f>
        <v>62.634015230700321</v>
      </c>
      <c r="U21" s="113">
        <f t="shared" ref="U21:U46" si="20">AW21/SUMIF($AT21:$AW21, "&lt;&gt;#VALUE!")*100</f>
        <v>0</v>
      </c>
      <c r="V21" s="246">
        <v>0</v>
      </c>
      <c r="W21" s="6">
        <v>0</v>
      </c>
      <c r="X21" s="246">
        <v>41</v>
      </c>
      <c r="Y21" s="6">
        <v>55</v>
      </c>
      <c r="Z21" s="6">
        <v>4</v>
      </c>
      <c r="AA21" s="246">
        <v>8</v>
      </c>
      <c r="AB21" s="6">
        <v>48</v>
      </c>
      <c r="AC21" s="6">
        <v>44</v>
      </c>
      <c r="AD21" s="246">
        <v>0</v>
      </c>
      <c r="AE21" s="6">
        <v>0</v>
      </c>
      <c r="AF21" s="247">
        <v>0</v>
      </c>
      <c r="AG21" s="6" t="s">
        <v>69</v>
      </c>
      <c r="AI21" s="246" t="s">
        <v>73</v>
      </c>
      <c r="AJ21" s="246"/>
      <c r="AK21" s="6">
        <v>0</v>
      </c>
      <c r="AL21" s="6">
        <v>40</v>
      </c>
      <c r="AM21" s="6">
        <v>60</v>
      </c>
      <c r="AN21" s="6">
        <v>0</v>
      </c>
      <c r="AO21" s="246">
        <v>1</v>
      </c>
      <c r="AP21" s="6">
        <f t="shared" si="15"/>
        <v>3.4955000000000003</v>
      </c>
      <c r="AQ21" s="6">
        <f t="shared" si="16"/>
        <v>3.1280000000000001</v>
      </c>
      <c r="AR21" s="6">
        <v>1</v>
      </c>
      <c r="AS21" s="246"/>
      <c r="AT21" s="6">
        <f t="shared" si="6"/>
        <v>0</v>
      </c>
      <c r="AU21" s="6">
        <f t="shared" si="7"/>
        <v>11.443284222571878</v>
      </c>
      <c r="AV21" s="6">
        <f t="shared" si="8"/>
        <v>19.181585677749361</v>
      </c>
      <c r="AW21" s="247">
        <f t="shared" si="9"/>
        <v>0</v>
      </c>
    </row>
    <row r="22" spans="1:49" s="6" customFormat="1">
      <c r="A22" s="6" t="s">
        <v>1916</v>
      </c>
      <c r="B22" s="6" t="s">
        <v>1917</v>
      </c>
      <c r="D22" s="6" t="s">
        <v>642</v>
      </c>
      <c r="E22" s="6" t="s">
        <v>643</v>
      </c>
      <c r="G22" s="6" t="s">
        <v>1876</v>
      </c>
      <c r="H22" s="6" t="s">
        <v>1883</v>
      </c>
      <c r="J22" s="6">
        <v>90</v>
      </c>
      <c r="K22" s="6">
        <v>180</v>
      </c>
      <c r="Q22" s="6" t="s">
        <v>1878</v>
      </c>
      <c r="R22" s="243">
        <f t="shared" si="17"/>
        <v>0</v>
      </c>
      <c r="S22" s="113">
        <f t="shared" si="18"/>
        <v>57.306870229007636</v>
      </c>
      <c r="T22" s="113">
        <f t="shared" si="19"/>
        <v>42.693129770992364</v>
      </c>
      <c r="U22" s="113">
        <f t="shared" si="20"/>
        <v>0</v>
      </c>
      <c r="V22" s="246">
        <v>0</v>
      </c>
      <c r="W22" s="6">
        <v>0</v>
      </c>
      <c r="X22" s="246">
        <v>41</v>
      </c>
      <c r="Y22" s="6">
        <v>55</v>
      </c>
      <c r="Z22" s="6">
        <v>4</v>
      </c>
      <c r="AA22" s="246">
        <v>8</v>
      </c>
      <c r="AB22" s="6">
        <v>48</v>
      </c>
      <c r="AC22" s="6">
        <v>44</v>
      </c>
      <c r="AD22" s="246">
        <v>0</v>
      </c>
      <c r="AE22" s="6">
        <v>0</v>
      </c>
      <c r="AF22" s="247">
        <v>0</v>
      </c>
      <c r="AG22" s="6" t="s">
        <v>69</v>
      </c>
      <c r="AI22" s="246" t="s">
        <v>73</v>
      </c>
      <c r="AJ22" s="246"/>
      <c r="AK22" s="6">
        <v>0</v>
      </c>
      <c r="AL22" s="6">
        <v>60</v>
      </c>
      <c r="AM22" s="6">
        <v>40</v>
      </c>
      <c r="AN22" s="6">
        <v>0</v>
      </c>
      <c r="AO22" s="246">
        <v>1</v>
      </c>
      <c r="AP22" s="6">
        <f t="shared" si="15"/>
        <v>3.4955000000000003</v>
      </c>
      <c r="AQ22" s="6">
        <f t="shared" si="16"/>
        <v>3.1280000000000001</v>
      </c>
      <c r="AR22" s="6">
        <v>1</v>
      </c>
      <c r="AS22" s="246"/>
      <c r="AT22" s="6">
        <f t="shared" si="6"/>
        <v>0</v>
      </c>
      <c r="AU22" s="6">
        <f t="shared" si="7"/>
        <v>17.164926333857817</v>
      </c>
      <c r="AV22" s="6">
        <f t="shared" si="8"/>
        <v>12.787723785166239</v>
      </c>
      <c r="AW22" s="247">
        <f t="shared" si="9"/>
        <v>0</v>
      </c>
    </row>
    <row r="23" spans="1:49" s="6" customFormat="1">
      <c r="A23" s="6" t="s">
        <v>1918</v>
      </c>
      <c r="B23" s="6" t="s">
        <v>1919</v>
      </c>
      <c r="D23" s="6" t="s">
        <v>642</v>
      </c>
      <c r="E23" s="6" t="s">
        <v>643</v>
      </c>
      <c r="G23" s="6" t="s">
        <v>1876</v>
      </c>
      <c r="H23" s="6" t="s">
        <v>1883</v>
      </c>
      <c r="J23" s="6">
        <v>90</v>
      </c>
      <c r="K23" s="6">
        <v>180</v>
      </c>
      <c r="Q23" s="6" t="s">
        <v>1878</v>
      </c>
      <c r="R23" s="243">
        <f t="shared" si="17"/>
        <v>0</v>
      </c>
      <c r="S23" s="113">
        <f t="shared" si="18"/>
        <v>78.163360924566604</v>
      </c>
      <c r="T23" s="113">
        <f t="shared" si="19"/>
        <v>21.836639075433389</v>
      </c>
      <c r="U23" s="113">
        <f t="shared" si="20"/>
        <v>0</v>
      </c>
      <c r="V23" s="246">
        <v>0</v>
      </c>
      <c r="W23" s="6">
        <v>0</v>
      </c>
      <c r="X23" s="246">
        <v>41</v>
      </c>
      <c r="Y23" s="6">
        <v>55</v>
      </c>
      <c r="Z23" s="6">
        <v>4</v>
      </c>
      <c r="AA23" s="246">
        <v>8</v>
      </c>
      <c r="AB23" s="6">
        <v>48</v>
      </c>
      <c r="AC23" s="6">
        <v>44</v>
      </c>
      <c r="AD23" s="246">
        <v>0</v>
      </c>
      <c r="AE23" s="6">
        <v>0</v>
      </c>
      <c r="AF23" s="247">
        <v>0</v>
      </c>
      <c r="AG23" s="6" t="s">
        <v>69</v>
      </c>
      <c r="AI23" s="246" t="s">
        <v>73</v>
      </c>
      <c r="AJ23" s="246"/>
      <c r="AK23" s="6">
        <v>0</v>
      </c>
      <c r="AL23" s="6">
        <v>80</v>
      </c>
      <c r="AM23" s="6">
        <v>20</v>
      </c>
      <c r="AN23" s="6">
        <v>0</v>
      </c>
      <c r="AO23" s="246">
        <v>1</v>
      </c>
      <c r="AP23" s="6">
        <f t="shared" si="15"/>
        <v>3.4955000000000003</v>
      </c>
      <c r="AQ23" s="6">
        <f t="shared" si="16"/>
        <v>3.1280000000000001</v>
      </c>
      <c r="AR23" s="6">
        <v>1</v>
      </c>
      <c r="AS23" s="246"/>
      <c r="AT23" s="6">
        <f t="shared" si="6"/>
        <v>0</v>
      </c>
      <c r="AU23" s="6">
        <f t="shared" si="7"/>
        <v>22.886568445143755</v>
      </c>
      <c r="AV23" s="6">
        <f t="shared" si="8"/>
        <v>6.3938618925831197</v>
      </c>
      <c r="AW23" s="247">
        <f t="shared" si="9"/>
        <v>0</v>
      </c>
    </row>
    <row r="24" spans="1:49" s="6" customFormat="1">
      <c r="A24" s="6" t="s">
        <v>1920</v>
      </c>
      <c r="B24" s="6" t="s">
        <v>1893</v>
      </c>
      <c r="D24" s="6" t="s">
        <v>642</v>
      </c>
      <c r="E24" s="6" t="s">
        <v>643</v>
      </c>
      <c r="G24" s="6" t="s">
        <v>1876</v>
      </c>
      <c r="H24" s="6" t="s">
        <v>1883</v>
      </c>
      <c r="J24" s="6">
        <v>90</v>
      </c>
      <c r="K24" s="6">
        <v>180</v>
      </c>
      <c r="Q24" s="6" t="s">
        <v>1878</v>
      </c>
      <c r="R24" s="243">
        <f t="shared" si="17"/>
        <v>0</v>
      </c>
      <c r="S24" s="113">
        <f t="shared" si="18"/>
        <v>19.313887722591318</v>
      </c>
      <c r="T24" s="113">
        <f t="shared" si="19"/>
        <v>80.686112277408682</v>
      </c>
      <c r="U24" s="113">
        <f t="shared" si="20"/>
        <v>0</v>
      </c>
      <c r="V24" s="246">
        <v>0</v>
      </c>
      <c r="W24" s="6">
        <v>0</v>
      </c>
      <c r="X24" s="246">
        <v>9.4</v>
      </c>
      <c r="Y24" s="6">
        <v>89.4</v>
      </c>
      <c r="Z24" s="6">
        <v>1.2</v>
      </c>
      <c r="AA24" s="246">
        <v>10</v>
      </c>
      <c r="AB24" s="6">
        <v>41</v>
      </c>
      <c r="AC24" s="6">
        <v>49</v>
      </c>
      <c r="AD24" s="246">
        <v>0</v>
      </c>
      <c r="AE24" s="6">
        <v>0</v>
      </c>
      <c r="AF24" s="247">
        <v>0</v>
      </c>
      <c r="AG24" s="6" t="s">
        <v>69</v>
      </c>
      <c r="AI24" s="246" t="s">
        <v>73</v>
      </c>
      <c r="AJ24" s="246"/>
      <c r="AK24" s="6">
        <v>0</v>
      </c>
      <c r="AL24" s="6">
        <v>20</v>
      </c>
      <c r="AM24" s="6">
        <v>80</v>
      </c>
      <c r="AN24" s="6">
        <v>0</v>
      </c>
      <c r="AO24" s="246">
        <v>1</v>
      </c>
      <c r="AP24" s="6">
        <f t="shared" si="15"/>
        <v>3.2669000000000006</v>
      </c>
      <c r="AQ24" s="6">
        <f t="shared" si="16"/>
        <v>3.1280000000000001</v>
      </c>
      <c r="AR24" s="6">
        <v>1</v>
      </c>
      <c r="AS24" s="246"/>
      <c r="AT24" s="6">
        <f t="shared" si="6"/>
        <v>0</v>
      </c>
      <c r="AU24" s="6">
        <f t="shared" si="7"/>
        <v>6.1220116930423325</v>
      </c>
      <c r="AV24" s="6">
        <f t="shared" si="8"/>
        <v>25.575447570332479</v>
      </c>
      <c r="AW24" s="247">
        <f t="shared" si="9"/>
        <v>0</v>
      </c>
    </row>
    <row r="25" spans="1:49" s="6" customFormat="1">
      <c r="A25" s="6" t="s">
        <v>1921</v>
      </c>
      <c r="B25" s="6" t="s">
        <v>1897</v>
      </c>
      <c r="D25" s="6" t="s">
        <v>642</v>
      </c>
      <c r="E25" s="6" t="s">
        <v>643</v>
      </c>
      <c r="G25" s="6" t="s">
        <v>1876</v>
      </c>
      <c r="H25" s="6" t="s">
        <v>1883</v>
      </c>
      <c r="J25" s="6">
        <v>90</v>
      </c>
      <c r="K25" s="6">
        <v>180</v>
      </c>
      <c r="Q25" s="6" t="s">
        <v>1878</v>
      </c>
      <c r="R25" s="243">
        <f t="shared" si="17"/>
        <v>0</v>
      </c>
      <c r="S25" s="113">
        <f t="shared" si="18"/>
        <v>38.961928665292369</v>
      </c>
      <c r="T25" s="113">
        <f t="shared" si="19"/>
        <v>61.038071334707631</v>
      </c>
      <c r="U25" s="113">
        <f t="shared" si="20"/>
        <v>0</v>
      </c>
      <c r="V25" s="246">
        <v>0</v>
      </c>
      <c r="W25" s="6">
        <v>0</v>
      </c>
      <c r="X25" s="246">
        <v>9.4</v>
      </c>
      <c r="Y25" s="6">
        <v>89.4</v>
      </c>
      <c r="Z25" s="6">
        <v>1.2</v>
      </c>
      <c r="AA25" s="246">
        <v>10</v>
      </c>
      <c r="AB25" s="6">
        <v>41</v>
      </c>
      <c r="AC25" s="6">
        <v>49</v>
      </c>
      <c r="AD25" s="246">
        <v>0</v>
      </c>
      <c r="AE25" s="6">
        <v>0</v>
      </c>
      <c r="AF25" s="247">
        <v>0</v>
      </c>
      <c r="AG25" s="6" t="s">
        <v>69</v>
      </c>
      <c r="AI25" s="246" t="s">
        <v>73</v>
      </c>
      <c r="AJ25" s="246"/>
      <c r="AK25" s="6">
        <v>0</v>
      </c>
      <c r="AL25" s="6">
        <v>40</v>
      </c>
      <c r="AM25" s="6">
        <v>60</v>
      </c>
      <c r="AN25" s="6">
        <v>0</v>
      </c>
      <c r="AO25" s="246">
        <v>1</v>
      </c>
      <c r="AP25" s="6">
        <f t="shared" si="15"/>
        <v>3.2669000000000006</v>
      </c>
      <c r="AQ25" s="6">
        <f t="shared" si="16"/>
        <v>3.1280000000000001</v>
      </c>
      <c r="AR25" s="6">
        <v>1</v>
      </c>
      <c r="AS25" s="246"/>
      <c r="AT25" s="6">
        <f t="shared" si="6"/>
        <v>0</v>
      </c>
      <c r="AU25" s="6">
        <f t="shared" si="7"/>
        <v>12.244023386084665</v>
      </c>
      <c r="AV25" s="6">
        <f t="shared" si="8"/>
        <v>19.181585677749361</v>
      </c>
      <c r="AW25" s="247">
        <f t="shared" si="9"/>
        <v>0</v>
      </c>
    </row>
    <row r="26" spans="1:49" s="6" customFormat="1">
      <c r="A26" s="6" t="s">
        <v>1922</v>
      </c>
      <c r="B26" s="6" t="s">
        <v>1901</v>
      </c>
      <c r="D26" s="6" t="s">
        <v>642</v>
      </c>
      <c r="E26" s="6" t="s">
        <v>643</v>
      </c>
      <c r="G26" s="6" t="s">
        <v>1876</v>
      </c>
      <c r="H26" s="6" t="s">
        <v>1883</v>
      </c>
      <c r="J26" s="6">
        <v>90</v>
      </c>
      <c r="K26" s="6">
        <v>180</v>
      </c>
      <c r="Q26" s="6" t="s">
        <v>1878</v>
      </c>
      <c r="R26" s="243">
        <f t="shared" si="17"/>
        <v>0</v>
      </c>
      <c r="S26" s="113">
        <f t="shared" si="18"/>
        <v>58.952870371533749</v>
      </c>
      <c r="T26" s="113">
        <f t="shared" si="19"/>
        <v>41.047129628466244</v>
      </c>
      <c r="U26" s="113">
        <f t="shared" si="20"/>
        <v>0</v>
      </c>
      <c r="V26" s="246">
        <v>0</v>
      </c>
      <c r="W26" s="6">
        <v>0</v>
      </c>
      <c r="X26" s="246">
        <v>9.4</v>
      </c>
      <c r="Y26" s="6">
        <v>89.4</v>
      </c>
      <c r="Z26" s="6">
        <v>1.2</v>
      </c>
      <c r="AA26" s="246">
        <v>10</v>
      </c>
      <c r="AB26" s="6">
        <v>41</v>
      </c>
      <c r="AC26" s="6">
        <v>49</v>
      </c>
      <c r="AD26" s="246">
        <v>0</v>
      </c>
      <c r="AE26" s="6">
        <v>0</v>
      </c>
      <c r="AF26" s="247">
        <v>0</v>
      </c>
      <c r="AG26" s="6" t="s">
        <v>69</v>
      </c>
      <c r="AI26" s="246" t="s">
        <v>73</v>
      </c>
      <c r="AJ26" s="246"/>
      <c r="AK26" s="6">
        <v>0</v>
      </c>
      <c r="AL26" s="6">
        <v>60</v>
      </c>
      <c r="AM26" s="6">
        <v>40</v>
      </c>
      <c r="AN26" s="6">
        <v>0</v>
      </c>
      <c r="AO26" s="246">
        <v>1</v>
      </c>
      <c r="AP26" s="6">
        <f t="shared" si="15"/>
        <v>3.2669000000000006</v>
      </c>
      <c r="AQ26" s="6">
        <f t="shared" si="16"/>
        <v>3.1280000000000001</v>
      </c>
      <c r="AR26" s="6">
        <v>1</v>
      </c>
      <c r="AS26" s="246"/>
      <c r="AT26" s="6">
        <f t="shared" si="6"/>
        <v>0</v>
      </c>
      <c r="AU26" s="6">
        <f t="shared" si="7"/>
        <v>18.366035079126998</v>
      </c>
      <c r="AV26" s="6">
        <f t="shared" si="8"/>
        <v>12.787723785166239</v>
      </c>
      <c r="AW26" s="247">
        <f t="shared" si="9"/>
        <v>0</v>
      </c>
    </row>
    <row r="27" spans="1:49" s="6" customFormat="1">
      <c r="A27" s="6" t="s">
        <v>1923</v>
      </c>
      <c r="B27" s="6" t="s">
        <v>1905</v>
      </c>
      <c r="D27" s="6" t="s">
        <v>642</v>
      </c>
      <c r="E27" s="6" t="s">
        <v>643</v>
      </c>
      <c r="G27" s="6" t="s">
        <v>1876</v>
      </c>
      <c r="H27" s="6" t="s">
        <v>1883</v>
      </c>
      <c r="J27" s="6">
        <v>90</v>
      </c>
      <c r="K27" s="6">
        <v>180</v>
      </c>
      <c r="Q27" s="6" t="s">
        <v>1878</v>
      </c>
      <c r="R27" s="243">
        <f t="shared" si="17"/>
        <v>0</v>
      </c>
      <c r="S27" s="113">
        <f t="shared" si="18"/>
        <v>79.295768399571571</v>
      </c>
      <c r="T27" s="113">
        <f t="shared" si="19"/>
        <v>20.704231600428422</v>
      </c>
      <c r="U27" s="113">
        <f t="shared" si="20"/>
        <v>0</v>
      </c>
      <c r="V27" s="246">
        <v>0</v>
      </c>
      <c r="W27" s="6">
        <v>0</v>
      </c>
      <c r="X27" s="246">
        <v>9.4</v>
      </c>
      <c r="Y27" s="6">
        <v>89.4</v>
      </c>
      <c r="Z27" s="6">
        <v>1.2</v>
      </c>
      <c r="AA27" s="246">
        <v>10</v>
      </c>
      <c r="AB27" s="6">
        <v>41</v>
      </c>
      <c r="AC27" s="6">
        <v>49</v>
      </c>
      <c r="AD27" s="246">
        <v>0</v>
      </c>
      <c r="AE27" s="6">
        <v>0</v>
      </c>
      <c r="AF27" s="247">
        <v>0</v>
      </c>
      <c r="AG27" s="6" t="s">
        <v>69</v>
      </c>
      <c r="AI27" s="246" t="s">
        <v>73</v>
      </c>
      <c r="AJ27" s="246"/>
      <c r="AK27" s="6">
        <v>0</v>
      </c>
      <c r="AL27" s="6">
        <v>80</v>
      </c>
      <c r="AM27" s="6">
        <v>20</v>
      </c>
      <c r="AN27" s="6">
        <v>0</v>
      </c>
      <c r="AO27" s="246">
        <v>1</v>
      </c>
      <c r="AP27" s="6">
        <f t="shared" si="15"/>
        <v>3.2669000000000006</v>
      </c>
      <c r="AQ27" s="6">
        <f t="shared" si="16"/>
        <v>3.1280000000000001</v>
      </c>
      <c r="AR27" s="6">
        <v>1</v>
      </c>
      <c r="AS27" s="246"/>
      <c r="AT27" s="6">
        <f t="shared" si="6"/>
        <v>0</v>
      </c>
      <c r="AU27" s="6">
        <f t="shared" si="7"/>
        <v>24.48804677216933</v>
      </c>
      <c r="AV27" s="6">
        <f t="shared" si="8"/>
        <v>6.3938618925831197</v>
      </c>
      <c r="AW27" s="247">
        <f t="shared" si="9"/>
        <v>0</v>
      </c>
    </row>
    <row r="28" spans="1:49" s="6" customFormat="1">
      <c r="A28" s="6" t="s">
        <v>1924</v>
      </c>
      <c r="B28" s="6" t="s">
        <v>1925</v>
      </c>
      <c r="D28" s="6" t="s">
        <v>642</v>
      </c>
      <c r="E28" s="6" t="s">
        <v>643</v>
      </c>
      <c r="G28" s="6" t="s">
        <v>1876</v>
      </c>
      <c r="H28" s="6" t="s">
        <v>1877</v>
      </c>
      <c r="J28" s="6">
        <v>0</v>
      </c>
      <c r="K28" s="6">
        <v>38</v>
      </c>
      <c r="Q28" s="6" t="s">
        <v>1878</v>
      </c>
      <c r="R28" s="243">
        <f t="shared" si="17"/>
        <v>89.769960223233852</v>
      </c>
      <c r="S28" s="113">
        <f t="shared" si="18"/>
        <v>10.230039776766132</v>
      </c>
      <c r="T28" s="113">
        <f t="shared" si="19"/>
        <v>0</v>
      </c>
      <c r="U28" s="113">
        <f t="shared" si="20"/>
        <v>0</v>
      </c>
      <c r="V28" s="246">
        <v>10</v>
      </c>
      <c r="W28" s="6">
        <v>90</v>
      </c>
      <c r="X28" s="246">
        <v>13</v>
      </c>
      <c r="Y28" s="6">
        <v>87</v>
      </c>
      <c r="Z28" s="6">
        <v>0</v>
      </c>
      <c r="AA28" s="246">
        <v>0</v>
      </c>
      <c r="AB28" s="6">
        <v>0</v>
      </c>
      <c r="AC28" s="6">
        <v>0</v>
      </c>
      <c r="AD28" s="246">
        <v>0</v>
      </c>
      <c r="AE28" s="6">
        <v>0</v>
      </c>
      <c r="AF28" s="247">
        <v>0</v>
      </c>
      <c r="AG28" s="6" t="s">
        <v>69</v>
      </c>
      <c r="AI28" s="246" t="s">
        <v>73</v>
      </c>
      <c r="AJ28" s="246"/>
      <c r="AK28" s="6">
        <v>90</v>
      </c>
      <c r="AL28" s="6">
        <v>10</v>
      </c>
      <c r="AM28" s="6">
        <v>0</v>
      </c>
      <c r="AN28" s="6">
        <v>0</v>
      </c>
      <c r="AO28" s="246">
        <f t="shared" ref="AO28:AO70" si="21">V28*$X$2 + W28*$Y$2</f>
        <v>3.3820000000000001</v>
      </c>
      <c r="AP28" s="6">
        <f t="shared" si="15"/>
        <v>3.2975000000000003</v>
      </c>
      <c r="AQ28" s="6">
        <v>1</v>
      </c>
      <c r="AR28" s="6">
        <v>1</v>
      </c>
      <c r="AS28" s="246"/>
      <c r="AT28" s="6">
        <f t="shared" si="6"/>
        <v>26.611472501478413</v>
      </c>
      <c r="AU28" s="6">
        <f t="shared" si="7"/>
        <v>3.0326004548900678</v>
      </c>
      <c r="AV28" s="6">
        <f t="shared" si="8"/>
        <v>0</v>
      </c>
      <c r="AW28" s="247">
        <f t="shared" si="9"/>
        <v>0</v>
      </c>
    </row>
    <row r="29" spans="1:49" s="6" customFormat="1">
      <c r="A29" s="6" t="s">
        <v>1926</v>
      </c>
      <c r="B29" s="6" t="s">
        <v>1927</v>
      </c>
      <c r="D29" s="6" t="s">
        <v>642</v>
      </c>
      <c r="E29" s="6" t="s">
        <v>643</v>
      </c>
      <c r="G29" s="6" t="s">
        <v>1876</v>
      </c>
      <c r="H29" s="6" t="s">
        <v>1877</v>
      </c>
      <c r="J29" s="6">
        <v>0</v>
      </c>
      <c r="K29" s="6">
        <v>38</v>
      </c>
      <c r="Q29" s="6" t="s">
        <v>1878</v>
      </c>
      <c r="R29" s="243">
        <f t="shared" si="17"/>
        <v>79.592083031619595</v>
      </c>
      <c r="S29" s="113">
        <f t="shared" si="18"/>
        <v>20.407916968380398</v>
      </c>
      <c r="T29" s="113">
        <f t="shared" si="19"/>
        <v>0</v>
      </c>
      <c r="U29" s="113">
        <f t="shared" si="20"/>
        <v>0</v>
      </c>
      <c r="V29" s="246">
        <v>10</v>
      </c>
      <c r="W29" s="6">
        <v>90</v>
      </c>
      <c r="X29" s="246">
        <v>13</v>
      </c>
      <c r="Y29" s="6">
        <v>87</v>
      </c>
      <c r="Z29" s="6">
        <v>0</v>
      </c>
      <c r="AA29" s="246">
        <v>0</v>
      </c>
      <c r="AB29" s="6">
        <v>0</v>
      </c>
      <c r="AC29" s="6">
        <v>0</v>
      </c>
      <c r="AD29" s="246">
        <v>0</v>
      </c>
      <c r="AE29" s="6">
        <v>0</v>
      </c>
      <c r="AF29" s="247">
        <v>0</v>
      </c>
      <c r="AG29" s="6" t="s">
        <v>69</v>
      </c>
      <c r="AI29" s="246" t="s">
        <v>73</v>
      </c>
      <c r="AJ29" s="246"/>
      <c r="AK29" s="6">
        <v>80</v>
      </c>
      <c r="AL29" s="6">
        <v>20</v>
      </c>
      <c r="AM29" s="6">
        <v>0</v>
      </c>
      <c r="AN29" s="6">
        <v>0</v>
      </c>
      <c r="AO29" s="246">
        <f t="shared" si="21"/>
        <v>3.3820000000000001</v>
      </c>
      <c r="AP29" s="6">
        <f t="shared" si="15"/>
        <v>3.2975000000000003</v>
      </c>
      <c r="AQ29" s="6">
        <v>1</v>
      </c>
      <c r="AR29" s="6">
        <v>1</v>
      </c>
      <c r="AS29" s="246"/>
      <c r="AT29" s="6">
        <f t="shared" si="6"/>
        <v>23.654642223536367</v>
      </c>
      <c r="AU29" s="6">
        <f t="shared" si="7"/>
        <v>6.0652009097801356</v>
      </c>
      <c r="AV29" s="6">
        <f t="shared" si="8"/>
        <v>0</v>
      </c>
      <c r="AW29" s="247">
        <f t="shared" si="9"/>
        <v>0</v>
      </c>
    </row>
    <row r="30" spans="1:49" s="6" customFormat="1">
      <c r="A30" s="6" t="s">
        <v>1928</v>
      </c>
      <c r="B30" s="6" t="s">
        <v>1929</v>
      </c>
      <c r="D30" s="6" t="s">
        <v>642</v>
      </c>
      <c r="E30" s="6" t="s">
        <v>643</v>
      </c>
      <c r="G30" s="6" t="s">
        <v>1876</v>
      </c>
      <c r="H30" s="6" t="s">
        <v>1877</v>
      </c>
      <c r="J30" s="6">
        <v>0</v>
      </c>
      <c r="K30" s="6">
        <v>38</v>
      </c>
      <c r="Q30" s="6" t="s">
        <v>1878</v>
      </c>
      <c r="R30" s="243">
        <f t="shared" si="17"/>
        <v>69.465970477150634</v>
      </c>
      <c r="S30" s="113">
        <f t="shared" si="18"/>
        <v>30.534029522849359</v>
      </c>
      <c r="T30" s="113">
        <f t="shared" si="19"/>
        <v>0</v>
      </c>
      <c r="U30" s="113">
        <f t="shared" si="20"/>
        <v>0</v>
      </c>
      <c r="V30" s="246">
        <v>10</v>
      </c>
      <c r="W30" s="6">
        <v>90</v>
      </c>
      <c r="X30" s="246">
        <v>13</v>
      </c>
      <c r="Y30" s="6">
        <v>87</v>
      </c>
      <c r="Z30" s="6">
        <v>0</v>
      </c>
      <c r="AA30" s="246">
        <v>0</v>
      </c>
      <c r="AB30" s="6">
        <v>0</v>
      </c>
      <c r="AC30" s="6">
        <v>0</v>
      </c>
      <c r="AD30" s="246">
        <v>0</v>
      </c>
      <c r="AE30" s="6">
        <v>0</v>
      </c>
      <c r="AF30" s="247">
        <v>0</v>
      </c>
      <c r="AG30" s="6" t="s">
        <v>69</v>
      </c>
      <c r="AI30" s="246" t="s">
        <v>73</v>
      </c>
      <c r="AJ30" s="246"/>
      <c r="AK30" s="6">
        <v>70</v>
      </c>
      <c r="AL30" s="6">
        <v>30</v>
      </c>
      <c r="AM30" s="6">
        <v>0</v>
      </c>
      <c r="AN30" s="6">
        <v>0</v>
      </c>
      <c r="AO30" s="246">
        <f t="shared" si="21"/>
        <v>3.3820000000000001</v>
      </c>
      <c r="AP30" s="6">
        <f t="shared" si="15"/>
        <v>3.2975000000000003</v>
      </c>
      <c r="AQ30" s="6">
        <v>1</v>
      </c>
      <c r="AR30" s="6">
        <v>1</v>
      </c>
      <c r="AS30" s="246"/>
      <c r="AT30" s="6">
        <f t="shared" si="6"/>
        <v>20.697811945594321</v>
      </c>
      <c r="AU30" s="6">
        <f t="shared" si="7"/>
        <v>9.0978013646702038</v>
      </c>
      <c r="AV30" s="6">
        <f t="shared" si="8"/>
        <v>0</v>
      </c>
      <c r="AW30" s="247">
        <f t="shared" si="9"/>
        <v>0</v>
      </c>
    </row>
    <row r="31" spans="1:49" s="6" customFormat="1">
      <c r="A31" s="6" t="s">
        <v>1930</v>
      </c>
      <c r="B31" s="6" t="s">
        <v>1931</v>
      </c>
      <c r="D31" s="6" t="s">
        <v>642</v>
      </c>
      <c r="E31" s="6" t="s">
        <v>643</v>
      </c>
      <c r="G31" s="6" t="s">
        <v>1876</v>
      </c>
      <c r="H31" s="6" t="s">
        <v>1877</v>
      </c>
      <c r="J31" s="6">
        <v>0</v>
      </c>
      <c r="K31" s="6">
        <v>38</v>
      </c>
      <c r="Q31" s="6" t="s">
        <v>1878</v>
      </c>
      <c r="R31" s="243">
        <f t="shared" si="17"/>
        <v>59.391228649476183</v>
      </c>
      <c r="S31" s="113">
        <f t="shared" si="18"/>
        <v>40.608771350523817</v>
      </c>
      <c r="T31" s="113">
        <f t="shared" si="19"/>
        <v>0</v>
      </c>
      <c r="U31" s="113">
        <f t="shared" si="20"/>
        <v>0</v>
      </c>
      <c r="V31" s="246">
        <v>10</v>
      </c>
      <c r="W31" s="6">
        <v>90</v>
      </c>
      <c r="X31" s="246">
        <v>13</v>
      </c>
      <c r="Y31" s="6">
        <v>87</v>
      </c>
      <c r="Z31" s="6">
        <v>0</v>
      </c>
      <c r="AA31" s="246">
        <v>0</v>
      </c>
      <c r="AB31" s="6">
        <v>0</v>
      </c>
      <c r="AC31" s="6">
        <v>0</v>
      </c>
      <c r="AD31" s="246">
        <v>0</v>
      </c>
      <c r="AE31" s="6">
        <v>0</v>
      </c>
      <c r="AF31" s="247">
        <v>0</v>
      </c>
      <c r="AG31" s="6" t="s">
        <v>69</v>
      </c>
      <c r="AI31" s="246" t="s">
        <v>73</v>
      </c>
      <c r="AJ31" s="246"/>
      <c r="AK31" s="6">
        <v>60</v>
      </c>
      <c r="AL31" s="6">
        <v>40</v>
      </c>
      <c r="AM31" s="6">
        <v>0</v>
      </c>
      <c r="AN31" s="6">
        <v>0</v>
      </c>
      <c r="AO31" s="246">
        <f t="shared" si="21"/>
        <v>3.3820000000000001</v>
      </c>
      <c r="AP31" s="6">
        <f t="shared" si="15"/>
        <v>3.2975000000000003</v>
      </c>
      <c r="AQ31" s="6">
        <v>1</v>
      </c>
      <c r="AR31" s="6">
        <v>1</v>
      </c>
      <c r="AS31" s="246"/>
      <c r="AT31" s="6">
        <f t="shared" si="6"/>
        <v>17.740981667652274</v>
      </c>
      <c r="AU31" s="6">
        <f t="shared" si="7"/>
        <v>12.130401819560271</v>
      </c>
      <c r="AV31" s="6">
        <f t="shared" si="8"/>
        <v>0</v>
      </c>
      <c r="AW31" s="247">
        <f t="shared" si="9"/>
        <v>0</v>
      </c>
    </row>
    <row r="32" spans="1:49" s="6" customFormat="1">
      <c r="A32" s="6" t="s">
        <v>1932</v>
      </c>
      <c r="B32" s="6" t="s">
        <v>1933</v>
      </c>
      <c r="D32" s="6" t="s">
        <v>642</v>
      </c>
      <c r="E32" s="6" t="s">
        <v>643</v>
      </c>
      <c r="G32" s="6" t="s">
        <v>1876</v>
      </c>
      <c r="H32" s="6" t="s">
        <v>1877</v>
      </c>
      <c r="J32" s="6">
        <v>0</v>
      </c>
      <c r="K32" s="6">
        <v>38</v>
      </c>
      <c r="Q32" s="6" t="s">
        <v>1878</v>
      </c>
      <c r="R32" s="243">
        <f t="shared" si="17"/>
        <v>49.367467624822218</v>
      </c>
      <c r="S32" s="113">
        <f t="shared" si="18"/>
        <v>50.632532375177789</v>
      </c>
      <c r="T32" s="113">
        <f t="shared" si="19"/>
        <v>0</v>
      </c>
      <c r="U32" s="113">
        <f t="shared" si="20"/>
        <v>0</v>
      </c>
      <c r="V32" s="246">
        <v>10</v>
      </c>
      <c r="W32" s="6">
        <v>90</v>
      </c>
      <c r="X32" s="246">
        <v>13</v>
      </c>
      <c r="Y32" s="6">
        <v>87</v>
      </c>
      <c r="Z32" s="6">
        <v>0</v>
      </c>
      <c r="AA32" s="246">
        <v>0</v>
      </c>
      <c r="AB32" s="6">
        <v>0</v>
      </c>
      <c r="AC32" s="6">
        <v>0</v>
      </c>
      <c r="AD32" s="246">
        <v>0</v>
      </c>
      <c r="AE32" s="6">
        <v>0</v>
      </c>
      <c r="AF32" s="247">
        <v>0</v>
      </c>
      <c r="AG32" s="6" t="s">
        <v>69</v>
      </c>
      <c r="AI32" s="246" t="s">
        <v>73</v>
      </c>
      <c r="AJ32" s="246"/>
      <c r="AK32" s="6">
        <v>50</v>
      </c>
      <c r="AL32" s="6">
        <v>50</v>
      </c>
      <c r="AM32" s="6">
        <v>0</v>
      </c>
      <c r="AN32" s="6">
        <v>0</v>
      </c>
      <c r="AO32" s="246">
        <f t="shared" si="21"/>
        <v>3.3820000000000001</v>
      </c>
      <c r="AP32" s="6">
        <f t="shared" si="15"/>
        <v>3.2975000000000003</v>
      </c>
      <c r="AQ32" s="6">
        <v>1</v>
      </c>
      <c r="AR32" s="6">
        <v>1</v>
      </c>
      <c r="AS32" s="246"/>
      <c r="AT32" s="6">
        <f t="shared" si="6"/>
        <v>14.78415138971023</v>
      </c>
      <c r="AU32" s="6">
        <f t="shared" si="7"/>
        <v>15.16300227445034</v>
      </c>
      <c r="AV32" s="6">
        <f t="shared" si="8"/>
        <v>0</v>
      </c>
      <c r="AW32" s="247">
        <f t="shared" si="9"/>
        <v>0</v>
      </c>
    </row>
    <row r="33" spans="1:49" s="6" customFormat="1">
      <c r="A33" s="6" t="s">
        <v>1934</v>
      </c>
      <c r="B33" s="6" t="s">
        <v>1935</v>
      </c>
      <c r="D33" s="6" t="s">
        <v>642</v>
      </c>
      <c r="E33" s="6" t="s">
        <v>643</v>
      </c>
      <c r="G33" s="6" t="s">
        <v>1876</v>
      </c>
      <c r="H33" s="6" t="s">
        <v>1877</v>
      </c>
      <c r="J33" s="6">
        <v>0</v>
      </c>
      <c r="K33" s="6">
        <v>38</v>
      </c>
      <c r="Q33" s="6" t="s">
        <v>1878</v>
      </c>
      <c r="R33" s="243">
        <f t="shared" si="17"/>
        <v>39.394301415686037</v>
      </c>
      <c r="S33" s="113">
        <f t="shared" si="18"/>
        <v>60.605698584313963</v>
      </c>
      <c r="T33" s="113">
        <f t="shared" si="19"/>
        <v>0</v>
      </c>
      <c r="U33" s="113">
        <f t="shared" si="20"/>
        <v>0</v>
      </c>
      <c r="V33" s="246">
        <v>10</v>
      </c>
      <c r="W33" s="6">
        <v>90</v>
      </c>
      <c r="X33" s="246">
        <v>13</v>
      </c>
      <c r="Y33" s="6">
        <v>87</v>
      </c>
      <c r="Z33" s="6">
        <v>0</v>
      </c>
      <c r="AA33" s="246">
        <v>0</v>
      </c>
      <c r="AB33" s="6">
        <v>0</v>
      </c>
      <c r="AC33" s="6">
        <v>0</v>
      </c>
      <c r="AD33" s="246">
        <v>0</v>
      </c>
      <c r="AE33" s="6">
        <v>0</v>
      </c>
      <c r="AF33" s="247">
        <v>0</v>
      </c>
      <c r="AG33" s="6" t="s">
        <v>69</v>
      </c>
      <c r="AI33" s="246" t="s">
        <v>73</v>
      </c>
      <c r="AJ33" s="246"/>
      <c r="AK33" s="6">
        <v>40</v>
      </c>
      <c r="AL33" s="6">
        <v>60</v>
      </c>
      <c r="AM33" s="6">
        <v>0</v>
      </c>
      <c r="AN33" s="6">
        <v>0</v>
      </c>
      <c r="AO33" s="246">
        <f t="shared" si="21"/>
        <v>3.3820000000000001</v>
      </c>
      <c r="AP33" s="6">
        <f t="shared" si="15"/>
        <v>3.2975000000000003</v>
      </c>
      <c r="AQ33" s="6">
        <v>1</v>
      </c>
      <c r="AR33" s="6">
        <v>1</v>
      </c>
      <c r="AS33" s="246"/>
      <c r="AT33" s="6">
        <f t="shared" si="6"/>
        <v>11.827321111768184</v>
      </c>
      <c r="AU33" s="6">
        <f t="shared" si="7"/>
        <v>18.195602729340408</v>
      </c>
      <c r="AV33" s="6">
        <f t="shared" si="8"/>
        <v>0</v>
      </c>
      <c r="AW33" s="247">
        <f t="shared" si="9"/>
        <v>0</v>
      </c>
    </row>
    <row r="34" spans="1:49" s="6" customFormat="1">
      <c r="A34" s="6" t="s">
        <v>1936</v>
      </c>
      <c r="B34" s="6" t="s">
        <v>1937</v>
      </c>
      <c r="D34" s="6" t="s">
        <v>642</v>
      </c>
      <c r="E34" s="6" t="s">
        <v>643</v>
      </c>
      <c r="G34" s="6" t="s">
        <v>1876</v>
      </c>
      <c r="H34" s="6" t="s">
        <v>1877</v>
      </c>
      <c r="J34" s="6">
        <v>0</v>
      </c>
      <c r="K34" s="6">
        <v>38</v>
      </c>
      <c r="Q34" s="6" t="s">
        <v>1878</v>
      </c>
      <c r="R34" s="243">
        <f t="shared" si="17"/>
        <v>29.471347921290576</v>
      </c>
      <c r="S34" s="113">
        <f t="shared" si="18"/>
        <v>70.528652078709428</v>
      </c>
      <c r="T34" s="113">
        <f t="shared" si="19"/>
        <v>0</v>
      </c>
      <c r="U34" s="113">
        <f t="shared" si="20"/>
        <v>0</v>
      </c>
      <c r="V34" s="246">
        <v>10</v>
      </c>
      <c r="W34" s="6">
        <v>90</v>
      </c>
      <c r="X34" s="246">
        <v>13</v>
      </c>
      <c r="Y34" s="6">
        <v>87</v>
      </c>
      <c r="Z34" s="6">
        <v>0</v>
      </c>
      <c r="AA34" s="246">
        <v>0</v>
      </c>
      <c r="AB34" s="6">
        <v>0</v>
      </c>
      <c r="AC34" s="6">
        <v>0</v>
      </c>
      <c r="AD34" s="246">
        <v>0</v>
      </c>
      <c r="AE34" s="6">
        <v>0</v>
      </c>
      <c r="AF34" s="247">
        <v>0</v>
      </c>
      <c r="AG34" s="6" t="s">
        <v>69</v>
      </c>
      <c r="AI34" s="246" t="s">
        <v>73</v>
      </c>
      <c r="AJ34" s="246"/>
      <c r="AK34" s="6">
        <v>30</v>
      </c>
      <c r="AL34" s="6">
        <v>70</v>
      </c>
      <c r="AM34" s="6">
        <v>0</v>
      </c>
      <c r="AN34" s="6">
        <v>0</v>
      </c>
      <c r="AO34" s="246">
        <f t="shared" si="21"/>
        <v>3.3820000000000001</v>
      </c>
      <c r="AP34" s="6">
        <f t="shared" si="15"/>
        <v>3.2975000000000003</v>
      </c>
      <c r="AQ34" s="6">
        <v>1</v>
      </c>
      <c r="AR34" s="6">
        <v>1</v>
      </c>
      <c r="AS34" s="246"/>
      <c r="AT34" s="6">
        <f t="shared" si="6"/>
        <v>8.8704908338261372</v>
      </c>
      <c r="AU34" s="6">
        <f t="shared" si="7"/>
        <v>21.228203184230477</v>
      </c>
      <c r="AV34" s="6">
        <f t="shared" si="8"/>
        <v>0</v>
      </c>
      <c r="AW34" s="247">
        <f t="shared" si="9"/>
        <v>0</v>
      </c>
    </row>
    <row r="35" spans="1:49" s="6" customFormat="1">
      <c r="A35" s="6" t="s">
        <v>1938</v>
      </c>
      <c r="B35" s="6" t="s">
        <v>1939</v>
      </c>
      <c r="D35" s="6" t="s">
        <v>642</v>
      </c>
      <c r="E35" s="6" t="s">
        <v>643</v>
      </c>
      <c r="G35" s="6" t="s">
        <v>1876</v>
      </c>
      <c r="H35" s="6" t="s">
        <v>1877</v>
      </c>
      <c r="J35" s="6">
        <v>0</v>
      </c>
      <c r="K35" s="6">
        <v>38</v>
      </c>
      <c r="Q35" s="6" t="s">
        <v>1878</v>
      </c>
      <c r="R35" s="243">
        <f t="shared" si="17"/>
        <v>19.598228878785179</v>
      </c>
      <c r="S35" s="113">
        <f t="shared" si="18"/>
        <v>80.401771121214821</v>
      </c>
      <c r="T35" s="113">
        <f t="shared" si="19"/>
        <v>0</v>
      </c>
      <c r="U35" s="113">
        <f t="shared" si="20"/>
        <v>0</v>
      </c>
      <c r="V35" s="246">
        <v>10</v>
      </c>
      <c r="W35" s="6">
        <v>90</v>
      </c>
      <c r="X35" s="246">
        <v>13</v>
      </c>
      <c r="Y35" s="6">
        <v>87</v>
      </c>
      <c r="Z35" s="6">
        <v>0</v>
      </c>
      <c r="AA35" s="246">
        <v>0</v>
      </c>
      <c r="AB35" s="6">
        <v>0</v>
      </c>
      <c r="AC35" s="6">
        <v>0</v>
      </c>
      <c r="AD35" s="246">
        <v>0</v>
      </c>
      <c r="AE35" s="6">
        <v>0</v>
      </c>
      <c r="AF35" s="247">
        <v>0</v>
      </c>
      <c r="AG35" s="6" t="s">
        <v>69</v>
      </c>
      <c r="AI35" s="246" t="s">
        <v>73</v>
      </c>
      <c r="AJ35" s="246"/>
      <c r="AK35" s="6">
        <v>20</v>
      </c>
      <c r="AL35" s="6">
        <v>80</v>
      </c>
      <c r="AM35" s="6">
        <v>0</v>
      </c>
      <c r="AN35" s="6">
        <v>0</v>
      </c>
      <c r="AO35" s="246">
        <f t="shared" si="21"/>
        <v>3.3820000000000001</v>
      </c>
      <c r="AP35" s="6">
        <f t="shared" si="15"/>
        <v>3.2975000000000003</v>
      </c>
      <c r="AQ35" s="6">
        <v>1</v>
      </c>
      <c r="AR35" s="6">
        <v>1</v>
      </c>
      <c r="AS35" s="246"/>
      <c r="AT35" s="6">
        <f t="shared" si="6"/>
        <v>5.9136605558840918</v>
      </c>
      <c r="AU35" s="6">
        <f t="shared" si="7"/>
        <v>24.260803639120542</v>
      </c>
      <c r="AV35" s="6">
        <f t="shared" si="8"/>
        <v>0</v>
      </c>
      <c r="AW35" s="247">
        <f t="shared" si="9"/>
        <v>0</v>
      </c>
    </row>
    <row r="36" spans="1:49" s="6" customFormat="1">
      <c r="A36" s="6" t="s">
        <v>1940</v>
      </c>
      <c r="B36" s="6" t="s">
        <v>1941</v>
      </c>
      <c r="D36" s="6" t="s">
        <v>642</v>
      </c>
      <c r="E36" s="6" t="s">
        <v>643</v>
      </c>
      <c r="G36" s="6" t="s">
        <v>1876</v>
      </c>
      <c r="H36" s="6" t="s">
        <v>1877</v>
      </c>
      <c r="J36" s="6">
        <v>0</v>
      </c>
      <c r="K36" s="6">
        <v>38</v>
      </c>
      <c r="Q36" s="6" t="s">
        <v>1878</v>
      </c>
      <c r="R36" s="243">
        <f t="shared" si="17"/>
        <v>9.7745698151798557</v>
      </c>
      <c r="S36" s="113">
        <f t="shared" si="18"/>
        <v>90.225430184820141</v>
      </c>
      <c r="T36" s="113">
        <f t="shared" si="19"/>
        <v>0</v>
      </c>
      <c r="U36" s="113">
        <f t="shared" si="20"/>
        <v>0</v>
      </c>
      <c r="V36" s="246">
        <v>10</v>
      </c>
      <c r="W36" s="6">
        <v>90</v>
      </c>
      <c r="X36" s="246">
        <v>13</v>
      </c>
      <c r="Y36" s="6">
        <v>87</v>
      </c>
      <c r="Z36" s="6">
        <v>0</v>
      </c>
      <c r="AA36" s="246">
        <v>0</v>
      </c>
      <c r="AB36" s="6">
        <v>0</v>
      </c>
      <c r="AC36" s="6">
        <v>0</v>
      </c>
      <c r="AD36" s="246">
        <v>0</v>
      </c>
      <c r="AE36" s="6">
        <v>0</v>
      </c>
      <c r="AF36" s="247">
        <v>0</v>
      </c>
      <c r="AG36" s="6" t="s">
        <v>69</v>
      </c>
      <c r="AI36" s="246" t="s">
        <v>73</v>
      </c>
      <c r="AJ36" s="246"/>
      <c r="AK36" s="6">
        <v>10</v>
      </c>
      <c r="AL36" s="6">
        <v>90</v>
      </c>
      <c r="AM36" s="6">
        <v>0</v>
      </c>
      <c r="AN36" s="6">
        <v>0</v>
      </c>
      <c r="AO36" s="246">
        <f t="shared" si="21"/>
        <v>3.3820000000000001</v>
      </c>
      <c r="AP36" s="6">
        <f t="shared" si="15"/>
        <v>3.2975000000000003</v>
      </c>
      <c r="AQ36" s="6">
        <v>1</v>
      </c>
      <c r="AR36" s="6">
        <v>1</v>
      </c>
      <c r="AS36" s="246"/>
      <c r="AT36" s="6">
        <f t="shared" si="6"/>
        <v>2.9568302779420459</v>
      </c>
      <c r="AU36" s="6">
        <f t="shared" si="7"/>
        <v>27.293404094010612</v>
      </c>
      <c r="AV36" s="6">
        <f t="shared" si="8"/>
        <v>0</v>
      </c>
      <c r="AW36" s="247">
        <f t="shared" si="9"/>
        <v>0</v>
      </c>
    </row>
    <row r="37" spans="1:49" s="6" customFormat="1">
      <c r="A37" s="6" t="s">
        <v>1942</v>
      </c>
      <c r="B37" s="6" t="s">
        <v>1925</v>
      </c>
      <c r="D37" s="6" t="s">
        <v>642</v>
      </c>
      <c r="E37" s="6" t="s">
        <v>643</v>
      </c>
      <c r="G37" s="6" t="s">
        <v>1876</v>
      </c>
      <c r="H37" s="6" t="s">
        <v>1877</v>
      </c>
      <c r="J37" s="6">
        <v>38</v>
      </c>
      <c r="K37" s="6">
        <v>53</v>
      </c>
      <c r="Q37" s="6" t="s">
        <v>1878</v>
      </c>
      <c r="R37" s="243">
        <f t="shared" si="17"/>
        <v>89.769960223233852</v>
      </c>
      <c r="S37" s="113">
        <f t="shared" si="18"/>
        <v>10.230039776766132</v>
      </c>
      <c r="T37" s="113">
        <f t="shared" si="19"/>
        <v>0</v>
      </c>
      <c r="U37" s="113">
        <f t="shared" si="20"/>
        <v>0</v>
      </c>
      <c r="V37" s="246">
        <v>10</v>
      </c>
      <c r="W37" s="6">
        <v>90</v>
      </c>
      <c r="X37" s="246">
        <v>13</v>
      </c>
      <c r="Y37" s="6">
        <v>87</v>
      </c>
      <c r="Z37" s="6">
        <v>0</v>
      </c>
      <c r="AA37" s="246">
        <v>0</v>
      </c>
      <c r="AB37" s="6">
        <v>0</v>
      </c>
      <c r="AC37" s="6">
        <v>0</v>
      </c>
      <c r="AD37" s="246">
        <v>0</v>
      </c>
      <c r="AE37" s="6">
        <v>0</v>
      </c>
      <c r="AF37" s="247">
        <v>0</v>
      </c>
      <c r="AG37" s="6" t="s">
        <v>69</v>
      </c>
      <c r="AI37" s="246" t="s">
        <v>73</v>
      </c>
      <c r="AJ37" s="246"/>
      <c r="AK37" s="6">
        <v>90</v>
      </c>
      <c r="AL37" s="6">
        <v>10</v>
      </c>
      <c r="AM37" s="6">
        <v>0</v>
      </c>
      <c r="AN37" s="6">
        <v>0</v>
      </c>
      <c r="AO37" s="246">
        <f t="shared" si="21"/>
        <v>3.3820000000000001</v>
      </c>
      <c r="AP37" s="6">
        <f t="shared" si="15"/>
        <v>3.2975000000000003</v>
      </c>
      <c r="AQ37" s="6">
        <v>1</v>
      </c>
      <c r="AR37" s="6">
        <v>1</v>
      </c>
      <c r="AS37" s="246"/>
      <c r="AT37" s="6">
        <f t="shared" si="6"/>
        <v>26.611472501478413</v>
      </c>
      <c r="AU37" s="6">
        <f t="shared" si="7"/>
        <v>3.0326004548900678</v>
      </c>
      <c r="AV37" s="6">
        <f t="shared" si="8"/>
        <v>0</v>
      </c>
      <c r="AW37" s="247">
        <f t="shared" si="9"/>
        <v>0</v>
      </c>
    </row>
    <row r="38" spans="1:49" s="6" customFormat="1">
      <c r="A38" s="6" t="s">
        <v>1943</v>
      </c>
      <c r="B38" s="6" t="s">
        <v>1927</v>
      </c>
      <c r="D38" s="6" t="s">
        <v>642</v>
      </c>
      <c r="E38" s="6" t="s">
        <v>643</v>
      </c>
      <c r="G38" s="6" t="s">
        <v>1876</v>
      </c>
      <c r="H38" s="6" t="s">
        <v>1877</v>
      </c>
      <c r="J38" s="6">
        <v>38</v>
      </c>
      <c r="K38" s="6">
        <v>53</v>
      </c>
      <c r="Q38" s="6" t="s">
        <v>1878</v>
      </c>
      <c r="R38" s="243">
        <f t="shared" si="17"/>
        <v>79.592083031619595</v>
      </c>
      <c r="S38" s="113">
        <f t="shared" si="18"/>
        <v>20.407916968380398</v>
      </c>
      <c r="T38" s="113">
        <f t="shared" si="19"/>
        <v>0</v>
      </c>
      <c r="U38" s="113">
        <f t="shared" si="20"/>
        <v>0</v>
      </c>
      <c r="V38" s="246">
        <v>10</v>
      </c>
      <c r="W38" s="6">
        <v>90</v>
      </c>
      <c r="X38" s="246">
        <v>13</v>
      </c>
      <c r="Y38" s="6">
        <v>87</v>
      </c>
      <c r="Z38" s="6">
        <v>0</v>
      </c>
      <c r="AA38" s="246">
        <v>0</v>
      </c>
      <c r="AB38" s="6">
        <v>0</v>
      </c>
      <c r="AC38" s="6">
        <v>0</v>
      </c>
      <c r="AD38" s="246">
        <v>0</v>
      </c>
      <c r="AE38" s="6">
        <v>0</v>
      </c>
      <c r="AF38" s="247">
        <v>0</v>
      </c>
      <c r="AG38" s="6" t="s">
        <v>69</v>
      </c>
      <c r="AI38" s="246" t="s">
        <v>73</v>
      </c>
      <c r="AJ38" s="246"/>
      <c r="AK38" s="6">
        <v>80</v>
      </c>
      <c r="AL38" s="6">
        <v>20</v>
      </c>
      <c r="AM38" s="6">
        <v>0</v>
      </c>
      <c r="AN38" s="6">
        <v>0</v>
      </c>
      <c r="AO38" s="246">
        <f t="shared" si="21"/>
        <v>3.3820000000000001</v>
      </c>
      <c r="AP38" s="6">
        <f t="shared" si="15"/>
        <v>3.2975000000000003</v>
      </c>
      <c r="AQ38" s="6">
        <v>1</v>
      </c>
      <c r="AR38" s="6">
        <v>1</v>
      </c>
      <c r="AS38" s="246"/>
      <c r="AT38" s="6">
        <f t="shared" si="6"/>
        <v>23.654642223536367</v>
      </c>
      <c r="AU38" s="6">
        <f t="shared" si="7"/>
        <v>6.0652009097801356</v>
      </c>
      <c r="AV38" s="6">
        <f t="shared" si="8"/>
        <v>0</v>
      </c>
      <c r="AW38" s="247">
        <f t="shared" si="9"/>
        <v>0</v>
      </c>
    </row>
    <row r="39" spans="1:49" s="6" customFormat="1">
      <c r="A39" s="6" t="s">
        <v>1944</v>
      </c>
      <c r="B39" s="6" t="s">
        <v>1929</v>
      </c>
      <c r="D39" s="6" t="s">
        <v>642</v>
      </c>
      <c r="E39" s="6" t="s">
        <v>643</v>
      </c>
      <c r="G39" s="6" t="s">
        <v>1876</v>
      </c>
      <c r="H39" s="6" t="s">
        <v>1877</v>
      </c>
      <c r="J39" s="6">
        <v>38</v>
      </c>
      <c r="K39" s="6">
        <v>53</v>
      </c>
      <c r="Q39" s="6" t="s">
        <v>1878</v>
      </c>
      <c r="R39" s="243">
        <f t="shared" si="17"/>
        <v>69.465970477150634</v>
      </c>
      <c r="S39" s="113">
        <f t="shared" si="18"/>
        <v>30.534029522849359</v>
      </c>
      <c r="T39" s="113">
        <f t="shared" si="19"/>
        <v>0</v>
      </c>
      <c r="U39" s="113">
        <f t="shared" si="20"/>
        <v>0</v>
      </c>
      <c r="V39" s="246">
        <v>10</v>
      </c>
      <c r="W39" s="6">
        <v>90</v>
      </c>
      <c r="X39" s="246">
        <v>13</v>
      </c>
      <c r="Y39" s="6">
        <v>87</v>
      </c>
      <c r="Z39" s="6">
        <v>0</v>
      </c>
      <c r="AA39" s="246">
        <v>0</v>
      </c>
      <c r="AB39" s="6">
        <v>0</v>
      </c>
      <c r="AC39" s="6">
        <v>0</v>
      </c>
      <c r="AD39" s="246">
        <v>0</v>
      </c>
      <c r="AE39" s="6">
        <v>0</v>
      </c>
      <c r="AF39" s="247">
        <v>0</v>
      </c>
      <c r="AG39" s="6" t="s">
        <v>69</v>
      </c>
      <c r="AI39" s="246" t="s">
        <v>73</v>
      </c>
      <c r="AJ39" s="246"/>
      <c r="AK39" s="6">
        <v>70</v>
      </c>
      <c r="AL39" s="6">
        <v>30</v>
      </c>
      <c r="AM39" s="6">
        <v>0</v>
      </c>
      <c r="AN39" s="6">
        <v>0</v>
      </c>
      <c r="AO39" s="246">
        <f t="shared" si="21"/>
        <v>3.3820000000000001</v>
      </c>
      <c r="AP39" s="6">
        <f t="shared" si="15"/>
        <v>3.2975000000000003</v>
      </c>
      <c r="AQ39" s="6">
        <v>1</v>
      </c>
      <c r="AR39" s="6">
        <v>1</v>
      </c>
      <c r="AS39" s="246"/>
      <c r="AT39" s="6">
        <f t="shared" si="6"/>
        <v>20.697811945594321</v>
      </c>
      <c r="AU39" s="6">
        <f t="shared" si="7"/>
        <v>9.0978013646702038</v>
      </c>
      <c r="AV39" s="6">
        <f t="shared" si="8"/>
        <v>0</v>
      </c>
      <c r="AW39" s="247">
        <f t="shared" si="9"/>
        <v>0</v>
      </c>
    </row>
    <row r="40" spans="1:49" s="6" customFormat="1">
      <c r="A40" s="6" t="s">
        <v>1945</v>
      </c>
      <c r="B40" s="6" t="s">
        <v>1931</v>
      </c>
      <c r="D40" s="6" t="s">
        <v>642</v>
      </c>
      <c r="E40" s="6" t="s">
        <v>643</v>
      </c>
      <c r="G40" s="6" t="s">
        <v>1876</v>
      </c>
      <c r="H40" s="6" t="s">
        <v>1877</v>
      </c>
      <c r="J40" s="6">
        <v>38</v>
      </c>
      <c r="K40" s="6">
        <v>53</v>
      </c>
      <c r="Q40" s="6" t="s">
        <v>1878</v>
      </c>
      <c r="R40" s="243">
        <f t="shared" si="17"/>
        <v>59.391228649476183</v>
      </c>
      <c r="S40" s="113">
        <f t="shared" si="18"/>
        <v>40.608771350523817</v>
      </c>
      <c r="T40" s="113">
        <f t="shared" si="19"/>
        <v>0</v>
      </c>
      <c r="U40" s="113">
        <f t="shared" si="20"/>
        <v>0</v>
      </c>
      <c r="V40" s="246">
        <v>10</v>
      </c>
      <c r="W40" s="6">
        <v>90</v>
      </c>
      <c r="X40" s="246">
        <v>13</v>
      </c>
      <c r="Y40" s="6">
        <v>87</v>
      </c>
      <c r="Z40" s="6">
        <v>0</v>
      </c>
      <c r="AA40" s="246">
        <v>0</v>
      </c>
      <c r="AB40" s="6">
        <v>0</v>
      </c>
      <c r="AC40" s="6">
        <v>0</v>
      </c>
      <c r="AD40" s="246">
        <v>0</v>
      </c>
      <c r="AE40" s="6">
        <v>0</v>
      </c>
      <c r="AF40" s="247">
        <v>0</v>
      </c>
      <c r="AG40" s="6" t="s">
        <v>69</v>
      </c>
      <c r="AI40" s="246" t="s">
        <v>73</v>
      </c>
      <c r="AJ40" s="246"/>
      <c r="AK40" s="6">
        <v>60</v>
      </c>
      <c r="AL40" s="6">
        <v>40</v>
      </c>
      <c r="AM40" s="6">
        <v>0</v>
      </c>
      <c r="AN40" s="6">
        <v>0</v>
      </c>
      <c r="AO40" s="246">
        <f t="shared" si="21"/>
        <v>3.3820000000000001</v>
      </c>
      <c r="AP40" s="6">
        <f t="shared" si="15"/>
        <v>3.2975000000000003</v>
      </c>
      <c r="AQ40" s="6">
        <v>1</v>
      </c>
      <c r="AR40" s="6">
        <v>1</v>
      </c>
      <c r="AS40" s="246"/>
      <c r="AT40" s="6">
        <f t="shared" si="6"/>
        <v>17.740981667652274</v>
      </c>
      <c r="AU40" s="6">
        <f t="shared" si="7"/>
        <v>12.130401819560271</v>
      </c>
      <c r="AV40" s="6">
        <f t="shared" si="8"/>
        <v>0</v>
      </c>
      <c r="AW40" s="247">
        <f t="shared" si="9"/>
        <v>0</v>
      </c>
    </row>
    <row r="41" spans="1:49" s="6" customFormat="1">
      <c r="A41" s="6" t="s">
        <v>1946</v>
      </c>
      <c r="B41" s="6" t="s">
        <v>1933</v>
      </c>
      <c r="D41" s="6" t="s">
        <v>642</v>
      </c>
      <c r="E41" s="6" t="s">
        <v>643</v>
      </c>
      <c r="G41" s="6" t="s">
        <v>1876</v>
      </c>
      <c r="H41" s="6" t="s">
        <v>1877</v>
      </c>
      <c r="J41" s="6">
        <v>38</v>
      </c>
      <c r="K41" s="6">
        <v>53</v>
      </c>
      <c r="Q41" s="6" t="s">
        <v>1878</v>
      </c>
      <c r="R41" s="243">
        <f t="shared" si="17"/>
        <v>49.367467624822218</v>
      </c>
      <c r="S41" s="113">
        <f t="shared" si="18"/>
        <v>50.632532375177789</v>
      </c>
      <c r="T41" s="113">
        <f t="shared" si="19"/>
        <v>0</v>
      </c>
      <c r="U41" s="113">
        <f t="shared" si="20"/>
        <v>0</v>
      </c>
      <c r="V41" s="246">
        <v>10</v>
      </c>
      <c r="W41" s="6">
        <v>90</v>
      </c>
      <c r="X41" s="246">
        <v>13</v>
      </c>
      <c r="Y41" s="6">
        <v>87</v>
      </c>
      <c r="Z41" s="6">
        <v>0</v>
      </c>
      <c r="AA41" s="246">
        <v>0</v>
      </c>
      <c r="AB41" s="6">
        <v>0</v>
      </c>
      <c r="AC41" s="6">
        <v>0</v>
      </c>
      <c r="AD41" s="246">
        <v>0</v>
      </c>
      <c r="AE41" s="6">
        <v>0</v>
      </c>
      <c r="AF41" s="247">
        <v>0</v>
      </c>
      <c r="AG41" s="6" t="s">
        <v>69</v>
      </c>
      <c r="AI41" s="246" t="s">
        <v>73</v>
      </c>
      <c r="AJ41" s="246"/>
      <c r="AK41" s="6">
        <v>50</v>
      </c>
      <c r="AL41" s="6">
        <v>50</v>
      </c>
      <c r="AM41" s="6">
        <v>0</v>
      </c>
      <c r="AN41" s="6">
        <v>0</v>
      </c>
      <c r="AO41" s="246">
        <f t="shared" si="21"/>
        <v>3.3820000000000001</v>
      </c>
      <c r="AP41" s="6">
        <f t="shared" si="15"/>
        <v>3.2975000000000003</v>
      </c>
      <c r="AQ41" s="6">
        <v>1</v>
      </c>
      <c r="AR41" s="6">
        <v>1</v>
      </c>
      <c r="AS41" s="246"/>
      <c r="AT41" s="6">
        <f t="shared" si="6"/>
        <v>14.78415138971023</v>
      </c>
      <c r="AU41" s="6">
        <f t="shared" si="7"/>
        <v>15.16300227445034</v>
      </c>
      <c r="AV41" s="6">
        <f t="shared" si="8"/>
        <v>0</v>
      </c>
      <c r="AW41" s="247">
        <f t="shared" si="9"/>
        <v>0</v>
      </c>
    </row>
    <row r="42" spans="1:49" s="6" customFormat="1">
      <c r="A42" s="6" t="s">
        <v>1947</v>
      </c>
      <c r="B42" s="6" t="s">
        <v>1935</v>
      </c>
      <c r="D42" s="6" t="s">
        <v>642</v>
      </c>
      <c r="E42" s="6" t="s">
        <v>643</v>
      </c>
      <c r="G42" s="6" t="s">
        <v>1876</v>
      </c>
      <c r="H42" s="6" t="s">
        <v>1877</v>
      </c>
      <c r="J42" s="6">
        <v>38</v>
      </c>
      <c r="K42" s="6">
        <v>53</v>
      </c>
      <c r="Q42" s="6" t="s">
        <v>1878</v>
      </c>
      <c r="R42" s="243">
        <f t="shared" si="17"/>
        <v>39.394301415686037</v>
      </c>
      <c r="S42" s="113">
        <f t="shared" si="18"/>
        <v>60.605698584313963</v>
      </c>
      <c r="T42" s="113">
        <f t="shared" si="19"/>
        <v>0</v>
      </c>
      <c r="U42" s="113">
        <f t="shared" si="20"/>
        <v>0</v>
      </c>
      <c r="V42" s="246">
        <v>10</v>
      </c>
      <c r="W42" s="6">
        <v>90</v>
      </c>
      <c r="X42" s="246">
        <v>13</v>
      </c>
      <c r="Y42" s="6">
        <v>87</v>
      </c>
      <c r="Z42" s="6">
        <v>0</v>
      </c>
      <c r="AA42" s="246">
        <v>0</v>
      </c>
      <c r="AB42" s="6">
        <v>0</v>
      </c>
      <c r="AC42" s="6">
        <v>0</v>
      </c>
      <c r="AD42" s="246">
        <v>0</v>
      </c>
      <c r="AE42" s="6">
        <v>0</v>
      </c>
      <c r="AF42" s="247">
        <v>0</v>
      </c>
      <c r="AG42" s="6" t="s">
        <v>69</v>
      </c>
      <c r="AI42" s="246" t="s">
        <v>73</v>
      </c>
      <c r="AJ42" s="246"/>
      <c r="AK42" s="6">
        <v>40</v>
      </c>
      <c r="AL42" s="6">
        <v>60</v>
      </c>
      <c r="AM42" s="6">
        <v>0</v>
      </c>
      <c r="AN42" s="6">
        <v>0</v>
      </c>
      <c r="AO42" s="246">
        <f t="shared" si="21"/>
        <v>3.3820000000000001</v>
      </c>
      <c r="AP42" s="6">
        <f t="shared" si="15"/>
        <v>3.2975000000000003</v>
      </c>
      <c r="AQ42" s="6">
        <v>1</v>
      </c>
      <c r="AR42" s="6">
        <v>1</v>
      </c>
      <c r="AS42" s="246"/>
      <c r="AT42" s="6">
        <f t="shared" si="6"/>
        <v>11.827321111768184</v>
      </c>
      <c r="AU42" s="6">
        <f t="shared" si="7"/>
        <v>18.195602729340408</v>
      </c>
      <c r="AV42" s="6">
        <f t="shared" si="8"/>
        <v>0</v>
      </c>
      <c r="AW42" s="247">
        <f t="shared" si="9"/>
        <v>0</v>
      </c>
    </row>
    <row r="43" spans="1:49" s="6" customFormat="1">
      <c r="A43" s="6" t="s">
        <v>1948</v>
      </c>
      <c r="B43" s="6" t="s">
        <v>1937</v>
      </c>
      <c r="D43" s="6" t="s">
        <v>642</v>
      </c>
      <c r="E43" s="6" t="s">
        <v>643</v>
      </c>
      <c r="G43" s="6" t="s">
        <v>1876</v>
      </c>
      <c r="H43" s="6" t="s">
        <v>1877</v>
      </c>
      <c r="J43" s="6">
        <v>38</v>
      </c>
      <c r="K43" s="6">
        <v>53</v>
      </c>
      <c r="Q43" s="6" t="s">
        <v>1878</v>
      </c>
      <c r="R43" s="243">
        <f t="shared" si="17"/>
        <v>29.471347921290576</v>
      </c>
      <c r="S43" s="113">
        <f t="shared" si="18"/>
        <v>70.528652078709428</v>
      </c>
      <c r="T43" s="113">
        <f t="shared" si="19"/>
        <v>0</v>
      </c>
      <c r="U43" s="113">
        <f t="shared" si="20"/>
        <v>0</v>
      </c>
      <c r="V43" s="246">
        <v>10</v>
      </c>
      <c r="W43" s="6">
        <v>90</v>
      </c>
      <c r="X43" s="246">
        <v>13</v>
      </c>
      <c r="Y43" s="6">
        <v>87</v>
      </c>
      <c r="Z43" s="6">
        <v>0</v>
      </c>
      <c r="AA43" s="246">
        <v>0</v>
      </c>
      <c r="AB43" s="6">
        <v>0</v>
      </c>
      <c r="AC43" s="6">
        <v>0</v>
      </c>
      <c r="AD43" s="246">
        <v>0</v>
      </c>
      <c r="AE43" s="6">
        <v>0</v>
      </c>
      <c r="AF43" s="247">
        <v>0</v>
      </c>
      <c r="AG43" s="6" t="s">
        <v>69</v>
      </c>
      <c r="AI43" s="246" t="s">
        <v>73</v>
      </c>
      <c r="AJ43" s="246"/>
      <c r="AK43" s="6">
        <v>30</v>
      </c>
      <c r="AL43" s="6">
        <v>70</v>
      </c>
      <c r="AM43" s="6">
        <v>0</v>
      </c>
      <c r="AN43" s="6">
        <v>0</v>
      </c>
      <c r="AO43" s="246">
        <f t="shared" si="21"/>
        <v>3.3820000000000001</v>
      </c>
      <c r="AP43" s="6">
        <f t="shared" si="15"/>
        <v>3.2975000000000003</v>
      </c>
      <c r="AQ43" s="6">
        <v>1</v>
      </c>
      <c r="AR43" s="6">
        <v>1</v>
      </c>
      <c r="AS43" s="246"/>
      <c r="AT43" s="6">
        <f t="shared" si="6"/>
        <v>8.8704908338261372</v>
      </c>
      <c r="AU43" s="6">
        <f t="shared" si="7"/>
        <v>21.228203184230477</v>
      </c>
      <c r="AV43" s="6">
        <f t="shared" si="8"/>
        <v>0</v>
      </c>
      <c r="AW43" s="247">
        <f t="shared" si="9"/>
        <v>0</v>
      </c>
    </row>
    <row r="44" spans="1:49" s="6" customFormat="1">
      <c r="A44" s="6" t="s">
        <v>1949</v>
      </c>
      <c r="B44" s="6" t="s">
        <v>1939</v>
      </c>
      <c r="D44" s="6" t="s">
        <v>642</v>
      </c>
      <c r="E44" s="6" t="s">
        <v>643</v>
      </c>
      <c r="G44" s="6" t="s">
        <v>1876</v>
      </c>
      <c r="H44" s="6" t="s">
        <v>1877</v>
      </c>
      <c r="J44" s="6">
        <v>38</v>
      </c>
      <c r="K44" s="6">
        <v>53</v>
      </c>
      <c r="Q44" s="6" t="s">
        <v>1878</v>
      </c>
      <c r="R44" s="243">
        <f t="shared" si="17"/>
        <v>19.598228878785179</v>
      </c>
      <c r="S44" s="113">
        <f t="shared" si="18"/>
        <v>80.401771121214821</v>
      </c>
      <c r="T44" s="113">
        <f t="shared" si="19"/>
        <v>0</v>
      </c>
      <c r="U44" s="113">
        <f t="shared" si="20"/>
        <v>0</v>
      </c>
      <c r="V44" s="246">
        <v>10</v>
      </c>
      <c r="W44" s="6">
        <v>90</v>
      </c>
      <c r="X44" s="246">
        <v>13</v>
      </c>
      <c r="Y44" s="6">
        <v>87</v>
      </c>
      <c r="Z44" s="6">
        <v>0</v>
      </c>
      <c r="AA44" s="246">
        <v>0</v>
      </c>
      <c r="AB44" s="6">
        <v>0</v>
      </c>
      <c r="AC44" s="6">
        <v>0</v>
      </c>
      <c r="AD44" s="246">
        <v>0</v>
      </c>
      <c r="AE44" s="6">
        <v>0</v>
      </c>
      <c r="AF44" s="247">
        <v>0</v>
      </c>
      <c r="AG44" s="6" t="s">
        <v>69</v>
      </c>
      <c r="AI44" s="246" t="s">
        <v>73</v>
      </c>
      <c r="AJ44" s="246"/>
      <c r="AK44" s="6">
        <v>20</v>
      </c>
      <c r="AL44" s="6">
        <v>80</v>
      </c>
      <c r="AM44" s="6">
        <v>0</v>
      </c>
      <c r="AN44" s="6">
        <v>0</v>
      </c>
      <c r="AO44" s="246">
        <f t="shared" si="21"/>
        <v>3.3820000000000001</v>
      </c>
      <c r="AP44" s="6">
        <f t="shared" si="15"/>
        <v>3.2975000000000003</v>
      </c>
      <c r="AQ44" s="6">
        <v>1</v>
      </c>
      <c r="AR44" s="6">
        <v>1</v>
      </c>
      <c r="AS44" s="246"/>
      <c r="AT44" s="6">
        <f t="shared" si="6"/>
        <v>5.9136605558840918</v>
      </c>
      <c r="AU44" s="6">
        <f t="shared" si="7"/>
        <v>24.260803639120542</v>
      </c>
      <c r="AV44" s="6">
        <f t="shared" si="8"/>
        <v>0</v>
      </c>
      <c r="AW44" s="247">
        <f t="shared" si="9"/>
        <v>0</v>
      </c>
    </row>
    <row r="45" spans="1:49" s="6" customFormat="1">
      <c r="A45" s="6" t="s">
        <v>1950</v>
      </c>
      <c r="B45" s="6" t="s">
        <v>1941</v>
      </c>
      <c r="D45" s="6" t="s">
        <v>642</v>
      </c>
      <c r="E45" s="6" t="s">
        <v>643</v>
      </c>
      <c r="G45" s="6" t="s">
        <v>1876</v>
      </c>
      <c r="H45" s="6" t="s">
        <v>1877</v>
      </c>
      <c r="J45" s="6">
        <v>38</v>
      </c>
      <c r="K45" s="6">
        <v>53</v>
      </c>
      <c r="Q45" s="6" t="s">
        <v>1878</v>
      </c>
      <c r="R45" s="243">
        <f t="shared" si="17"/>
        <v>9.7745698151798557</v>
      </c>
      <c r="S45" s="113">
        <f t="shared" si="18"/>
        <v>90.225430184820141</v>
      </c>
      <c r="T45" s="113">
        <f t="shared" si="19"/>
        <v>0</v>
      </c>
      <c r="U45" s="113">
        <f t="shared" si="20"/>
        <v>0</v>
      </c>
      <c r="V45" s="246">
        <v>10</v>
      </c>
      <c r="W45" s="6">
        <v>90</v>
      </c>
      <c r="X45" s="246">
        <v>13</v>
      </c>
      <c r="Y45" s="6">
        <v>87</v>
      </c>
      <c r="Z45" s="6">
        <v>0</v>
      </c>
      <c r="AA45" s="246">
        <v>0</v>
      </c>
      <c r="AB45" s="6">
        <v>0</v>
      </c>
      <c r="AC45" s="6">
        <v>0</v>
      </c>
      <c r="AD45" s="246">
        <v>0</v>
      </c>
      <c r="AE45" s="6">
        <v>0</v>
      </c>
      <c r="AF45" s="247">
        <v>0</v>
      </c>
      <c r="AG45" s="6" t="s">
        <v>69</v>
      </c>
      <c r="AI45" s="246" t="s">
        <v>73</v>
      </c>
      <c r="AJ45" s="246"/>
      <c r="AK45" s="6">
        <v>10</v>
      </c>
      <c r="AL45" s="6">
        <v>90</v>
      </c>
      <c r="AM45" s="6">
        <v>0</v>
      </c>
      <c r="AN45" s="6">
        <v>0</v>
      </c>
      <c r="AO45" s="246">
        <f t="shared" si="21"/>
        <v>3.3820000000000001</v>
      </c>
      <c r="AP45" s="6">
        <f t="shared" si="15"/>
        <v>3.2975000000000003</v>
      </c>
      <c r="AQ45" s="6">
        <v>1</v>
      </c>
      <c r="AR45" s="6">
        <v>1</v>
      </c>
      <c r="AS45" s="246"/>
      <c r="AT45" s="6">
        <f t="shared" si="6"/>
        <v>2.9568302779420459</v>
      </c>
      <c r="AU45" s="6">
        <f t="shared" si="7"/>
        <v>27.293404094010612</v>
      </c>
      <c r="AV45" s="6">
        <f t="shared" si="8"/>
        <v>0</v>
      </c>
      <c r="AW45" s="247">
        <f t="shared" si="9"/>
        <v>0</v>
      </c>
    </row>
    <row r="46" spans="1:49" s="6" customFormat="1">
      <c r="A46" s="6" t="s">
        <v>1951</v>
      </c>
      <c r="B46" s="6" t="s">
        <v>1925</v>
      </c>
      <c r="D46" s="6" t="s">
        <v>642</v>
      </c>
      <c r="E46" s="6" t="s">
        <v>643</v>
      </c>
      <c r="G46" s="6" t="s">
        <v>1876</v>
      </c>
      <c r="H46" s="6" t="s">
        <v>1877</v>
      </c>
      <c r="J46" s="6">
        <v>90</v>
      </c>
      <c r="K46" s="6">
        <v>125</v>
      </c>
      <c r="Q46" s="6" t="s">
        <v>1878</v>
      </c>
      <c r="R46" s="243">
        <f t="shared" si="17"/>
        <v>89.769960223233852</v>
      </c>
      <c r="S46" s="113">
        <f t="shared" si="18"/>
        <v>10.230039776766132</v>
      </c>
      <c r="T46" s="113">
        <f t="shared" si="19"/>
        <v>0</v>
      </c>
      <c r="U46" s="113">
        <f t="shared" si="20"/>
        <v>0</v>
      </c>
      <c r="V46" s="246">
        <v>10</v>
      </c>
      <c r="W46" s="6">
        <v>90</v>
      </c>
      <c r="X46" s="246">
        <v>13</v>
      </c>
      <c r="Y46" s="6">
        <v>87</v>
      </c>
      <c r="Z46" s="6">
        <v>0</v>
      </c>
      <c r="AA46" s="246">
        <v>0</v>
      </c>
      <c r="AB46" s="6">
        <v>0</v>
      </c>
      <c r="AC46" s="6">
        <v>0</v>
      </c>
      <c r="AD46" s="246">
        <v>0</v>
      </c>
      <c r="AE46" s="6">
        <v>0</v>
      </c>
      <c r="AF46" s="247">
        <v>0</v>
      </c>
      <c r="AG46" s="6" t="s">
        <v>69</v>
      </c>
      <c r="AI46" s="246" t="s">
        <v>73</v>
      </c>
      <c r="AJ46" s="246"/>
      <c r="AK46" s="6">
        <v>90</v>
      </c>
      <c r="AL46" s="6">
        <v>10</v>
      </c>
      <c r="AM46" s="6">
        <v>0</v>
      </c>
      <c r="AN46" s="6">
        <v>0</v>
      </c>
      <c r="AO46" s="246">
        <f t="shared" si="21"/>
        <v>3.3820000000000001</v>
      </c>
      <c r="AP46" s="6">
        <f t="shared" si="15"/>
        <v>3.2975000000000003</v>
      </c>
      <c r="AQ46" s="6">
        <v>1</v>
      </c>
      <c r="AR46" s="6">
        <v>1</v>
      </c>
      <c r="AS46" s="246"/>
      <c r="AT46" s="6">
        <f t="shared" si="6"/>
        <v>26.611472501478413</v>
      </c>
      <c r="AU46" s="6">
        <f t="shared" si="7"/>
        <v>3.0326004548900678</v>
      </c>
      <c r="AV46" s="6">
        <f t="shared" si="8"/>
        <v>0</v>
      </c>
      <c r="AW46" s="247">
        <f t="shared" si="9"/>
        <v>0</v>
      </c>
    </row>
    <row r="47" spans="1:49" s="6" customFormat="1">
      <c r="A47" s="6" t="s">
        <v>1952</v>
      </c>
      <c r="B47" s="6" t="s">
        <v>1927</v>
      </c>
      <c r="D47" s="6" t="s">
        <v>642</v>
      </c>
      <c r="E47" s="6" t="s">
        <v>643</v>
      </c>
      <c r="G47" s="6" t="s">
        <v>1876</v>
      </c>
      <c r="H47" s="6" t="s">
        <v>1877</v>
      </c>
      <c r="J47" s="6">
        <v>90</v>
      </c>
      <c r="K47" s="6">
        <v>125</v>
      </c>
      <c r="Q47" s="6" t="s">
        <v>1878</v>
      </c>
      <c r="R47" s="243">
        <f t="shared" ref="R47:R70" si="22">AT47/SUMIF($AT47:$AW47, "&lt;&gt;#VALUE!")*100</f>
        <v>79.592083031619595</v>
      </c>
      <c r="S47" s="113">
        <f t="shared" ref="S47:S70" si="23">AU47/SUMIF($AT47:$AW47, "&lt;&gt;#VALUE!")*100</f>
        <v>20.407916968380398</v>
      </c>
      <c r="T47" s="113">
        <f t="shared" ref="T47:T70" si="24">AV47/SUMIF($AT47:$AW47, "&lt;&gt;#VALUE!")*100</f>
        <v>0</v>
      </c>
      <c r="U47" s="113">
        <f t="shared" ref="U47:U70" si="25">AW47/SUMIF($AT47:$AW47, "&lt;&gt;#VALUE!")*100</f>
        <v>0</v>
      </c>
      <c r="V47" s="246">
        <v>10</v>
      </c>
      <c r="W47" s="6">
        <v>90</v>
      </c>
      <c r="X47" s="246">
        <v>13</v>
      </c>
      <c r="Y47" s="6">
        <v>87</v>
      </c>
      <c r="Z47" s="6">
        <v>0</v>
      </c>
      <c r="AA47" s="246">
        <v>0</v>
      </c>
      <c r="AB47" s="6">
        <v>0</v>
      </c>
      <c r="AC47" s="6">
        <v>0</v>
      </c>
      <c r="AD47" s="246">
        <v>0</v>
      </c>
      <c r="AE47" s="6">
        <v>0</v>
      </c>
      <c r="AF47" s="247">
        <v>0</v>
      </c>
      <c r="AG47" s="6" t="s">
        <v>69</v>
      </c>
      <c r="AI47" s="246" t="s">
        <v>73</v>
      </c>
      <c r="AJ47" s="246"/>
      <c r="AK47" s="6">
        <v>80</v>
      </c>
      <c r="AL47" s="6">
        <v>20</v>
      </c>
      <c r="AM47" s="6">
        <v>0</v>
      </c>
      <c r="AN47" s="6">
        <v>0</v>
      </c>
      <c r="AO47" s="246">
        <f t="shared" si="21"/>
        <v>3.3820000000000001</v>
      </c>
      <c r="AP47" s="6">
        <f t="shared" si="15"/>
        <v>3.2975000000000003</v>
      </c>
      <c r="AQ47" s="6">
        <v>1</v>
      </c>
      <c r="AR47" s="6">
        <v>1</v>
      </c>
      <c r="AS47" s="246"/>
      <c r="AT47" s="6">
        <f t="shared" si="6"/>
        <v>23.654642223536367</v>
      </c>
      <c r="AU47" s="6">
        <f t="shared" si="7"/>
        <v>6.0652009097801356</v>
      </c>
      <c r="AV47" s="6">
        <f t="shared" si="8"/>
        <v>0</v>
      </c>
      <c r="AW47" s="247">
        <f t="shared" si="9"/>
        <v>0</v>
      </c>
    </row>
    <row r="48" spans="1:49" s="6" customFormat="1">
      <c r="A48" s="6" t="s">
        <v>1953</v>
      </c>
      <c r="B48" s="6" t="s">
        <v>1929</v>
      </c>
      <c r="D48" s="6" t="s">
        <v>642</v>
      </c>
      <c r="E48" s="6" t="s">
        <v>643</v>
      </c>
      <c r="G48" s="6" t="s">
        <v>1876</v>
      </c>
      <c r="H48" s="6" t="s">
        <v>1877</v>
      </c>
      <c r="J48" s="6">
        <v>90</v>
      </c>
      <c r="K48" s="6">
        <v>125</v>
      </c>
      <c r="Q48" s="6" t="s">
        <v>1878</v>
      </c>
      <c r="R48" s="243">
        <f t="shared" si="22"/>
        <v>69.465970477150634</v>
      </c>
      <c r="S48" s="113">
        <f t="shared" si="23"/>
        <v>30.534029522849359</v>
      </c>
      <c r="T48" s="113">
        <f t="shared" si="24"/>
        <v>0</v>
      </c>
      <c r="U48" s="113">
        <f t="shared" si="25"/>
        <v>0</v>
      </c>
      <c r="V48" s="246">
        <v>10</v>
      </c>
      <c r="W48" s="6">
        <v>90</v>
      </c>
      <c r="X48" s="246">
        <v>13</v>
      </c>
      <c r="Y48" s="6">
        <v>87</v>
      </c>
      <c r="Z48" s="6">
        <v>0</v>
      </c>
      <c r="AA48" s="246">
        <v>0</v>
      </c>
      <c r="AB48" s="6">
        <v>0</v>
      </c>
      <c r="AC48" s="6">
        <v>0</v>
      </c>
      <c r="AD48" s="246">
        <v>0</v>
      </c>
      <c r="AE48" s="6">
        <v>0</v>
      </c>
      <c r="AF48" s="247">
        <v>0</v>
      </c>
      <c r="AG48" s="6" t="s">
        <v>69</v>
      </c>
      <c r="AI48" s="246" t="s">
        <v>73</v>
      </c>
      <c r="AJ48" s="246"/>
      <c r="AK48" s="6">
        <v>70</v>
      </c>
      <c r="AL48" s="6">
        <v>30</v>
      </c>
      <c r="AM48" s="6">
        <v>0</v>
      </c>
      <c r="AN48" s="6">
        <v>0</v>
      </c>
      <c r="AO48" s="246">
        <f t="shared" si="21"/>
        <v>3.3820000000000001</v>
      </c>
      <c r="AP48" s="6">
        <f t="shared" si="15"/>
        <v>3.2975000000000003</v>
      </c>
      <c r="AQ48" s="6">
        <v>1</v>
      </c>
      <c r="AR48" s="6">
        <v>1</v>
      </c>
      <c r="AS48" s="246"/>
      <c r="AT48" s="6">
        <f t="shared" si="6"/>
        <v>20.697811945594321</v>
      </c>
      <c r="AU48" s="6">
        <f t="shared" si="7"/>
        <v>9.0978013646702038</v>
      </c>
      <c r="AV48" s="6">
        <f t="shared" si="8"/>
        <v>0</v>
      </c>
      <c r="AW48" s="247">
        <f t="shared" si="9"/>
        <v>0</v>
      </c>
    </row>
    <row r="49" spans="1:49" s="6" customFormat="1">
      <c r="A49" s="6" t="s">
        <v>1954</v>
      </c>
      <c r="B49" s="6" t="s">
        <v>1931</v>
      </c>
      <c r="D49" s="6" t="s">
        <v>642</v>
      </c>
      <c r="E49" s="6" t="s">
        <v>643</v>
      </c>
      <c r="G49" s="6" t="s">
        <v>1876</v>
      </c>
      <c r="H49" s="6" t="s">
        <v>1877</v>
      </c>
      <c r="J49" s="6">
        <v>90</v>
      </c>
      <c r="K49" s="6">
        <v>125</v>
      </c>
      <c r="Q49" s="6" t="s">
        <v>1878</v>
      </c>
      <c r="R49" s="243">
        <f t="shared" si="22"/>
        <v>59.391228649476183</v>
      </c>
      <c r="S49" s="113">
        <f t="shared" si="23"/>
        <v>40.608771350523817</v>
      </c>
      <c r="T49" s="113">
        <f t="shared" si="24"/>
        <v>0</v>
      </c>
      <c r="U49" s="113">
        <f t="shared" si="25"/>
        <v>0</v>
      </c>
      <c r="V49" s="246">
        <v>10</v>
      </c>
      <c r="W49" s="6">
        <v>90</v>
      </c>
      <c r="X49" s="246">
        <v>13</v>
      </c>
      <c r="Y49" s="6">
        <v>87</v>
      </c>
      <c r="Z49" s="6">
        <v>0</v>
      </c>
      <c r="AA49" s="246">
        <v>0</v>
      </c>
      <c r="AB49" s="6">
        <v>0</v>
      </c>
      <c r="AC49" s="6">
        <v>0</v>
      </c>
      <c r="AD49" s="246">
        <v>0</v>
      </c>
      <c r="AE49" s="6">
        <v>0</v>
      </c>
      <c r="AF49" s="247">
        <v>0</v>
      </c>
      <c r="AG49" s="6" t="s">
        <v>69</v>
      </c>
      <c r="AI49" s="246" t="s">
        <v>73</v>
      </c>
      <c r="AJ49" s="246"/>
      <c r="AK49" s="6">
        <v>60</v>
      </c>
      <c r="AL49" s="6">
        <v>40</v>
      </c>
      <c r="AM49" s="6">
        <v>0</v>
      </c>
      <c r="AN49" s="6">
        <v>0</v>
      </c>
      <c r="AO49" s="246">
        <f t="shared" si="21"/>
        <v>3.3820000000000001</v>
      </c>
      <c r="AP49" s="6">
        <f t="shared" si="15"/>
        <v>3.2975000000000003</v>
      </c>
      <c r="AQ49" s="6">
        <v>1</v>
      </c>
      <c r="AR49" s="6">
        <v>1</v>
      </c>
      <c r="AS49" s="246"/>
      <c r="AT49" s="6">
        <f t="shared" si="6"/>
        <v>17.740981667652274</v>
      </c>
      <c r="AU49" s="6">
        <f t="shared" si="7"/>
        <v>12.130401819560271</v>
      </c>
      <c r="AV49" s="6">
        <f t="shared" si="8"/>
        <v>0</v>
      </c>
      <c r="AW49" s="247">
        <f t="shared" si="9"/>
        <v>0</v>
      </c>
    </row>
    <row r="50" spans="1:49" s="6" customFormat="1">
      <c r="A50" s="6" t="s">
        <v>1955</v>
      </c>
      <c r="B50" s="6" t="s">
        <v>1933</v>
      </c>
      <c r="D50" s="6" t="s">
        <v>642</v>
      </c>
      <c r="E50" s="6" t="s">
        <v>643</v>
      </c>
      <c r="G50" s="6" t="s">
        <v>1876</v>
      </c>
      <c r="H50" s="6" t="s">
        <v>1877</v>
      </c>
      <c r="J50" s="6">
        <v>90</v>
      </c>
      <c r="K50" s="6">
        <v>125</v>
      </c>
      <c r="Q50" s="6" t="s">
        <v>1878</v>
      </c>
      <c r="R50" s="243">
        <f t="shared" si="22"/>
        <v>49.367467624822218</v>
      </c>
      <c r="S50" s="113">
        <f t="shared" si="23"/>
        <v>50.632532375177789</v>
      </c>
      <c r="T50" s="113">
        <f t="shared" si="24"/>
        <v>0</v>
      </c>
      <c r="U50" s="113">
        <f t="shared" si="25"/>
        <v>0</v>
      </c>
      <c r="V50" s="246">
        <v>10</v>
      </c>
      <c r="W50" s="6">
        <v>90</v>
      </c>
      <c r="X50" s="246">
        <v>13</v>
      </c>
      <c r="Y50" s="6">
        <v>87</v>
      </c>
      <c r="Z50" s="6">
        <v>0</v>
      </c>
      <c r="AA50" s="246">
        <v>0</v>
      </c>
      <c r="AB50" s="6">
        <v>0</v>
      </c>
      <c r="AC50" s="6">
        <v>0</v>
      </c>
      <c r="AD50" s="246">
        <v>0</v>
      </c>
      <c r="AE50" s="6">
        <v>0</v>
      </c>
      <c r="AF50" s="247">
        <v>0</v>
      </c>
      <c r="AG50" s="6" t="s">
        <v>69</v>
      </c>
      <c r="AI50" s="246" t="s">
        <v>73</v>
      </c>
      <c r="AJ50" s="246"/>
      <c r="AK50" s="6">
        <v>50</v>
      </c>
      <c r="AL50" s="6">
        <v>50</v>
      </c>
      <c r="AM50" s="6">
        <v>0</v>
      </c>
      <c r="AN50" s="6">
        <v>0</v>
      </c>
      <c r="AO50" s="246">
        <f t="shared" si="21"/>
        <v>3.3820000000000001</v>
      </c>
      <c r="AP50" s="6">
        <f t="shared" si="15"/>
        <v>3.2975000000000003</v>
      </c>
      <c r="AQ50" s="6">
        <v>1</v>
      </c>
      <c r="AR50" s="6">
        <v>1</v>
      </c>
      <c r="AS50" s="246"/>
      <c r="AT50" s="6">
        <f t="shared" si="6"/>
        <v>14.78415138971023</v>
      </c>
      <c r="AU50" s="6">
        <f t="shared" si="7"/>
        <v>15.16300227445034</v>
      </c>
      <c r="AV50" s="6">
        <f t="shared" si="8"/>
        <v>0</v>
      </c>
      <c r="AW50" s="247">
        <f t="shared" si="9"/>
        <v>0</v>
      </c>
    </row>
    <row r="51" spans="1:49" s="6" customFormat="1">
      <c r="A51" s="6" t="s">
        <v>1956</v>
      </c>
      <c r="B51" s="6" t="s">
        <v>1935</v>
      </c>
      <c r="D51" s="6" t="s">
        <v>642</v>
      </c>
      <c r="E51" s="6" t="s">
        <v>643</v>
      </c>
      <c r="G51" s="6" t="s">
        <v>1876</v>
      </c>
      <c r="H51" s="6" t="s">
        <v>1877</v>
      </c>
      <c r="J51" s="6">
        <v>90</v>
      </c>
      <c r="K51" s="6">
        <v>125</v>
      </c>
      <c r="Q51" s="6" t="s">
        <v>1878</v>
      </c>
      <c r="R51" s="243">
        <f t="shared" si="22"/>
        <v>39.394301415686037</v>
      </c>
      <c r="S51" s="113">
        <f t="shared" si="23"/>
        <v>60.605698584313963</v>
      </c>
      <c r="T51" s="113">
        <f t="shared" si="24"/>
        <v>0</v>
      </c>
      <c r="U51" s="113">
        <f t="shared" si="25"/>
        <v>0</v>
      </c>
      <c r="V51" s="246">
        <v>10</v>
      </c>
      <c r="W51" s="6">
        <v>90</v>
      </c>
      <c r="X51" s="246">
        <v>13</v>
      </c>
      <c r="Y51" s="6">
        <v>87</v>
      </c>
      <c r="Z51" s="6">
        <v>0</v>
      </c>
      <c r="AA51" s="246">
        <v>0</v>
      </c>
      <c r="AB51" s="6">
        <v>0</v>
      </c>
      <c r="AC51" s="6">
        <v>0</v>
      </c>
      <c r="AD51" s="246">
        <v>0</v>
      </c>
      <c r="AE51" s="6">
        <v>0</v>
      </c>
      <c r="AF51" s="247">
        <v>0</v>
      </c>
      <c r="AG51" s="6" t="s">
        <v>69</v>
      </c>
      <c r="AI51" s="246" t="s">
        <v>73</v>
      </c>
      <c r="AJ51" s="246"/>
      <c r="AK51" s="6">
        <v>40</v>
      </c>
      <c r="AL51" s="6">
        <v>60</v>
      </c>
      <c r="AM51" s="6">
        <v>0</v>
      </c>
      <c r="AN51" s="6">
        <v>0</v>
      </c>
      <c r="AO51" s="246">
        <f t="shared" si="21"/>
        <v>3.3820000000000001</v>
      </c>
      <c r="AP51" s="6">
        <f t="shared" si="15"/>
        <v>3.2975000000000003</v>
      </c>
      <c r="AQ51" s="6">
        <v>1</v>
      </c>
      <c r="AR51" s="6">
        <v>1</v>
      </c>
      <c r="AS51" s="246"/>
      <c r="AT51" s="6">
        <f t="shared" si="6"/>
        <v>11.827321111768184</v>
      </c>
      <c r="AU51" s="6">
        <f t="shared" si="7"/>
        <v>18.195602729340408</v>
      </c>
      <c r="AV51" s="6">
        <f t="shared" si="8"/>
        <v>0</v>
      </c>
      <c r="AW51" s="247">
        <f t="shared" si="9"/>
        <v>0</v>
      </c>
    </row>
    <row r="52" spans="1:49" s="6" customFormat="1">
      <c r="A52" s="6" t="s">
        <v>1957</v>
      </c>
      <c r="B52" s="6" t="s">
        <v>1937</v>
      </c>
      <c r="D52" s="6" t="s">
        <v>642</v>
      </c>
      <c r="E52" s="6" t="s">
        <v>643</v>
      </c>
      <c r="G52" s="6" t="s">
        <v>1876</v>
      </c>
      <c r="H52" s="6" t="s">
        <v>1877</v>
      </c>
      <c r="J52" s="6">
        <v>90</v>
      </c>
      <c r="K52" s="6">
        <v>125</v>
      </c>
      <c r="Q52" s="6" t="s">
        <v>1878</v>
      </c>
      <c r="R52" s="243">
        <f t="shared" si="22"/>
        <v>29.471347921290576</v>
      </c>
      <c r="S52" s="113">
        <f t="shared" si="23"/>
        <v>70.528652078709428</v>
      </c>
      <c r="T52" s="113">
        <f t="shared" si="24"/>
        <v>0</v>
      </c>
      <c r="U52" s="113">
        <f t="shared" si="25"/>
        <v>0</v>
      </c>
      <c r="V52" s="246">
        <v>10</v>
      </c>
      <c r="W52" s="6">
        <v>90</v>
      </c>
      <c r="X52" s="246">
        <v>13</v>
      </c>
      <c r="Y52" s="6">
        <v>87</v>
      </c>
      <c r="Z52" s="6">
        <v>0</v>
      </c>
      <c r="AA52" s="246">
        <v>0</v>
      </c>
      <c r="AB52" s="6">
        <v>0</v>
      </c>
      <c r="AC52" s="6">
        <v>0</v>
      </c>
      <c r="AD52" s="246">
        <v>0</v>
      </c>
      <c r="AE52" s="6">
        <v>0</v>
      </c>
      <c r="AF52" s="247">
        <v>0</v>
      </c>
      <c r="AG52" s="6" t="s">
        <v>69</v>
      </c>
      <c r="AI52" s="246" t="s">
        <v>73</v>
      </c>
      <c r="AJ52" s="246"/>
      <c r="AK52" s="6">
        <v>30</v>
      </c>
      <c r="AL52" s="6">
        <v>70</v>
      </c>
      <c r="AM52" s="6">
        <v>0</v>
      </c>
      <c r="AN52" s="6">
        <v>0</v>
      </c>
      <c r="AO52" s="246">
        <f t="shared" si="21"/>
        <v>3.3820000000000001</v>
      </c>
      <c r="AP52" s="6">
        <f t="shared" ref="AP52:AP70" si="26">X52*$Z$2+Y52*$AA$2+Z52*$AB$2</f>
        <v>3.2975000000000003</v>
      </c>
      <c r="AQ52" s="6">
        <v>1</v>
      </c>
      <c r="AR52" s="6">
        <v>1</v>
      </c>
      <c r="AS52" s="246"/>
      <c r="AT52" s="6">
        <f t="shared" si="6"/>
        <v>8.8704908338261372</v>
      </c>
      <c r="AU52" s="6">
        <f t="shared" si="7"/>
        <v>21.228203184230477</v>
      </c>
      <c r="AV52" s="6">
        <f t="shared" si="8"/>
        <v>0</v>
      </c>
      <c r="AW52" s="247">
        <f t="shared" si="9"/>
        <v>0</v>
      </c>
    </row>
    <row r="53" spans="1:49" s="6" customFormat="1">
      <c r="A53" s="6" t="s">
        <v>1958</v>
      </c>
      <c r="B53" s="6" t="s">
        <v>1939</v>
      </c>
      <c r="D53" s="6" t="s">
        <v>642</v>
      </c>
      <c r="E53" s="6" t="s">
        <v>643</v>
      </c>
      <c r="G53" s="6" t="s">
        <v>1876</v>
      </c>
      <c r="H53" s="6" t="s">
        <v>1877</v>
      </c>
      <c r="J53" s="6">
        <v>90</v>
      </c>
      <c r="K53" s="6">
        <v>125</v>
      </c>
      <c r="Q53" s="6" t="s">
        <v>1878</v>
      </c>
      <c r="R53" s="243">
        <f t="shared" si="22"/>
        <v>19.598228878785179</v>
      </c>
      <c r="S53" s="113">
        <f t="shared" si="23"/>
        <v>80.401771121214821</v>
      </c>
      <c r="T53" s="113">
        <f t="shared" si="24"/>
        <v>0</v>
      </c>
      <c r="U53" s="113">
        <f t="shared" si="25"/>
        <v>0</v>
      </c>
      <c r="V53" s="246">
        <v>10</v>
      </c>
      <c r="W53" s="6">
        <v>90</v>
      </c>
      <c r="X53" s="246">
        <v>13</v>
      </c>
      <c r="Y53" s="6">
        <v>87</v>
      </c>
      <c r="Z53" s="6">
        <v>0</v>
      </c>
      <c r="AA53" s="246">
        <v>0</v>
      </c>
      <c r="AB53" s="6">
        <v>0</v>
      </c>
      <c r="AC53" s="6">
        <v>0</v>
      </c>
      <c r="AD53" s="246">
        <v>0</v>
      </c>
      <c r="AE53" s="6">
        <v>0</v>
      </c>
      <c r="AF53" s="247">
        <v>0</v>
      </c>
      <c r="AG53" s="6" t="s">
        <v>69</v>
      </c>
      <c r="AI53" s="246" t="s">
        <v>73</v>
      </c>
      <c r="AJ53" s="246"/>
      <c r="AK53" s="6">
        <v>20</v>
      </c>
      <c r="AL53" s="6">
        <v>80</v>
      </c>
      <c r="AM53" s="6">
        <v>0</v>
      </c>
      <c r="AN53" s="6">
        <v>0</v>
      </c>
      <c r="AO53" s="246">
        <f t="shared" si="21"/>
        <v>3.3820000000000001</v>
      </c>
      <c r="AP53" s="6">
        <f t="shared" si="26"/>
        <v>3.2975000000000003</v>
      </c>
      <c r="AQ53" s="6">
        <v>1</v>
      </c>
      <c r="AR53" s="6">
        <v>1</v>
      </c>
      <c r="AS53" s="246"/>
      <c r="AT53" s="6">
        <f t="shared" si="6"/>
        <v>5.9136605558840918</v>
      </c>
      <c r="AU53" s="6">
        <f t="shared" si="7"/>
        <v>24.260803639120542</v>
      </c>
      <c r="AV53" s="6">
        <f t="shared" si="8"/>
        <v>0</v>
      </c>
      <c r="AW53" s="247">
        <f t="shared" si="9"/>
        <v>0</v>
      </c>
    </row>
    <row r="54" spans="1:49" s="6" customFormat="1">
      <c r="A54" s="6" t="s">
        <v>1959</v>
      </c>
      <c r="B54" s="6" t="s">
        <v>1941</v>
      </c>
      <c r="D54" s="6" t="s">
        <v>642</v>
      </c>
      <c r="E54" s="6" t="s">
        <v>643</v>
      </c>
      <c r="G54" s="6" t="s">
        <v>1876</v>
      </c>
      <c r="H54" s="6" t="s">
        <v>1877</v>
      </c>
      <c r="J54" s="6">
        <v>90</v>
      </c>
      <c r="K54" s="6">
        <v>125</v>
      </c>
      <c r="Q54" s="6" t="s">
        <v>1878</v>
      </c>
      <c r="R54" s="243">
        <f t="shared" si="22"/>
        <v>9.7745698151798557</v>
      </c>
      <c r="S54" s="113">
        <f t="shared" si="23"/>
        <v>90.225430184820141</v>
      </c>
      <c r="T54" s="113">
        <f t="shared" si="24"/>
        <v>0</v>
      </c>
      <c r="U54" s="113">
        <f t="shared" si="25"/>
        <v>0</v>
      </c>
      <c r="V54" s="246">
        <v>10</v>
      </c>
      <c r="W54" s="6">
        <v>90</v>
      </c>
      <c r="X54" s="246">
        <v>13</v>
      </c>
      <c r="Y54" s="6">
        <v>87</v>
      </c>
      <c r="Z54" s="6">
        <v>0</v>
      </c>
      <c r="AA54" s="246">
        <v>0</v>
      </c>
      <c r="AB54" s="6">
        <v>0</v>
      </c>
      <c r="AC54" s="6">
        <v>0</v>
      </c>
      <c r="AD54" s="246">
        <v>0</v>
      </c>
      <c r="AE54" s="6">
        <v>0</v>
      </c>
      <c r="AF54" s="247">
        <v>0</v>
      </c>
      <c r="AG54" s="6" t="s">
        <v>69</v>
      </c>
      <c r="AI54" s="246" t="s">
        <v>73</v>
      </c>
      <c r="AJ54" s="246"/>
      <c r="AK54" s="6">
        <v>10</v>
      </c>
      <c r="AL54" s="6">
        <v>90</v>
      </c>
      <c r="AM54" s="6">
        <v>0</v>
      </c>
      <c r="AN54" s="6">
        <v>0</v>
      </c>
      <c r="AO54" s="246">
        <f t="shared" si="21"/>
        <v>3.3820000000000001</v>
      </c>
      <c r="AP54" s="6">
        <f t="shared" si="26"/>
        <v>3.2975000000000003</v>
      </c>
      <c r="AQ54" s="6">
        <v>1</v>
      </c>
      <c r="AR54" s="6">
        <v>1</v>
      </c>
      <c r="AS54" s="246"/>
      <c r="AT54" s="6">
        <f t="shared" si="6"/>
        <v>2.9568302779420459</v>
      </c>
      <c r="AU54" s="6">
        <f t="shared" si="7"/>
        <v>27.293404094010612</v>
      </c>
      <c r="AV54" s="6">
        <f t="shared" si="8"/>
        <v>0</v>
      </c>
      <c r="AW54" s="247">
        <f t="shared" si="9"/>
        <v>0</v>
      </c>
    </row>
    <row r="55" spans="1:49" s="6" customFormat="1">
      <c r="A55" s="6" t="s">
        <v>1960</v>
      </c>
      <c r="B55" s="6" t="s">
        <v>1925</v>
      </c>
      <c r="D55" s="6" t="s">
        <v>642</v>
      </c>
      <c r="E55" s="6" t="s">
        <v>643</v>
      </c>
      <c r="G55" s="6" t="s">
        <v>1876</v>
      </c>
      <c r="H55" s="6" t="s">
        <v>1877</v>
      </c>
      <c r="J55" s="6">
        <v>63</v>
      </c>
      <c r="K55" s="6">
        <v>90</v>
      </c>
      <c r="Q55" s="6" t="s">
        <v>1878</v>
      </c>
      <c r="R55" s="243">
        <f t="shared" si="22"/>
        <v>89.769960223233852</v>
      </c>
      <c r="S55" s="113">
        <f t="shared" si="23"/>
        <v>10.230039776766132</v>
      </c>
      <c r="T55" s="113">
        <f t="shared" si="24"/>
        <v>0</v>
      </c>
      <c r="U55" s="113">
        <f t="shared" si="25"/>
        <v>0</v>
      </c>
      <c r="V55" s="246">
        <v>10</v>
      </c>
      <c r="W55" s="6">
        <v>90</v>
      </c>
      <c r="X55" s="246">
        <v>13</v>
      </c>
      <c r="Y55" s="6">
        <v>87</v>
      </c>
      <c r="Z55" s="6">
        <v>0</v>
      </c>
      <c r="AA55" s="246">
        <v>0</v>
      </c>
      <c r="AB55" s="6">
        <v>0</v>
      </c>
      <c r="AC55" s="6">
        <v>0</v>
      </c>
      <c r="AD55" s="246">
        <v>0</v>
      </c>
      <c r="AE55" s="6">
        <v>0</v>
      </c>
      <c r="AF55" s="247">
        <v>0</v>
      </c>
      <c r="AG55" s="6" t="s">
        <v>69</v>
      </c>
      <c r="AI55" s="246" t="s">
        <v>73</v>
      </c>
      <c r="AJ55" s="246"/>
      <c r="AK55" s="6">
        <v>90</v>
      </c>
      <c r="AL55" s="6">
        <v>10</v>
      </c>
      <c r="AM55" s="6">
        <v>0</v>
      </c>
      <c r="AN55" s="6">
        <v>0</v>
      </c>
      <c r="AO55" s="246">
        <f t="shared" si="21"/>
        <v>3.3820000000000001</v>
      </c>
      <c r="AP55" s="6">
        <f t="shared" si="26"/>
        <v>3.2975000000000003</v>
      </c>
      <c r="AQ55" s="6">
        <v>1</v>
      </c>
      <c r="AR55" s="6">
        <v>1</v>
      </c>
      <c r="AS55" s="246"/>
      <c r="AT55" s="6">
        <f t="shared" si="6"/>
        <v>26.611472501478413</v>
      </c>
      <c r="AU55" s="6">
        <f t="shared" si="7"/>
        <v>3.0326004548900678</v>
      </c>
      <c r="AV55" s="6">
        <f t="shared" si="8"/>
        <v>0</v>
      </c>
      <c r="AW55" s="247">
        <f t="shared" si="9"/>
        <v>0</v>
      </c>
    </row>
    <row r="56" spans="1:49" s="6" customFormat="1">
      <c r="A56" s="6" t="s">
        <v>1961</v>
      </c>
      <c r="B56" s="6" t="s">
        <v>1939</v>
      </c>
      <c r="D56" s="6" t="s">
        <v>642</v>
      </c>
      <c r="E56" s="6" t="s">
        <v>643</v>
      </c>
      <c r="G56" s="6" t="s">
        <v>1876</v>
      </c>
      <c r="H56" s="6" t="s">
        <v>1877</v>
      </c>
      <c r="J56" s="6">
        <v>63</v>
      </c>
      <c r="K56" s="6">
        <v>90</v>
      </c>
      <c r="Q56" s="6" t="s">
        <v>1878</v>
      </c>
      <c r="R56" s="243">
        <f t="shared" si="22"/>
        <v>19.598228878785179</v>
      </c>
      <c r="S56" s="113">
        <f t="shared" si="23"/>
        <v>80.401771121214821</v>
      </c>
      <c r="T56" s="113">
        <f t="shared" si="24"/>
        <v>0</v>
      </c>
      <c r="U56" s="113">
        <f t="shared" si="25"/>
        <v>0</v>
      </c>
      <c r="V56" s="246">
        <v>10</v>
      </c>
      <c r="W56" s="6">
        <v>90</v>
      </c>
      <c r="X56" s="246">
        <v>13</v>
      </c>
      <c r="Y56" s="6">
        <v>87</v>
      </c>
      <c r="Z56" s="6">
        <v>0</v>
      </c>
      <c r="AA56" s="246">
        <v>0</v>
      </c>
      <c r="AB56" s="6">
        <v>0</v>
      </c>
      <c r="AC56" s="6">
        <v>0</v>
      </c>
      <c r="AD56" s="246">
        <v>0</v>
      </c>
      <c r="AE56" s="6">
        <v>0</v>
      </c>
      <c r="AF56" s="247">
        <v>0</v>
      </c>
      <c r="AG56" s="6" t="s">
        <v>69</v>
      </c>
      <c r="AI56" s="246" t="s">
        <v>73</v>
      </c>
      <c r="AJ56" s="246"/>
      <c r="AK56" s="6">
        <v>20</v>
      </c>
      <c r="AL56" s="6">
        <v>80</v>
      </c>
      <c r="AM56" s="6">
        <v>0</v>
      </c>
      <c r="AN56" s="6">
        <v>0</v>
      </c>
      <c r="AO56" s="246">
        <f t="shared" si="21"/>
        <v>3.3820000000000001</v>
      </c>
      <c r="AP56" s="6">
        <f t="shared" si="26"/>
        <v>3.2975000000000003</v>
      </c>
      <c r="AQ56" s="6">
        <v>1</v>
      </c>
      <c r="AR56" s="6">
        <v>1</v>
      </c>
      <c r="AS56" s="246"/>
      <c r="AT56" s="6">
        <f t="shared" si="6"/>
        <v>5.9136605558840918</v>
      </c>
      <c r="AU56" s="6">
        <f t="shared" si="7"/>
        <v>24.260803639120542</v>
      </c>
      <c r="AV56" s="6">
        <f t="shared" si="8"/>
        <v>0</v>
      </c>
      <c r="AW56" s="247">
        <f t="shared" si="9"/>
        <v>0</v>
      </c>
    </row>
    <row r="57" spans="1:49" s="6" customFormat="1">
      <c r="A57" s="6" t="s">
        <v>1962</v>
      </c>
      <c r="B57" s="6" t="s">
        <v>1937</v>
      </c>
      <c r="D57" s="6" t="s">
        <v>642</v>
      </c>
      <c r="E57" s="6" t="s">
        <v>643</v>
      </c>
      <c r="G57" s="6" t="s">
        <v>1876</v>
      </c>
      <c r="H57" s="6" t="s">
        <v>1877</v>
      </c>
      <c r="J57" s="6">
        <v>63</v>
      </c>
      <c r="K57" s="6">
        <v>90</v>
      </c>
      <c r="Q57" s="6" t="s">
        <v>1878</v>
      </c>
      <c r="R57" s="243">
        <f t="shared" si="22"/>
        <v>29.471347921290576</v>
      </c>
      <c r="S57" s="113">
        <f t="shared" si="23"/>
        <v>70.528652078709428</v>
      </c>
      <c r="T57" s="113">
        <f t="shared" si="24"/>
        <v>0</v>
      </c>
      <c r="U57" s="113">
        <f t="shared" si="25"/>
        <v>0</v>
      </c>
      <c r="V57" s="246">
        <v>10</v>
      </c>
      <c r="W57" s="6">
        <v>90</v>
      </c>
      <c r="X57" s="246">
        <v>13</v>
      </c>
      <c r="Y57" s="6">
        <v>87</v>
      </c>
      <c r="Z57" s="6">
        <v>0</v>
      </c>
      <c r="AA57" s="246">
        <v>0</v>
      </c>
      <c r="AB57" s="6">
        <v>0</v>
      </c>
      <c r="AC57" s="6">
        <v>0</v>
      </c>
      <c r="AD57" s="246">
        <v>0</v>
      </c>
      <c r="AE57" s="6">
        <v>0</v>
      </c>
      <c r="AF57" s="247">
        <v>0</v>
      </c>
      <c r="AG57" s="6" t="s">
        <v>69</v>
      </c>
      <c r="AI57" s="246" t="s">
        <v>73</v>
      </c>
      <c r="AJ57" s="246"/>
      <c r="AK57" s="6">
        <v>30</v>
      </c>
      <c r="AL57" s="6">
        <v>70</v>
      </c>
      <c r="AM57" s="6">
        <v>0</v>
      </c>
      <c r="AN57" s="6">
        <v>0</v>
      </c>
      <c r="AO57" s="246">
        <f t="shared" si="21"/>
        <v>3.3820000000000001</v>
      </c>
      <c r="AP57" s="6">
        <f t="shared" si="26"/>
        <v>3.2975000000000003</v>
      </c>
      <c r="AQ57" s="6">
        <v>1</v>
      </c>
      <c r="AR57" s="6">
        <v>1</v>
      </c>
      <c r="AS57" s="246"/>
      <c r="AT57" s="6">
        <f t="shared" si="6"/>
        <v>8.8704908338261372</v>
      </c>
      <c r="AU57" s="6">
        <f t="shared" si="7"/>
        <v>21.228203184230477</v>
      </c>
      <c r="AV57" s="6">
        <f t="shared" si="8"/>
        <v>0</v>
      </c>
      <c r="AW57" s="247">
        <f t="shared" si="9"/>
        <v>0</v>
      </c>
    </row>
    <row r="58" spans="1:49" s="6" customFormat="1">
      <c r="A58" s="6" t="s">
        <v>1963</v>
      </c>
      <c r="B58" s="6" t="s">
        <v>1935</v>
      </c>
      <c r="D58" s="6" t="s">
        <v>642</v>
      </c>
      <c r="E58" s="6" t="s">
        <v>643</v>
      </c>
      <c r="G58" s="6" t="s">
        <v>1876</v>
      </c>
      <c r="H58" s="6" t="s">
        <v>1877</v>
      </c>
      <c r="J58" s="6">
        <v>63</v>
      </c>
      <c r="K58" s="6">
        <v>90</v>
      </c>
      <c r="Q58" s="6" t="s">
        <v>1878</v>
      </c>
      <c r="R58" s="243">
        <f t="shared" si="22"/>
        <v>39.394301415686037</v>
      </c>
      <c r="S58" s="113">
        <f t="shared" si="23"/>
        <v>60.605698584313963</v>
      </c>
      <c r="T58" s="113">
        <f t="shared" si="24"/>
        <v>0</v>
      </c>
      <c r="U58" s="113">
        <f t="shared" si="25"/>
        <v>0</v>
      </c>
      <c r="V58" s="246">
        <v>10</v>
      </c>
      <c r="W58" s="6">
        <v>90</v>
      </c>
      <c r="X58" s="246">
        <v>13</v>
      </c>
      <c r="Y58" s="6">
        <v>87</v>
      </c>
      <c r="Z58" s="6">
        <v>0</v>
      </c>
      <c r="AA58" s="246">
        <v>0</v>
      </c>
      <c r="AB58" s="6">
        <v>0</v>
      </c>
      <c r="AC58" s="6">
        <v>0</v>
      </c>
      <c r="AD58" s="246">
        <v>0</v>
      </c>
      <c r="AE58" s="6">
        <v>0</v>
      </c>
      <c r="AF58" s="247">
        <v>0</v>
      </c>
      <c r="AG58" s="6" t="s">
        <v>69</v>
      </c>
      <c r="AI58" s="246" t="s">
        <v>73</v>
      </c>
      <c r="AJ58" s="246"/>
      <c r="AK58" s="6">
        <v>40</v>
      </c>
      <c r="AL58" s="6">
        <v>60</v>
      </c>
      <c r="AM58" s="6">
        <v>0</v>
      </c>
      <c r="AN58" s="6">
        <v>0</v>
      </c>
      <c r="AO58" s="246">
        <f t="shared" si="21"/>
        <v>3.3820000000000001</v>
      </c>
      <c r="AP58" s="6">
        <f t="shared" si="26"/>
        <v>3.2975000000000003</v>
      </c>
      <c r="AQ58" s="6">
        <v>1</v>
      </c>
      <c r="AR58" s="6">
        <v>1</v>
      </c>
      <c r="AS58" s="246"/>
      <c r="AT58" s="6">
        <f t="shared" si="6"/>
        <v>11.827321111768184</v>
      </c>
      <c r="AU58" s="6">
        <f t="shared" si="7"/>
        <v>18.195602729340408</v>
      </c>
      <c r="AV58" s="6">
        <f t="shared" si="8"/>
        <v>0</v>
      </c>
      <c r="AW58" s="247">
        <f t="shared" si="9"/>
        <v>0</v>
      </c>
    </row>
    <row r="59" spans="1:49" s="6" customFormat="1">
      <c r="A59" s="6" t="s">
        <v>1964</v>
      </c>
      <c r="B59" s="6" t="s">
        <v>1933</v>
      </c>
      <c r="D59" s="6" t="s">
        <v>642</v>
      </c>
      <c r="E59" s="6" t="s">
        <v>643</v>
      </c>
      <c r="G59" s="6" t="s">
        <v>1876</v>
      </c>
      <c r="H59" s="6" t="s">
        <v>1877</v>
      </c>
      <c r="J59" s="6">
        <v>63</v>
      </c>
      <c r="K59" s="6">
        <v>90</v>
      </c>
      <c r="Q59" s="6" t="s">
        <v>1878</v>
      </c>
      <c r="R59" s="243">
        <f t="shared" si="22"/>
        <v>49.367467624822218</v>
      </c>
      <c r="S59" s="113">
        <f t="shared" si="23"/>
        <v>50.632532375177789</v>
      </c>
      <c r="T59" s="113">
        <f t="shared" si="24"/>
        <v>0</v>
      </c>
      <c r="U59" s="113">
        <f t="shared" si="25"/>
        <v>0</v>
      </c>
      <c r="V59" s="246">
        <v>10</v>
      </c>
      <c r="W59" s="6">
        <v>90</v>
      </c>
      <c r="X59" s="246">
        <v>13</v>
      </c>
      <c r="Y59" s="6">
        <v>87</v>
      </c>
      <c r="Z59" s="6">
        <v>0</v>
      </c>
      <c r="AA59" s="246">
        <v>0</v>
      </c>
      <c r="AB59" s="6">
        <v>0</v>
      </c>
      <c r="AC59" s="6">
        <v>0</v>
      </c>
      <c r="AD59" s="246">
        <v>0</v>
      </c>
      <c r="AE59" s="6">
        <v>0</v>
      </c>
      <c r="AF59" s="247">
        <v>0</v>
      </c>
      <c r="AG59" s="6" t="s">
        <v>69</v>
      </c>
      <c r="AI59" s="246" t="s">
        <v>73</v>
      </c>
      <c r="AJ59" s="246"/>
      <c r="AK59" s="6">
        <v>50</v>
      </c>
      <c r="AL59" s="6">
        <v>50</v>
      </c>
      <c r="AM59" s="6">
        <v>0</v>
      </c>
      <c r="AN59" s="6">
        <v>0</v>
      </c>
      <c r="AO59" s="246">
        <f t="shared" si="21"/>
        <v>3.3820000000000001</v>
      </c>
      <c r="AP59" s="6">
        <f t="shared" si="26"/>
        <v>3.2975000000000003</v>
      </c>
      <c r="AQ59" s="6">
        <v>1</v>
      </c>
      <c r="AR59" s="6">
        <v>1</v>
      </c>
      <c r="AS59" s="246"/>
      <c r="AT59" s="6">
        <f t="shared" si="6"/>
        <v>14.78415138971023</v>
      </c>
      <c r="AU59" s="6">
        <f t="shared" si="7"/>
        <v>15.16300227445034</v>
      </c>
      <c r="AV59" s="6">
        <f t="shared" si="8"/>
        <v>0</v>
      </c>
      <c r="AW59" s="247">
        <f t="shared" si="9"/>
        <v>0</v>
      </c>
    </row>
    <row r="60" spans="1:49" s="6" customFormat="1">
      <c r="A60" s="6" t="s">
        <v>1965</v>
      </c>
      <c r="B60" s="6" t="s">
        <v>1931</v>
      </c>
      <c r="D60" s="6" t="s">
        <v>642</v>
      </c>
      <c r="E60" s="6" t="s">
        <v>643</v>
      </c>
      <c r="G60" s="6" t="s">
        <v>1876</v>
      </c>
      <c r="H60" s="6" t="s">
        <v>1877</v>
      </c>
      <c r="J60" s="6">
        <v>63</v>
      </c>
      <c r="K60" s="6">
        <v>90</v>
      </c>
      <c r="Q60" s="6" t="s">
        <v>1878</v>
      </c>
      <c r="R60" s="243">
        <f t="shared" si="22"/>
        <v>59.391228649476183</v>
      </c>
      <c r="S60" s="113">
        <f t="shared" si="23"/>
        <v>40.608771350523817</v>
      </c>
      <c r="T60" s="113">
        <f t="shared" si="24"/>
        <v>0</v>
      </c>
      <c r="U60" s="113">
        <f t="shared" si="25"/>
        <v>0</v>
      </c>
      <c r="V60" s="246">
        <v>10</v>
      </c>
      <c r="W60" s="6">
        <v>90</v>
      </c>
      <c r="X60" s="246">
        <v>13</v>
      </c>
      <c r="Y60" s="6">
        <v>87</v>
      </c>
      <c r="Z60" s="6">
        <v>0</v>
      </c>
      <c r="AA60" s="246">
        <v>0</v>
      </c>
      <c r="AB60" s="6">
        <v>0</v>
      </c>
      <c r="AC60" s="6">
        <v>0</v>
      </c>
      <c r="AD60" s="246">
        <v>0</v>
      </c>
      <c r="AE60" s="6">
        <v>0</v>
      </c>
      <c r="AF60" s="247">
        <v>0</v>
      </c>
      <c r="AG60" s="6" t="s">
        <v>69</v>
      </c>
      <c r="AI60" s="246" t="s">
        <v>73</v>
      </c>
      <c r="AJ60" s="246"/>
      <c r="AK60" s="6">
        <v>60</v>
      </c>
      <c r="AL60" s="6">
        <v>40</v>
      </c>
      <c r="AM60" s="6">
        <v>0</v>
      </c>
      <c r="AN60" s="6">
        <v>0</v>
      </c>
      <c r="AO60" s="246">
        <f t="shared" si="21"/>
        <v>3.3820000000000001</v>
      </c>
      <c r="AP60" s="6">
        <f t="shared" si="26"/>
        <v>3.2975000000000003</v>
      </c>
      <c r="AQ60" s="6">
        <v>1</v>
      </c>
      <c r="AR60" s="6">
        <v>1</v>
      </c>
      <c r="AS60" s="246"/>
      <c r="AT60" s="6">
        <f t="shared" si="6"/>
        <v>17.740981667652274</v>
      </c>
      <c r="AU60" s="6">
        <f t="shared" si="7"/>
        <v>12.130401819560271</v>
      </c>
      <c r="AV60" s="6">
        <f t="shared" si="8"/>
        <v>0</v>
      </c>
      <c r="AW60" s="247">
        <f t="shared" si="9"/>
        <v>0</v>
      </c>
    </row>
    <row r="61" spans="1:49" s="6" customFormat="1">
      <c r="A61" s="6" t="s">
        <v>1966</v>
      </c>
      <c r="B61" s="6" t="s">
        <v>1929</v>
      </c>
      <c r="D61" s="6" t="s">
        <v>642</v>
      </c>
      <c r="E61" s="6" t="s">
        <v>643</v>
      </c>
      <c r="G61" s="6" t="s">
        <v>1876</v>
      </c>
      <c r="H61" s="6" t="s">
        <v>1877</v>
      </c>
      <c r="J61" s="6">
        <v>63</v>
      </c>
      <c r="K61" s="6">
        <v>90</v>
      </c>
      <c r="Q61" s="6" t="s">
        <v>1878</v>
      </c>
      <c r="R61" s="243">
        <f t="shared" si="22"/>
        <v>69.465970477150634</v>
      </c>
      <c r="S61" s="113">
        <f t="shared" si="23"/>
        <v>30.534029522849359</v>
      </c>
      <c r="T61" s="113">
        <f t="shared" si="24"/>
        <v>0</v>
      </c>
      <c r="U61" s="113">
        <f t="shared" si="25"/>
        <v>0</v>
      </c>
      <c r="V61" s="246">
        <v>10</v>
      </c>
      <c r="W61" s="6">
        <v>90</v>
      </c>
      <c r="X61" s="246">
        <v>13</v>
      </c>
      <c r="Y61" s="6">
        <v>87</v>
      </c>
      <c r="Z61" s="6">
        <v>0</v>
      </c>
      <c r="AA61" s="246">
        <v>0</v>
      </c>
      <c r="AB61" s="6">
        <v>0</v>
      </c>
      <c r="AC61" s="6">
        <v>0</v>
      </c>
      <c r="AD61" s="246">
        <v>0</v>
      </c>
      <c r="AE61" s="6">
        <v>0</v>
      </c>
      <c r="AF61" s="247">
        <v>0</v>
      </c>
      <c r="AG61" s="6" t="s">
        <v>69</v>
      </c>
      <c r="AI61" s="246" t="s">
        <v>73</v>
      </c>
      <c r="AJ61" s="246"/>
      <c r="AK61" s="6">
        <v>70</v>
      </c>
      <c r="AL61" s="6">
        <v>30</v>
      </c>
      <c r="AM61" s="6">
        <v>0</v>
      </c>
      <c r="AN61" s="6">
        <v>0</v>
      </c>
      <c r="AO61" s="246">
        <f t="shared" si="21"/>
        <v>3.3820000000000001</v>
      </c>
      <c r="AP61" s="6">
        <f t="shared" si="26"/>
        <v>3.2975000000000003</v>
      </c>
      <c r="AQ61" s="6">
        <v>1</v>
      </c>
      <c r="AR61" s="6">
        <v>1</v>
      </c>
      <c r="AS61" s="246"/>
      <c r="AT61" s="6">
        <f t="shared" si="6"/>
        <v>20.697811945594321</v>
      </c>
      <c r="AU61" s="6">
        <f t="shared" si="7"/>
        <v>9.0978013646702038</v>
      </c>
      <c r="AV61" s="6">
        <f t="shared" si="8"/>
        <v>0</v>
      </c>
      <c r="AW61" s="247">
        <f t="shared" si="9"/>
        <v>0</v>
      </c>
    </row>
    <row r="62" spans="1:49" s="6" customFormat="1">
      <c r="A62" s="6" t="s">
        <v>1967</v>
      </c>
      <c r="B62" s="6" t="s">
        <v>1927</v>
      </c>
      <c r="D62" s="6" t="s">
        <v>642</v>
      </c>
      <c r="E62" s="6" t="s">
        <v>643</v>
      </c>
      <c r="G62" s="6" t="s">
        <v>1876</v>
      </c>
      <c r="H62" s="6" t="s">
        <v>1877</v>
      </c>
      <c r="J62" s="6">
        <v>63</v>
      </c>
      <c r="K62" s="6">
        <v>90</v>
      </c>
      <c r="Q62" s="6" t="s">
        <v>1878</v>
      </c>
      <c r="R62" s="243">
        <f t="shared" si="22"/>
        <v>79.592083031619595</v>
      </c>
      <c r="S62" s="113">
        <f t="shared" si="23"/>
        <v>20.407916968380398</v>
      </c>
      <c r="T62" s="113">
        <f t="shared" si="24"/>
        <v>0</v>
      </c>
      <c r="U62" s="113">
        <f t="shared" si="25"/>
        <v>0</v>
      </c>
      <c r="V62" s="246">
        <v>10</v>
      </c>
      <c r="W62" s="6">
        <v>90</v>
      </c>
      <c r="X62" s="246">
        <v>13</v>
      </c>
      <c r="Y62" s="6">
        <v>87</v>
      </c>
      <c r="Z62" s="6">
        <v>0</v>
      </c>
      <c r="AA62" s="246">
        <v>0</v>
      </c>
      <c r="AB62" s="6">
        <v>0</v>
      </c>
      <c r="AC62" s="6">
        <v>0</v>
      </c>
      <c r="AD62" s="246">
        <v>0</v>
      </c>
      <c r="AE62" s="6">
        <v>0</v>
      </c>
      <c r="AF62" s="247">
        <v>0</v>
      </c>
      <c r="AG62" s="6" t="s">
        <v>69</v>
      </c>
      <c r="AI62" s="246" t="s">
        <v>73</v>
      </c>
      <c r="AJ62" s="246"/>
      <c r="AK62" s="6">
        <v>80</v>
      </c>
      <c r="AL62" s="6">
        <v>20</v>
      </c>
      <c r="AM62" s="6">
        <v>0</v>
      </c>
      <c r="AN62" s="6">
        <v>0</v>
      </c>
      <c r="AO62" s="246">
        <f t="shared" si="21"/>
        <v>3.3820000000000001</v>
      </c>
      <c r="AP62" s="6">
        <f t="shared" si="26"/>
        <v>3.2975000000000003</v>
      </c>
      <c r="AQ62" s="6">
        <v>1</v>
      </c>
      <c r="AR62" s="6">
        <v>1</v>
      </c>
      <c r="AS62" s="246"/>
      <c r="AT62" s="6">
        <f t="shared" si="6"/>
        <v>23.654642223536367</v>
      </c>
      <c r="AU62" s="6">
        <f t="shared" si="7"/>
        <v>6.0652009097801356</v>
      </c>
      <c r="AV62" s="6">
        <f t="shared" si="8"/>
        <v>0</v>
      </c>
      <c r="AW62" s="247">
        <f t="shared" si="9"/>
        <v>0</v>
      </c>
    </row>
    <row r="63" spans="1:49" s="6" customFormat="1">
      <c r="A63" s="6" t="s">
        <v>1968</v>
      </c>
      <c r="B63" s="6" t="s">
        <v>1941</v>
      </c>
      <c r="D63" s="6" t="s">
        <v>642</v>
      </c>
      <c r="E63" s="6" t="s">
        <v>643</v>
      </c>
      <c r="G63" s="6" t="s">
        <v>1876</v>
      </c>
      <c r="H63" s="6" t="s">
        <v>1877</v>
      </c>
      <c r="J63" s="6">
        <v>63</v>
      </c>
      <c r="K63" s="6">
        <v>90</v>
      </c>
      <c r="Q63" s="6" t="s">
        <v>1878</v>
      </c>
      <c r="R63" s="243">
        <f t="shared" si="22"/>
        <v>9.7745698151798557</v>
      </c>
      <c r="S63" s="113">
        <f t="shared" si="23"/>
        <v>90.225430184820141</v>
      </c>
      <c r="T63" s="113">
        <f t="shared" si="24"/>
        <v>0</v>
      </c>
      <c r="U63" s="113">
        <f t="shared" si="25"/>
        <v>0</v>
      </c>
      <c r="V63" s="246">
        <v>10</v>
      </c>
      <c r="W63" s="6">
        <v>90</v>
      </c>
      <c r="X63" s="246">
        <v>13</v>
      </c>
      <c r="Y63" s="6">
        <v>87</v>
      </c>
      <c r="Z63" s="6">
        <v>0</v>
      </c>
      <c r="AA63" s="246">
        <v>0</v>
      </c>
      <c r="AB63" s="6">
        <v>0</v>
      </c>
      <c r="AC63" s="6">
        <v>0</v>
      </c>
      <c r="AD63" s="246">
        <v>0</v>
      </c>
      <c r="AE63" s="6">
        <v>0</v>
      </c>
      <c r="AF63" s="247">
        <v>0</v>
      </c>
      <c r="AG63" s="6" t="s">
        <v>69</v>
      </c>
      <c r="AI63" s="246" t="s">
        <v>73</v>
      </c>
      <c r="AJ63" s="246"/>
      <c r="AK63" s="6">
        <v>10</v>
      </c>
      <c r="AL63" s="6">
        <v>90</v>
      </c>
      <c r="AM63" s="6">
        <v>0</v>
      </c>
      <c r="AN63" s="6">
        <v>0</v>
      </c>
      <c r="AO63" s="246">
        <f t="shared" si="21"/>
        <v>3.3820000000000001</v>
      </c>
      <c r="AP63" s="6">
        <f t="shared" si="26"/>
        <v>3.2975000000000003</v>
      </c>
      <c r="AQ63" s="6">
        <v>1</v>
      </c>
      <c r="AR63" s="6">
        <v>1</v>
      </c>
      <c r="AS63" s="246"/>
      <c r="AT63" s="6">
        <f t="shared" si="6"/>
        <v>2.9568302779420459</v>
      </c>
      <c r="AU63" s="6">
        <f t="shared" si="7"/>
        <v>27.293404094010612</v>
      </c>
      <c r="AV63" s="6">
        <f t="shared" si="8"/>
        <v>0</v>
      </c>
      <c r="AW63" s="247">
        <f t="shared" si="9"/>
        <v>0</v>
      </c>
    </row>
    <row r="64" spans="1:49" s="6" customFormat="1">
      <c r="A64" s="6" t="s">
        <v>1969</v>
      </c>
      <c r="B64" s="6" t="s">
        <v>1970</v>
      </c>
      <c r="D64" s="6" t="s">
        <v>642</v>
      </c>
      <c r="E64" s="6" t="s">
        <v>643</v>
      </c>
      <c r="G64" s="6" t="s">
        <v>1876</v>
      </c>
      <c r="H64" s="6" t="s">
        <v>1877</v>
      </c>
      <c r="J64" s="6">
        <v>63</v>
      </c>
      <c r="K64" s="6">
        <v>90</v>
      </c>
      <c r="Q64" s="6" t="s">
        <v>1878</v>
      </c>
      <c r="R64" s="243">
        <f t="shared" si="22"/>
        <v>4.8811717772794223</v>
      </c>
      <c r="S64" s="113">
        <f t="shared" si="23"/>
        <v>95.11882822272058</v>
      </c>
      <c r="T64" s="113">
        <f t="shared" si="24"/>
        <v>0</v>
      </c>
      <c r="U64" s="113">
        <f t="shared" si="25"/>
        <v>0</v>
      </c>
      <c r="V64" s="246">
        <v>10</v>
      </c>
      <c r="W64" s="6">
        <v>90</v>
      </c>
      <c r="X64" s="246">
        <v>13</v>
      </c>
      <c r="Y64" s="6">
        <v>87</v>
      </c>
      <c r="Z64" s="6">
        <v>0</v>
      </c>
      <c r="AA64" s="246">
        <v>0</v>
      </c>
      <c r="AB64" s="6">
        <v>0</v>
      </c>
      <c r="AC64" s="6">
        <v>0</v>
      </c>
      <c r="AD64" s="246">
        <v>0</v>
      </c>
      <c r="AE64" s="6">
        <v>0</v>
      </c>
      <c r="AF64" s="247">
        <v>0</v>
      </c>
      <c r="AG64" s="6" t="s">
        <v>69</v>
      </c>
      <c r="AI64" s="246" t="s">
        <v>73</v>
      </c>
      <c r="AJ64" s="246"/>
      <c r="AK64" s="6">
        <v>5</v>
      </c>
      <c r="AL64" s="6">
        <v>95</v>
      </c>
      <c r="AM64" s="6">
        <v>0</v>
      </c>
      <c r="AN64" s="6">
        <v>0</v>
      </c>
      <c r="AO64" s="246">
        <f t="shared" si="21"/>
        <v>3.3820000000000001</v>
      </c>
      <c r="AP64" s="6">
        <f t="shared" si="26"/>
        <v>3.2975000000000003</v>
      </c>
      <c r="AQ64" s="6">
        <v>1</v>
      </c>
      <c r="AR64" s="6">
        <v>1</v>
      </c>
      <c r="AS64" s="246"/>
      <c r="AT64" s="6">
        <f t="shared" si="6"/>
        <v>1.4784151389710229</v>
      </c>
      <c r="AU64" s="6">
        <f t="shared" si="7"/>
        <v>28.809704321455644</v>
      </c>
      <c r="AV64" s="6">
        <f t="shared" si="8"/>
        <v>0</v>
      </c>
      <c r="AW64" s="247">
        <f t="shared" si="9"/>
        <v>0</v>
      </c>
    </row>
    <row r="65" spans="1:49" s="6" customFormat="1">
      <c r="A65" s="6" t="s">
        <v>1971</v>
      </c>
      <c r="B65" s="6" t="s">
        <v>1972</v>
      </c>
      <c r="D65" s="6" t="s">
        <v>642</v>
      </c>
      <c r="E65" s="6" t="s">
        <v>643</v>
      </c>
      <c r="G65" s="6" t="s">
        <v>1876</v>
      </c>
      <c r="H65" s="6" t="s">
        <v>1877</v>
      </c>
      <c r="J65" s="6">
        <v>63</v>
      </c>
      <c r="K65" s="6">
        <v>90</v>
      </c>
      <c r="Q65" s="6" t="s">
        <v>1878</v>
      </c>
      <c r="R65" s="243">
        <f t="shared" si="22"/>
        <v>14.680240107439916</v>
      </c>
      <c r="S65" s="113">
        <f t="shared" si="23"/>
        <v>85.319759892560072</v>
      </c>
      <c r="T65" s="113">
        <f t="shared" si="24"/>
        <v>0</v>
      </c>
      <c r="U65" s="113">
        <f t="shared" si="25"/>
        <v>0</v>
      </c>
      <c r="V65" s="246">
        <v>10</v>
      </c>
      <c r="W65" s="6">
        <v>90</v>
      </c>
      <c r="X65" s="246">
        <v>13</v>
      </c>
      <c r="Y65" s="6">
        <v>87</v>
      </c>
      <c r="Z65" s="6">
        <v>0</v>
      </c>
      <c r="AA65" s="246">
        <v>0</v>
      </c>
      <c r="AB65" s="6">
        <v>0</v>
      </c>
      <c r="AC65" s="6">
        <v>0</v>
      </c>
      <c r="AD65" s="246">
        <v>0</v>
      </c>
      <c r="AE65" s="6">
        <v>0</v>
      </c>
      <c r="AF65" s="247">
        <v>0</v>
      </c>
      <c r="AG65" s="6" t="s">
        <v>69</v>
      </c>
      <c r="AI65" s="246" t="s">
        <v>73</v>
      </c>
      <c r="AJ65" s="246"/>
      <c r="AK65" s="6">
        <v>15</v>
      </c>
      <c r="AL65" s="6">
        <v>85</v>
      </c>
      <c r="AM65" s="6">
        <v>0</v>
      </c>
      <c r="AN65" s="6">
        <v>0</v>
      </c>
      <c r="AO65" s="246">
        <f t="shared" si="21"/>
        <v>3.3820000000000001</v>
      </c>
      <c r="AP65" s="6">
        <f t="shared" si="26"/>
        <v>3.2975000000000003</v>
      </c>
      <c r="AQ65" s="6">
        <v>1</v>
      </c>
      <c r="AR65" s="6">
        <v>1</v>
      </c>
      <c r="AS65" s="246"/>
      <c r="AT65" s="6">
        <f t="shared" si="6"/>
        <v>4.4352454169130686</v>
      </c>
      <c r="AU65" s="6">
        <f t="shared" si="7"/>
        <v>25.777103866565579</v>
      </c>
      <c r="AV65" s="6">
        <f t="shared" si="8"/>
        <v>0</v>
      </c>
      <c r="AW65" s="247">
        <f t="shared" si="9"/>
        <v>0</v>
      </c>
    </row>
    <row r="66" spans="1:49" s="6" customFormat="1">
      <c r="A66" s="6" t="s">
        <v>1973</v>
      </c>
      <c r="B66" s="6" t="s">
        <v>1925</v>
      </c>
      <c r="D66" s="6" t="s">
        <v>642</v>
      </c>
      <c r="E66" s="6" t="s">
        <v>643</v>
      </c>
      <c r="G66" s="6" t="s">
        <v>1876</v>
      </c>
      <c r="H66" s="6" t="s">
        <v>1877</v>
      </c>
      <c r="J66" s="6">
        <v>45</v>
      </c>
      <c r="K66" s="6">
        <v>63</v>
      </c>
      <c r="Q66" s="6" t="s">
        <v>1878</v>
      </c>
      <c r="R66" s="243">
        <f t="shared" si="22"/>
        <v>89.769960223233852</v>
      </c>
      <c r="S66" s="113">
        <f t="shared" si="23"/>
        <v>10.230039776766132</v>
      </c>
      <c r="T66" s="113">
        <f t="shared" si="24"/>
        <v>0</v>
      </c>
      <c r="U66" s="113">
        <f t="shared" si="25"/>
        <v>0</v>
      </c>
      <c r="V66" s="246">
        <v>10</v>
      </c>
      <c r="W66" s="6">
        <v>90</v>
      </c>
      <c r="X66" s="246">
        <v>13</v>
      </c>
      <c r="Y66" s="6">
        <v>87</v>
      </c>
      <c r="Z66" s="6">
        <v>0</v>
      </c>
      <c r="AA66" s="246">
        <v>0</v>
      </c>
      <c r="AB66" s="6">
        <v>0</v>
      </c>
      <c r="AC66" s="6">
        <v>0</v>
      </c>
      <c r="AD66" s="246">
        <v>0</v>
      </c>
      <c r="AE66" s="6">
        <v>0</v>
      </c>
      <c r="AF66" s="247">
        <v>0</v>
      </c>
      <c r="AG66" s="6" t="s">
        <v>69</v>
      </c>
      <c r="AI66" s="246" t="s">
        <v>73</v>
      </c>
      <c r="AJ66" s="246"/>
      <c r="AK66" s="6">
        <v>90</v>
      </c>
      <c r="AL66" s="6">
        <v>10</v>
      </c>
      <c r="AM66" s="6">
        <v>0</v>
      </c>
      <c r="AN66" s="6">
        <v>0</v>
      </c>
      <c r="AO66" s="246">
        <f t="shared" si="21"/>
        <v>3.3820000000000001</v>
      </c>
      <c r="AP66" s="6">
        <f t="shared" si="26"/>
        <v>3.2975000000000003</v>
      </c>
      <c r="AQ66" s="6">
        <v>1</v>
      </c>
      <c r="AR66" s="6">
        <v>1</v>
      </c>
      <c r="AS66" s="246"/>
      <c r="AT66" s="6">
        <f t="shared" si="6"/>
        <v>26.611472501478413</v>
      </c>
      <c r="AU66" s="6">
        <f t="shared" si="7"/>
        <v>3.0326004548900678</v>
      </c>
      <c r="AV66" s="6">
        <f t="shared" si="8"/>
        <v>0</v>
      </c>
      <c r="AW66" s="247">
        <f t="shared" si="9"/>
        <v>0</v>
      </c>
    </row>
    <row r="67" spans="1:49" s="6" customFormat="1">
      <c r="A67" s="6" t="s">
        <v>1974</v>
      </c>
      <c r="B67" s="6" t="s">
        <v>1933</v>
      </c>
      <c r="D67" s="6" t="s">
        <v>642</v>
      </c>
      <c r="E67" s="6" t="s">
        <v>643</v>
      </c>
      <c r="G67" s="6" t="s">
        <v>1876</v>
      </c>
      <c r="H67" s="6" t="s">
        <v>1877</v>
      </c>
      <c r="J67" s="6">
        <v>45</v>
      </c>
      <c r="K67" s="6">
        <v>63</v>
      </c>
      <c r="Q67" s="6" t="s">
        <v>1878</v>
      </c>
      <c r="R67" s="243">
        <f t="shared" si="22"/>
        <v>49.367467624822218</v>
      </c>
      <c r="S67" s="113">
        <f t="shared" si="23"/>
        <v>50.632532375177789</v>
      </c>
      <c r="T67" s="113">
        <f t="shared" si="24"/>
        <v>0</v>
      </c>
      <c r="U67" s="113">
        <f t="shared" si="25"/>
        <v>0</v>
      </c>
      <c r="V67" s="246">
        <v>10</v>
      </c>
      <c r="W67" s="6">
        <v>90</v>
      </c>
      <c r="X67" s="246">
        <v>13</v>
      </c>
      <c r="Y67" s="6">
        <v>87</v>
      </c>
      <c r="Z67" s="6">
        <v>0</v>
      </c>
      <c r="AA67" s="246">
        <v>0</v>
      </c>
      <c r="AB67" s="6">
        <v>0</v>
      </c>
      <c r="AC67" s="6">
        <v>0</v>
      </c>
      <c r="AD67" s="246">
        <v>0</v>
      </c>
      <c r="AE67" s="6">
        <v>0</v>
      </c>
      <c r="AF67" s="247">
        <v>0</v>
      </c>
      <c r="AG67" s="6" t="s">
        <v>69</v>
      </c>
      <c r="AI67" s="246" t="s">
        <v>73</v>
      </c>
      <c r="AJ67" s="246"/>
      <c r="AK67" s="6">
        <v>50</v>
      </c>
      <c r="AL67" s="6">
        <v>50</v>
      </c>
      <c r="AM67" s="6">
        <v>0</v>
      </c>
      <c r="AN67" s="6">
        <v>0</v>
      </c>
      <c r="AO67" s="246">
        <f t="shared" si="21"/>
        <v>3.3820000000000001</v>
      </c>
      <c r="AP67" s="6">
        <f t="shared" si="26"/>
        <v>3.2975000000000003</v>
      </c>
      <c r="AQ67" s="6">
        <v>1</v>
      </c>
      <c r="AR67" s="6">
        <v>1</v>
      </c>
      <c r="AS67" s="246"/>
      <c r="AT67" s="6">
        <f t="shared" si="6"/>
        <v>14.78415138971023</v>
      </c>
      <c r="AU67" s="6">
        <f t="shared" si="7"/>
        <v>15.16300227445034</v>
      </c>
      <c r="AV67" s="6">
        <f t="shared" si="8"/>
        <v>0</v>
      </c>
      <c r="AW67" s="247">
        <f t="shared" si="9"/>
        <v>0</v>
      </c>
    </row>
    <row r="68" spans="1:49" s="6" customFormat="1">
      <c r="A68" s="6" t="s">
        <v>1975</v>
      </c>
      <c r="B68" s="6" t="s">
        <v>1941</v>
      </c>
      <c r="D68" s="6" t="s">
        <v>642</v>
      </c>
      <c r="E68" s="6" t="s">
        <v>643</v>
      </c>
      <c r="G68" s="6" t="s">
        <v>1876</v>
      </c>
      <c r="H68" s="6" t="s">
        <v>1877</v>
      </c>
      <c r="J68" s="6">
        <v>45</v>
      </c>
      <c r="K68" s="6">
        <v>63</v>
      </c>
      <c r="Q68" s="6" t="s">
        <v>1878</v>
      </c>
      <c r="R68" s="243">
        <f t="shared" si="22"/>
        <v>9.7745698151798557</v>
      </c>
      <c r="S68" s="113">
        <f t="shared" si="23"/>
        <v>90.225430184820141</v>
      </c>
      <c r="T68" s="113">
        <f t="shared" si="24"/>
        <v>0</v>
      </c>
      <c r="U68" s="113">
        <f t="shared" si="25"/>
        <v>0</v>
      </c>
      <c r="V68" s="246">
        <v>10</v>
      </c>
      <c r="W68" s="6">
        <v>90</v>
      </c>
      <c r="X68" s="246">
        <v>13</v>
      </c>
      <c r="Y68" s="6">
        <v>87</v>
      </c>
      <c r="Z68" s="6">
        <v>0</v>
      </c>
      <c r="AA68" s="246">
        <v>0</v>
      </c>
      <c r="AB68" s="6">
        <v>0</v>
      </c>
      <c r="AC68" s="6">
        <v>0</v>
      </c>
      <c r="AD68" s="246">
        <v>0</v>
      </c>
      <c r="AE68" s="6">
        <v>0</v>
      </c>
      <c r="AF68" s="247">
        <v>0</v>
      </c>
      <c r="AG68" s="6" t="s">
        <v>69</v>
      </c>
      <c r="AI68" s="246" t="s">
        <v>73</v>
      </c>
      <c r="AJ68" s="246"/>
      <c r="AK68" s="6">
        <v>10</v>
      </c>
      <c r="AL68" s="6">
        <v>90</v>
      </c>
      <c r="AM68" s="6">
        <v>0</v>
      </c>
      <c r="AN68" s="6">
        <v>0</v>
      </c>
      <c r="AO68" s="246">
        <f t="shared" si="21"/>
        <v>3.3820000000000001</v>
      </c>
      <c r="AP68" s="6">
        <f t="shared" si="26"/>
        <v>3.2975000000000003</v>
      </c>
      <c r="AQ68" s="6">
        <v>1</v>
      </c>
      <c r="AR68" s="6">
        <v>1</v>
      </c>
      <c r="AS68" s="246"/>
      <c r="AT68" s="6">
        <f t="shared" si="6"/>
        <v>2.9568302779420459</v>
      </c>
      <c r="AU68" s="6">
        <f t="shared" si="7"/>
        <v>27.293404094010612</v>
      </c>
      <c r="AV68" s="6">
        <f t="shared" si="8"/>
        <v>0</v>
      </c>
      <c r="AW68" s="247">
        <f t="shared" si="9"/>
        <v>0</v>
      </c>
    </row>
    <row r="69" spans="1:49" s="6" customFormat="1">
      <c r="A69" s="6" t="s">
        <v>1976</v>
      </c>
      <c r="B69" s="6" t="s">
        <v>1889</v>
      </c>
      <c r="D69" s="6" t="s">
        <v>642</v>
      </c>
      <c r="E69" s="6" t="s">
        <v>643</v>
      </c>
      <c r="G69" s="6" t="s">
        <v>1876</v>
      </c>
      <c r="H69" s="6" t="s">
        <v>1877</v>
      </c>
      <c r="J69" s="6">
        <v>45</v>
      </c>
      <c r="K69" s="6">
        <v>63</v>
      </c>
      <c r="Q69" s="6" t="s">
        <v>1878</v>
      </c>
      <c r="R69" s="243">
        <f t="shared" si="22"/>
        <v>74.522580888169045</v>
      </c>
      <c r="S69" s="113">
        <f t="shared" si="23"/>
        <v>25.477419111830951</v>
      </c>
      <c r="T69" s="113">
        <f t="shared" si="24"/>
        <v>0</v>
      </c>
      <c r="U69" s="113">
        <f t="shared" si="25"/>
        <v>0</v>
      </c>
      <c r="V69" s="246">
        <v>10</v>
      </c>
      <c r="W69" s="6">
        <v>90</v>
      </c>
      <c r="X69" s="246">
        <v>13</v>
      </c>
      <c r="Y69" s="6">
        <v>87</v>
      </c>
      <c r="Z69" s="6">
        <v>0</v>
      </c>
      <c r="AA69" s="246">
        <v>0</v>
      </c>
      <c r="AB69" s="6">
        <v>0</v>
      </c>
      <c r="AC69" s="6">
        <v>0</v>
      </c>
      <c r="AD69" s="246">
        <v>0</v>
      </c>
      <c r="AE69" s="6">
        <v>0</v>
      </c>
      <c r="AF69" s="247">
        <v>0</v>
      </c>
      <c r="AG69" s="6" t="s">
        <v>69</v>
      </c>
      <c r="AI69" s="246" t="s">
        <v>73</v>
      </c>
      <c r="AJ69" s="246"/>
      <c r="AK69" s="6">
        <v>75</v>
      </c>
      <c r="AL69" s="6">
        <v>25</v>
      </c>
      <c r="AM69" s="6">
        <v>0</v>
      </c>
      <c r="AN69" s="6">
        <v>0</v>
      </c>
      <c r="AO69" s="246">
        <f t="shared" si="21"/>
        <v>3.3820000000000001</v>
      </c>
      <c r="AP69" s="6">
        <f t="shared" si="26"/>
        <v>3.2975000000000003</v>
      </c>
      <c r="AQ69" s="6">
        <v>1</v>
      </c>
      <c r="AR69" s="6">
        <v>1</v>
      </c>
      <c r="AS69" s="246"/>
      <c r="AT69" s="6">
        <f t="shared" ref="AT69:AT70" si="27">AK69/AO69</f>
        <v>22.176227084565344</v>
      </c>
      <c r="AU69" s="6">
        <f t="shared" ref="AU69:AU70" si="28">AL69/AP69</f>
        <v>7.5815011372251702</v>
      </c>
      <c r="AV69" s="6">
        <f t="shared" ref="AV69:AV70" si="29">AM69/AQ69</f>
        <v>0</v>
      </c>
      <c r="AW69" s="247">
        <f t="shared" ref="AW69:AW70" si="30">AN69/AR69</f>
        <v>0</v>
      </c>
    </row>
    <row r="70" spans="1:49" s="6" customFormat="1">
      <c r="A70" s="6" t="s">
        <v>1977</v>
      </c>
      <c r="B70" s="6" t="s">
        <v>1978</v>
      </c>
      <c r="D70" s="6" t="s">
        <v>642</v>
      </c>
      <c r="E70" s="6" t="s">
        <v>643</v>
      </c>
      <c r="G70" s="6" t="s">
        <v>1876</v>
      </c>
      <c r="H70" s="6" t="s">
        <v>1877</v>
      </c>
      <c r="J70" s="6">
        <v>45</v>
      </c>
      <c r="K70" s="6">
        <v>63</v>
      </c>
      <c r="Q70" s="6" t="s">
        <v>1878</v>
      </c>
      <c r="R70" s="243">
        <f t="shared" si="22"/>
        <v>24.528582586380036</v>
      </c>
      <c r="S70" s="113">
        <f t="shared" si="23"/>
        <v>75.47141741361996</v>
      </c>
      <c r="T70" s="113">
        <f t="shared" si="24"/>
        <v>0</v>
      </c>
      <c r="U70" s="113">
        <f t="shared" si="25"/>
        <v>0</v>
      </c>
      <c r="V70" s="246">
        <v>10</v>
      </c>
      <c r="W70" s="6">
        <v>90</v>
      </c>
      <c r="X70" s="246">
        <v>13</v>
      </c>
      <c r="Y70" s="6">
        <v>87</v>
      </c>
      <c r="Z70" s="6">
        <v>0</v>
      </c>
      <c r="AA70" s="246">
        <v>0</v>
      </c>
      <c r="AB70" s="6">
        <v>0</v>
      </c>
      <c r="AC70" s="6">
        <v>0</v>
      </c>
      <c r="AD70" s="246">
        <v>0</v>
      </c>
      <c r="AE70" s="6">
        <v>0</v>
      </c>
      <c r="AF70" s="247">
        <v>0</v>
      </c>
      <c r="AG70" s="6" t="s">
        <v>69</v>
      </c>
      <c r="AI70" s="246" t="s">
        <v>73</v>
      </c>
      <c r="AJ70" s="246"/>
      <c r="AK70" s="6">
        <v>25</v>
      </c>
      <c r="AL70" s="6">
        <v>75</v>
      </c>
      <c r="AM70" s="6">
        <v>0</v>
      </c>
      <c r="AN70" s="6">
        <v>0</v>
      </c>
      <c r="AO70" s="246">
        <f t="shared" si="21"/>
        <v>3.3820000000000001</v>
      </c>
      <c r="AP70" s="6">
        <f t="shared" si="26"/>
        <v>3.2975000000000003</v>
      </c>
      <c r="AQ70" s="6">
        <v>1</v>
      </c>
      <c r="AR70" s="6">
        <v>1</v>
      </c>
      <c r="AS70" s="246"/>
      <c r="AT70" s="6">
        <f t="shared" si="27"/>
        <v>7.392075694855115</v>
      </c>
      <c r="AU70" s="6">
        <f t="shared" si="28"/>
        <v>22.74450341167551</v>
      </c>
      <c r="AV70" s="6">
        <f t="shared" si="29"/>
        <v>0</v>
      </c>
      <c r="AW70" s="247">
        <f t="shared" si="30"/>
        <v>0</v>
      </c>
    </row>
    <row r="71" spans="1:49" s="6" customFormat="1">
      <c r="A71" s="6" t="s">
        <v>1979</v>
      </c>
      <c r="B71" s="6" t="s">
        <v>1979</v>
      </c>
      <c r="D71" s="6" t="s">
        <v>642</v>
      </c>
      <c r="E71" s="6" t="s">
        <v>643</v>
      </c>
      <c r="G71" s="6" t="s">
        <v>755</v>
      </c>
      <c r="H71" s="6" t="s">
        <v>1183</v>
      </c>
      <c r="J71" s="6">
        <v>0</v>
      </c>
      <c r="K71" s="6">
        <v>45</v>
      </c>
      <c r="L71" s="6" t="s">
        <v>64</v>
      </c>
      <c r="M71" s="6" t="s">
        <v>26</v>
      </c>
      <c r="N71" s="6" t="s">
        <v>1980</v>
      </c>
      <c r="O71" s="6" t="s">
        <v>957</v>
      </c>
      <c r="P71" s="6">
        <v>398</v>
      </c>
      <c r="Q71" s="6" t="s">
        <v>1981</v>
      </c>
      <c r="R71" s="244">
        <v>0</v>
      </c>
      <c r="S71" s="245">
        <v>0</v>
      </c>
      <c r="T71" s="245">
        <v>100</v>
      </c>
      <c r="U71" s="245">
        <v>0</v>
      </c>
      <c r="V71" s="240">
        <v>0</v>
      </c>
      <c r="W71" s="249">
        <v>0</v>
      </c>
      <c r="X71" s="240">
        <v>0</v>
      </c>
      <c r="Y71" s="249">
        <v>0</v>
      </c>
      <c r="Z71" s="249">
        <v>0</v>
      </c>
      <c r="AA71" s="240">
        <v>8.5</v>
      </c>
      <c r="AB71" s="249">
        <v>42.8</v>
      </c>
      <c r="AC71" s="249">
        <v>48.7</v>
      </c>
      <c r="AD71" s="240">
        <v>0</v>
      </c>
      <c r="AE71" s="249">
        <v>0</v>
      </c>
      <c r="AF71" s="248">
        <v>0</v>
      </c>
      <c r="AG71" s="6" t="s">
        <v>69</v>
      </c>
      <c r="AH71" s="6" t="s">
        <v>1982</v>
      </c>
      <c r="AI71" s="240"/>
      <c r="AJ71" s="240"/>
      <c r="AK71" s="249"/>
      <c r="AL71" s="249"/>
      <c r="AM71" s="249"/>
      <c r="AN71" s="249"/>
      <c r="AO71" s="240"/>
      <c r="AP71" s="249"/>
      <c r="AQ71" s="249"/>
      <c r="AR71" s="249"/>
      <c r="AS71" s="240"/>
      <c r="AT71" s="249"/>
      <c r="AU71" s="249"/>
      <c r="AV71" s="249"/>
      <c r="AW71" s="2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10"/>
  <sheetViews>
    <sheetView workbookViewId="0">
      <selection activeCell="S16" sqref="S16"/>
    </sheetView>
  </sheetViews>
  <sheetFormatPr defaultRowHeight="11.4"/>
  <cols>
    <col min="2" max="2" width="14.625" customWidth="1"/>
    <col min="5" max="5" width="12.375" customWidth="1"/>
    <col min="6" max="6" width="13" customWidth="1"/>
    <col min="9" max="9" width="15.625" customWidth="1"/>
    <col min="17" max="17" width="18.625" customWidth="1"/>
    <col min="18" max="18" width="15.25" customWidth="1"/>
    <col min="19" max="19" width="15.375" customWidth="1"/>
    <col min="20" max="20" width="16.75" customWidth="1"/>
    <col min="21" max="21" width="17.625" customWidth="1"/>
    <col min="23" max="23" width="18.375" customWidth="1"/>
    <col min="28" max="28" width="11.125" customWidth="1"/>
    <col min="33" max="33" width="11.25" customWidth="1"/>
    <col min="35" max="35" width="27.125" customWidth="1"/>
    <col min="36" max="36" width="15.375" customWidth="1"/>
    <col min="42" max="42" width="11.75" customWidth="1"/>
    <col min="43" max="43" width="11.125" customWidth="1"/>
    <col min="44" max="44" width="11.375" customWidth="1"/>
    <col min="45" max="45" width="18" customWidth="1"/>
  </cols>
  <sheetData>
    <row r="1" spans="1:57" ht="12">
      <c r="A1" s="6"/>
      <c r="B1" s="12"/>
      <c r="C1" s="13"/>
      <c r="D1" s="1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77" t="s">
        <v>0</v>
      </c>
      <c r="R1" s="178" t="s">
        <v>1</v>
      </c>
      <c r="S1" s="178" t="s">
        <v>2</v>
      </c>
      <c r="T1" s="178" t="s">
        <v>3</v>
      </c>
      <c r="U1" s="179" t="s">
        <v>4</v>
      </c>
      <c r="V1" s="180" t="s">
        <v>5</v>
      </c>
      <c r="W1" s="181" t="s">
        <v>6</v>
      </c>
      <c r="X1" s="182" t="s">
        <v>7</v>
      </c>
      <c r="Y1" s="182" t="s">
        <v>8</v>
      </c>
      <c r="Z1" s="182" t="s">
        <v>9</v>
      </c>
      <c r="AA1" s="183" t="s">
        <v>10</v>
      </c>
      <c r="AB1" s="183" t="s">
        <v>11</v>
      </c>
      <c r="AC1" s="183" t="s">
        <v>12</v>
      </c>
      <c r="AD1" s="182" t="s">
        <v>13</v>
      </c>
      <c r="AE1" s="184" t="s">
        <v>14</v>
      </c>
      <c r="AF1" s="8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spans="1:57">
      <c r="A2" s="6"/>
      <c r="B2" s="12"/>
      <c r="C2" s="13"/>
      <c r="D2" s="13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40"/>
      <c r="R2" s="171">
        <f>71.844</f>
        <v>71.843999999999994</v>
      </c>
      <c r="S2" s="171">
        <f>40.304</f>
        <v>40.304000000000002</v>
      </c>
      <c r="T2" s="171">
        <f>56.0774</f>
        <v>56.077399999999997</v>
      </c>
      <c r="U2" s="171">
        <f>61.9789/2</f>
        <v>30.989450000000001</v>
      </c>
      <c r="V2" s="171">
        <f>94.2/2</f>
        <v>47.1</v>
      </c>
      <c r="W2" s="241"/>
      <c r="X2" s="171">
        <f>4.39/100</f>
        <v>4.3899999999999995E-2</v>
      </c>
      <c r="Y2" s="171">
        <f>3.27/100</f>
        <v>3.27E-2</v>
      </c>
      <c r="Z2" s="171">
        <f>3.95/100</f>
        <v>3.95E-2</v>
      </c>
      <c r="AA2" s="171">
        <f>3.2/100</f>
        <v>3.2000000000000001E-2</v>
      </c>
      <c r="AB2" s="171">
        <f>2.9/100</f>
        <v>2.8999999999999998E-2</v>
      </c>
      <c r="AC2" s="171">
        <f>2.73/100</f>
        <v>2.7300000000000001E-2</v>
      </c>
      <c r="AD2" s="171">
        <f>2.62/100</f>
        <v>2.6200000000000001E-2</v>
      </c>
      <c r="AE2" s="242">
        <f>2.56/100</f>
        <v>2.5600000000000001E-2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21"/>
      <c r="BD2" s="21"/>
      <c r="BE2" s="21"/>
    </row>
    <row r="3" spans="1:57" s="262" customFormat="1" ht="48">
      <c r="A3" s="250" t="s">
        <v>15</v>
      </c>
      <c r="B3" s="251" t="s">
        <v>16</v>
      </c>
      <c r="C3" s="250" t="s">
        <v>17</v>
      </c>
      <c r="D3" s="250" t="s">
        <v>18</v>
      </c>
      <c r="E3" s="250" t="s">
        <v>19</v>
      </c>
      <c r="F3" s="250" t="s">
        <v>20</v>
      </c>
      <c r="G3" s="250" t="s">
        <v>21</v>
      </c>
      <c r="H3" s="250" t="s">
        <v>22</v>
      </c>
      <c r="I3" s="250" t="s">
        <v>23</v>
      </c>
      <c r="J3" s="250" t="s">
        <v>24</v>
      </c>
      <c r="K3" s="250" t="s">
        <v>25</v>
      </c>
      <c r="L3" s="250" t="s">
        <v>26</v>
      </c>
      <c r="M3" s="250" t="s">
        <v>27</v>
      </c>
      <c r="N3" s="250" t="s">
        <v>28</v>
      </c>
      <c r="O3" s="250" t="s">
        <v>29</v>
      </c>
      <c r="P3" s="250" t="s">
        <v>30</v>
      </c>
      <c r="Q3" s="250" t="s">
        <v>31</v>
      </c>
      <c r="R3" s="252" t="s">
        <v>32</v>
      </c>
      <c r="S3" s="252" t="s">
        <v>33</v>
      </c>
      <c r="T3" s="252" t="s">
        <v>34</v>
      </c>
      <c r="U3" s="252" t="s">
        <v>35</v>
      </c>
      <c r="V3" s="253" t="s">
        <v>36</v>
      </c>
      <c r="W3" s="261" t="s">
        <v>37</v>
      </c>
      <c r="X3" s="252" t="s">
        <v>38</v>
      </c>
      <c r="Y3" s="260" t="s">
        <v>39</v>
      </c>
      <c r="Z3" s="260" t="s">
        <v>40</v>
      </c>
      <c r="AA3" s="253" t="s">
        <v>38</v>
      </c>
      <c r="AB3" s="261" t="s">
        <v>39</v>
      </c>
      <c r="AC3" s="261" t="s">
        <v>40</v>
      </c>
      <c r="AD3" s="252" t="s">
        <v>41</v>
      </c>
      <c r="AE3" s="260" t="s">
        <v>42</v>
      </c>
      <c r="AF3" s="257" t="s">
        <v>43</v>
      </c>
      <c r="AG3" s="250" t="s">
        <v>44</v>
      </c>
      <c r="AH3" s="250" t="s">
        <v>45</v>
      </c>
      <c r="AI3" s="252" t="s">
        <v>46</v>
      </c>
      <c r="AJ3" s="252" t="s">
        <v>47</v>
      </c>
      <c r="AK3" s="260" t="s">
        <v>48</v>
      </c>
      <c r="AL3" s="260" t="s">
        <v>49</v>
      </c>
      <c r="AM3" s="260" t="s">
        <v>50</v>
      </c>
      <c r="AN3" s="257" t="s">
        <v>51</v>
      </c>
      <c r="AO3" s="260" t="s">
        <v>52</v>
      </c>
      <c r="AP3" s="260" t="s">
        <v>53</v>
      </c>
      <c r="AQ3" s="260" t="s">
        <v>54</v>
      </c>
      <c r="AR3" s="260" t="s">
        <v>55</v>
      </c>
      <c r="AS3" s="252" t="s">
        <v>56</v>
      </c>
      <c r="AT3" s="260" t="s">
        <v>48</v>
      </c>
      <c r="AU3" s="260" t="s">
        <v>49</v>
      </c>
      <c r="AV3" s="260" t="s">
        <v>50</v>
      </c>
      <c r="AW3" s="257" t="s">
        <v>51</v>
      </c>
      <c r="AX3" s="258"/>
      <c r="AY3" s="258"/>
      <c r="AZ3" s="258"/>
      <c r="BA3" s="258"/>
      <c r="BB3" s="258"/>
      <c r="BC3" s="258"/>
      <c r="BD3" s="258"/>
      <c r="BE3" s="258"/>
    </row>
    <row r="4" spans="1:57" s="6" customFormat="1">
      <c r="A4" s="6" t="s">
        <v>1983</v>
      </c>
      <c r="B4" s="6" t="s">
        <v>1984</v>
      </c>
      <c r="C4" s="6" t="s">
        <v>1985</v>
      </c>
      <c r="D4" s="6" t="s">
        <v>642</v>
      </c>
      <c r="E4" s="6" t="s">
        <v>643</v>
      </c>
      <c r="G4" s="6" t="s">
        <v>1876</v>
      </c>
      <c r="H4" s="6" t="s">
        <v>1877</v>
      </c>
      <c r="J4" s="6">
        <v>106</v>
      </c>
      <c r="K4" s="6">
        <v>250</v>
      </c>
      <c r="R4" s="243">
        <v>100</v>
      </c>
      <c r="S4" s="113">
        <v>0</v>
      </c>
      <c r="T4" s="113">
        <v>0</v>
      </c>
      <c r="U4" s="113">
        <v>0</v>
      </c>
      <c r="V4" s="246">
        <v>10</v>
      </c>
      <c r="W4" s="6">
        <v>90</v>
      </c>
      <c r="X4" s="246">
        <v>0</v>
      </c>
      <c r="Y4" s="6">
        <v>0</v>
      </c>
      <c r="Z4" s="6">
        <v>0</v>
      </c>
      <c r="AA4" s="246">
        <v>0</v>
      </c>
      <c r="AB4" s="6">
        <v>0</v>
      </c>
      <c r="AC4" s="6">
        <v>0</v>
      </c>
      <c r="AD4" s="246">
        <v>0</v>
      </c>
      <c r="AE4" s="6">
        <v>0</v>
      </c>
      <c r="AF4" s="247">
        <v>0</v>
      </c>
      <c r="AG4" s="6" t="s">
        <v>69</v>
      </c>
      <c r="AI4" s="246"/>
      <c r="AJ4" s="246"/>
      <c r="AO4" s="246"/>
      <c r="AS4" s="246"/>
      <c r="AW4" s="247"/>
    </row>
    <row r="5" spans="1:57" s="6" customFormat="1">
      <c r="A5" s="6" t="s">
        <v>1986</v>
      </c>
      <c r="B5" s="6" t="s">
        <v>1987</v>
      </c>
      <c r="C5" s="6" t="s">
        <v>1985</v>
      </c>
      <c r="D5" s="6" t="s">
        <v>642</v>
      </c>
      <c r="E5" s="6" t="s">
        <v>643</v>
      </c>
      <c r="G5" s="6" t="s">
        <v>1876</v>
      </c>
      <c r="H5" s="6" t="s">
        <v>1877</v>
      </c>
      <c r="J5" s="6">
        <v>106</v>
      </c>
      <c r="K5" s="6">
        <v>250</v>
      </c>
      <c r="Q5" s="6" t="s">
        <v>1988</v>
      </c>
      <c r="R5" s="243">
        <f>AT5/SUMIF($AT5:$AW5, "&lt;&gt;#VALUE!")*100</f>
        <v>90.171318967145695</v>
      </c>
      <c r="S5" s="113">
        <f>AU5/SUMIF($AT5:$AW5, "&lt;&gt;#VALUE!")*100</f>
        <v>9.8286810328543002</v>
      </c>
      <c r="T5" s="113">
        <f>AV5/SUMIF($AT5:$AW5, "&lt;&gt;#VALUE!")*100</f>
        <v>0</v>
      </c>
      <c r="U5" s="113">
        <f>AW5/SUMIF($AT5:$AW5, "&lt;&gt;#VALUE!")*100</f>
        <v>0</v>
      </c>
      <c r="V5" s="246">
        <v>10</v>
      </c>
      <c r="W5" s="6">
        <v>90</v>
      </c>
      <c r="X5" s="246">
        <v>33</v>
      </c>
      <c r="Y5" s="6">
        <v>67</v>
      </c>
      <c r="Z5" s="6">
        <v>0</v>
      </c>
      <c r="AA5" s="246">
        <v>0</v>
      </c>
      <c r="AB5" s="6">
        <v>0</v>
      </c>
      <c r="AC5" s="6">
        <v>0</v>
      </c>
      <c r="AD5" s="246">
        <v>0</v>
      </c>
      <c r="AE5" s="6">
        <v>0</v>
      </c>
      <c r="AF5" s="247">
        <v>0</v>
      </c>
      <c r="AG5" s="6" t="s">
        <v>69</v>
      </c>
      <c r="AI5" s="246" t="s">
        <v>73</v>
      </c>
      <c r="AJ5" s="246"/>
      <c r="AK5" s="6">
        <v>90</v>
      </c>
      <c r="AL5" s="6">
        <v>10</v>
      </c>
      <c r="AM5" s="6">
        <v>0</v>
      </c>
      <c r="AN5" s="6">
        <v>0</v>
      </c>
      <c r="AO5" s="246">
        <f>V5*$X$2 + W5*$Y$2</f>
        <v>3.3820000000000001</v>
      </c>
      <c r="AP5" s="6">
        <f>X5*$Z$2+Y5*$AA$2+Z5*$AB$2</f>
        <v>3.4475000000000002</v>
      </c>
      <c r="AQ5" s="6">
        <v>1</v>
      </c>
      <c r="AR5" s="6">
        <v>1</v>
      </c>
      <c r="AS5" s="246"/>
      <c r="AT5" s="6">
        <f>AK5/AO5</f>
        <v>26.611472501478413</v>
      </c>
      <c r="AU5" s="6">
        <f t="shared" ref="AU5" si="0">AL5/AP5</f>
        <v>2.9006526468455403</v>
      </c>
      <c r="AV5" s="6">
        <f t="shared" ref="AV5" si="1">AM5/AQ5</f>
        <v>0</v>
      </c>
      <c r="AW5" s="247">
        <f t="shared" ref="AW5" si="2">AN5/AR5</f>
        <v>0</v>
      </c>
    </row>
    <row r="6" spans="1:57" s="6" customFormat="1">
      <c r="A6" s="6" t="s">
        <v>1989</v>
      </c>
      <c r="B6" s="6" t="s">
        <v>1990</v>
      </c>
      <c r="C6" s="6" t="s">
        <v>1985</v>
      </c>
      <c r="D6" s="6" t="s">
        <v>642</v>
      </c>
      <c r="E6" s="6" t="s">
        <v>643</v>
      </c>
      <c r="G6" s="6" t="s">
        <v>1876</v>
      </c>
      <c r="H6" s="6" t="s">
        <v>1877</v>
      </c>
      <c r="J6" s="6">
        <v>106</v>
      </c>
      <c r="K6" s="6">
        <v>250</v>
      </c>
      <c r="Q6" s="6" t="s">
        <v>1988</v>
      </c>
      <c r="R6" s="243">
        <f t="shared" ref="R6:R9" si="3">AT6/SUMIF($AT6:$AW6, "&lt;&gt;#VALUE!")*100</f>
        <v>75.357936536850161</v>
      </c>
      <c r="S6" s="113">
        <f t="shared" ref="S6:S9" si="4">AU6/SUMIF($AT6:$AW6, "&lt;&gt;#VALUE!")*100</f>
        <v>24.642063463149842</v>
      </c>
      <c r="T6" s="113">
        <f t="shared" ref="T6:T9" si="5">AV6/SUMIF($AT6:$AW6, "&lt;&gt;#VALUE!")*100</f>
        <v>0</v>
      </c>
      <c r="U6" s="113">
        <f t="shared" ref="U6:U9" si="6">AW6/SUMIF($AT6:$AW6, "&lt;&gt;#VALUE!")*100</f>
        <v>0</v>
      </c>
      <c r="V6" s="246">
        <v>10</v>
      </c>
      <c r="W6" s="6">
        <v>90</v>
      </c>
      <c r="X6" s="246">
        <v>33</v>
      </c>
      <c r="Y6" s="6">
        <v>67</v>
      </c>
      <c r="Z6" s="6">
        <v>0</v>
      </c>
      <c r="AA6" s="246">
        <v>0</v>
      </c>
      <c r="AB6" s="6">
        <v>0</v>
      </c>
      <c r="AC6" s="6">
        <v>0</v>
      </c>
      <c r="AD6" s="246">
        <v>0</v>
      </c>
      <c r="AE6" s="6">
        <v>0</v>
      </c>
      <c r="AF6" s="247">
        <v>0</v>
      </c>
      <c r="AG6" s="6" t="s">
        <v>69</v>
      </c>
      <c r="AI6" s="246" t="s">
        <v>73</v>
      </c>
      <c r="AJ6" s="246"/>
      <c r="AK6" s="6">
        <v>75</v>
      </c>
      <c r="AL6" s="6">
        <v>25</v>
      </c>
      <c r="AM6" s="6">
        <v>0</v>
      </c>
      <c r="AN6" s="6">
        <v>0</v>
      </c>
      <c r="AO6" s="246">
        <f t="shared" ref="AO6:AO9" si="7">V6*$X$2 + W6*$Y$2</f>
        <v>3.3820000000000001</v>
      </c>
      <c r="AP6" s="6">
        <f t="shared" ref="AP6:AP9" si="8">X6*$Z$2+Y6*$AA$2+Z6*$AB$2</f>
        <v>3.4475000000000002</v>
      </c>
      <c r="AQ6" s="6">
        <v>1</v>
      </c>
      <c r="AR6" s="6">
        <v>1</v>
      </c>
      <c r="AS6" s="246"/>
      <c r="AT6" s="6">
        <f t="shared" ref="AT6:AT9" si="9">AK6/AO6</f>
        <v>22.176227084565344</v>
      </c>
      <c r="AU6" s="6">
        <f t="shared" ref="AU6:AU9" si="10">AL6/AP6</f>
        <v>7.2516316171138504</v>
      </c>
      <c r="AV6" s="6">
        <f t="shared" ref="AV6:AV9" si="11">AM6/AQ6</f>
        <v>0</v>
      </c>
      <c r="AW6" s="247">
        <f t="shared" ref="AW6:AW9" si="12">AN6/AR6</f>
        <v>0</v>
      </c>
    </row>
    <row r="7" spans="1:57" s="6" customFormat="1">
      <c r="A7" s="6" t="s">
        <v>1991</v>
      </c>
      <c r="B7" s="6" t="s">
        <v>1992</v>
      </c>
      <c r="C7" s="6" t="s">
        <v>1985</v>
      </c>
      <c r="D7" s="6" t="s">
        <v>642</v>
      </c>
      <c r="E7" s="6" t="s">
        <v>643</v>
      </c>
      <c r="G7" s="6" t="s">
        <v>1876</v>
      </c>
      <c r="H7" s="6" t="s">
        <v>1877</v>
      </c>
      <c r="J7" s="6">
        <v>106</v>
      </c>
      <c r="K7" s="6">
        <v>250</v>
      </c>
      <c r="Q7" s="6" t="s">
        <v>1988</v>
      </c>
      <c r="R7" s="243">
        <f t="shared" si="3"/>
        <v>50.479537301412989</v>
      </c>
      <c r="S7" s="113">
        <f t="shared" si="4"/>
        <v>49.520462698587018</v>
      </c>
      <c r="T7" s="113">
        <f t="shared" si="5"/>
        <v>0</v>
      </c>
      <c r="U7" s="113">
        <f t="shared" si="6"/>
        <v>0</v>
      </c>
      <c r="V7" s="246">
        <v>10</v>
      </c>
      <c r="W7" s="6">
        <v>90</v>
      </c>
      <c r="X7" s="246">
        <v>33</v>
      </c>
      <c r="Y7" s="6">
        <v>67</v>
      </c>
      <c r="Z7" s="6">
        <v>0</v>
      </c>
      <c r="AA7" s="246">
        <v>0</v>
      </c>
      <c r="AB7" s="6">
        <v>0</v>
      </c>
      <c r="AC7" s="6">
        <v>0</v>
      </c>
      <c r="AD7" s="246">
        <v>0</v>
      </c>
      <c r="AE7" s="6">
        <v>0</v>
      </c>
      <c r="AF7" s="247">
        <v>0</v>
      </c>
      <c r="AG7" s="6" t="s">
        <v>69</v>
      </c>
      <c r="AI7" s="246" t="s">
        <v>73</v>
      </c>
      <c r="AJ7" s="246"/>
      <c r="AK7" s="6">
        <v>50</v>
      </c>
      <c r="AL7" s="6">
        <v>50</v>
      </c>
      <c r="AM7" s="6">
        <v>0</v>
      </c>
      <c r="AN7" s="6">
        <v>0</v>
      </c>
      <c r="AO7" s="246">
        <f t="shared" si="7"/>
        <v>3.3820000000000001</v>
      </c>
      <c r="AP7" s="6">
        <f t="shared" si="8"/>
        <v>3.4475000000000002</v>
      </c>
      <c r="AQ7" s="6">
        <v>1</v>
      </c>
      <c r="AR7" s="6">
        <v>1</v>
      </c>
      <c r="AS7" s="246"/>
      <c r="AT7" s="6">
        <f t="shared" si="9"/>
        <v>14.78415138971023</v>
      </c>
      <c r="AU7" s="6">
        <f t="shared" si="10"/>
        <v>14.503263234227701</v>
      </c>
      <c r="AV7" s="6">
        <f t="shared" si="11"/>
        <v>0</v>
      </c>
      <c r="AW7" s="247">
        <f t="shared" si="12"/>
        <v>0</v>
      </c>
    </row>
    <row r="8" spans="1:57" s="6" customFormat="1">
      <c r="A8" s="6" t="s">
        <v>1993</v>
      </c>
      <c r="B8" s="6" t="s">
        <v>1994</v>
      </c>
      <c r="C8" s="6" t="s">
        <v>1985</v>
      </c>
      <c r="D8" s="6" t="s">
        <v>642</v>
      </c>
      <c r="E8" s="6" t="s">
        <v>643</v>
      </c>
      <c r="G8" s="6" t="s">
        <v>1876</v>
      </c>
      <c r="H8" s="6" t="s">
        <v>1877</v>
      </c>
      <c r="J8" s="6">
        <v>106</v>
      </c>
      <c r="K8" s="6">
        <v>250</v>
      </c>
      <c r="Q8" s="6" t="s">
        <v>1988</v>
      </c>
      <c r="R8" s="243">
        <f t="shared" si="3"/>
        <v>25.361385956523335</v>
      </c>
      <c r="S8" s="113">
        <f t="shared" si="4"/>
        <v>74.638614043476665</v>
      </c>
      <c r="T8" s="113">
        <f t="shared" si="5"/>
        <v>0</v>
      </c>
      <c r="U8" s="113">
        <f t="shared" si="6"/>
        <v>0</v>
      </c>
      <c r="V8" s="246">
        <v>10</v>
      </c>
      <c r="W8" s="6">
        <v>90</v>
      </c>
      <c r="X8" s="246">
        <v>33</v>
      </c>
      <c r="Y8" s="6">
        <v>67</v>
      </c>
      <c r="Z8" s="6">
        <v>0</v>
      </c>
      <c r="AA8" s="246">
        <v>0</v>
      </c>
      <c r="AB8" s="6">
        <v>0</v>
      </c>
      <c r="AC8" s="6">
        <v>0</v>
      </c>
      <c r="AD8" s="246">
        <v>0</v>
      </c>
      <c r="AE8" s="6">
        <v>0</v>
      </c>
      <c r="AF8" s="247">
        <v>0</v>
      </c>
      <c r="AG8" s="6" t="s">
        <v>69</v>
      </c>
      <c r="AI8" s="246" t="s">
        <v>73</v>
      </c>
      <c r="AJ8" s="246"/>
      <c r="AK8" s="6">
        <v>25</v>
      </c>
      <c r="AL8" s="6">
        <v>75</v>
      </c>
      <c r="AM8" s="6">
        <v>0</v>
      </c>
      <c r="AN8" s="6">
        <v>0</v>
      </c>
      <c r="AO8" s="246">
        <f t="shared" si="7"/>
        <v>3.3820000000000001</v>
      </c>
      <c r="AP8" s="6">
        <f t="shared" si="8"/>
        <v>3.4475000000000002</v>
      </c>
      <c r="AQ8" s="6">
        <v>1</v>
      </c>
      <c r="AR8" s="6">
        <v>1</v>
      </c>
      <c r="AS8" s="246"/>
      <c r="AT8" s="6">
        <f t="shared" si="9"/>
        <v>7.392075694855115</v>
      </c>
      <c r="AU8" s="6">
        <f t="shared" si="10"/>
        <v>21.75489485134155</v>
      </c>
      <c r="AV8" s="6">
        <f t="shared" si="11"/>
        <v>0</v>
      </c>
      <c r="AW8" s="247">
        <f t="shared" si="12"/>
        <v>0</v>
      </c>
    </row>
    <row r="9" spans="1:57" s="6" customFormat="1">
      <c r="A9" s="6" t="s">
        <v>1995</v>
      </c>
      <c r="B9" s="6" t="s">
        <v>1996</v>
      </c>
      <c r="C9" s="6" t="s">
        <v>1985</v>
      </c>
      <c r="D9" s="6" t="s">
        <v>642</v>
      </c>
      <c r="E9" s="6" t="s">
        <v>643</v>
      </c>
      <c r="G9" s="6" t="s">
        <v>1876</v>
      </c>
      <c r="H9" s="6" t="s">
        <v>1877</v>
      </c>
      <c r="J9" s="6">
        <v>106</v>
      </c>
      <c r="K9" s="6">
        <v>250</v>
      </c>
      <c r="Q9" s="6" t="s">
        <v>1988</v>
      </c>
      <c r="R9" s="243">
        <f t="shared" si="3"/>
        <v>10.17396821649378</v>
      </c>
      <c r="S9" s="113">
        <f t="shared" si="4"/>
        <v>89.826031783506224</v>
      </c>
      <c r="T9" s="113">
        <f t="shared" si="5"/>
        <v>0</v>
      </c>
      <c r="U9" s="113">
        <f t="shared" si="6"/>
        <v>0</v>
      </c>
      <c r="V9" s="246">
        <v>10</v>
      </c>
      <c r="W9" s="6">
        <v>90</v>
      </c>
      <c r="X9" s="246">
        <v>33</v>
      </c>
      <c r="Y9" s="6">
        <v>67</v>
      </c>
      <c r="Z9" s="6">
        <v>0</v>
      </c>
      <c r="AA9" s="246">
        <v>0</v>
      </c>
      <c r="AB9" s="6">
        <v>0</v>
      </c>
      <c r="AC9" s="6">
        <v>0</v>
      </c>
      <c r="AD9" s="246">
        <v>0</v>
      </c>
      <c r="AE9" s="6">
        <v>0</v>
      </c>
      <c r="AF9" s="247">
        <v>0</v>
      </c>
      <c r="AG9" s="6" t="s">
        <v>69</v>
      </c>
      <c r="AI9" s="246" t="s">
        <v>73</v>
      </c>
      <c r="AJ9" s="246"/>
      <c r="AK9" s="6">
        <v>10</v>
      </c>
      <c r="AL9" s="6">
        <v>90</v>
      </c>
      <c r="AM9" s="6">
        <v>0</v>
      </c>
      <c r="AN9" s="6">
        <v>0</v>
      </c>
      <c r="AO9" s="246">
        <f t="shared" si="7"/>
        <v>3.3820000000000001</v>
      </c>
      <c r="AP9" s="6">
        <f t="shared" si="8"/>
        <v>3.4475000000000002</v>
      </c>
      <c r="AQ9" s="6">
        <v>1</v>
      </c>
      <c r="AR9" s="6">
        <v>1</v>
      </c>
      <c r="AS9" s="246"/>
      <c r="AT9" s="6">
        <f t="shared" si="9"/>
        <v>2.9568302779420459</v>
      </c>
      <c r="AU9" s="6">
        <f t="shared" si="10"/>
        <v>26.105873821609862</v>
      </c>
      <c r="AV9" s="6">
        <f t="shared" si="11"/>
        <v>0</v>
      </c>
      <c r="AW9" s="247">
        <f t="shared" si="12"/>
        <v>0</v>
      </c>
    </row>
    <row r="10" spans="1:57" s="6" customFormat="1">
      <c r="A10" s="6" t="s">
        <v>1997</v>
      </c>
      <c r="B10" s="6" t="s">
        <v>1998</v>
      </c>
      <c r="C10" s="6" t="s">
        <v>1985</v>
      </c>
      <c r="D10" s="6" t="s">
        <v>642</v>
      </c>
      <c r="E10" s="6" t="s">
        <v>643</v>
      </c>
      <c r="G10" s="6" t="s">
        <v>1876</v>
      </c>
      <c r="H10" s="6" t="s">
        <v>1877</v>
      </c>
      <c r="J10" s="6">
        <v>106</v>
      </c>
      <c r="K10" s="6">
        <v>250</v>
      </c>
      <c r="R10" s="244">
        <v>0</v>
      </c>
      <c r="S10" s="245">
        <v>100</v>
      </c>
      <c r="T10" s="245">
        <v>0</v>
      </c>
      <c r="U10" s="245">
        <v>0</v>
      </c>
      <c r="V10" s="240">
        <v>0</v>
      </c>
      <c r="W10" s="249">
        <v>0</v>
      </c>
      <c r="X10" s="240">
        <v>33</v>
      </c>
      <c r="Y10" s="249">
        <v>67</v>
      </c>
      <c r="Z10" s="249">
        <v>0</v>
      </c>
      <c r="AA10" s="240">
        <v>0</v>
      </c>
      <c r="AB10" s="249">
        <v>0</v>
      </c>
      <c r="AC10" s="249">
        <v>0</v>
      </c>
      <c r="AD10" s="240">
        <v>0</v>
      </c>
      <c r="AE10" s="249">
        <v>0</v>
      </c>
      <c r="AF10" s="248">
        <v>0</v>
      </c>
      <c r="AG10" s="6" t="s">
        <v>69</v>
      </c>
      <c r="AI10" s="240"/>
      <c r="AJ10" s="240"/>
      <c r="AK10" s="249"/>
      <c r="AL10" s="249"/>
      <c r="AM10" s="249"/>
      <c r="AN10" s="249"/>
      <c r="AO10" s="240"/>
      <c r="AP10" s="249"/>
      <c r="AQ10" s="249"/>
      <c r="AR10" s="249"/>
      <c r="AS10" s="240"/>
      <c r="AT10" s="249"/>
      <c r="AU10" s="249"/>
      <c r="AV10" s="249"/>
      <c r="AW10" s="2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08"/>
  <sheetViews>
    <sheetView topLeftCell="A738" workbookViewId="0">
      <selection activeCell="I739" sqref="I739"/>
    </sheetView>
  </sheetViews>
  <sheetFormatPr defaultRowHeight="11.4"/>
  <cols>
    <col min="2" max="2" width="17" customWidth="1"/>
    <col min="3" max="3" width="10.25" bestFit="1" customWidth="1"/>
    <col min="6" max="6" width="10.125" bestFit="1" customWidth="1"/>
    <col min="7" max="7" width="10.25" bestFit="1" customWidth="1"/>
    <col min="8" max="8" width="10.625" bestFit="1" customWidth="1"/>
    <col min="9" max="9" width="9.125" style="3"/>
    <col min="11" max="12" width="9.125" style="3"/>
    <col min="13" max="13" width="9.75" bestFit="1" customWidth="1"/>
    <col min="15" max="15" width="9.625" bestFit="1" customWidth="1"/>
    <col min="17" max="17" width="11" bestFit="1" customWidth="1"/>
    <col min="18" max="18" width="10.375" bestFit="1" customWidth="1"/>
    <col min="19" max="19" width="11" bestFit="1" customWidth="1"/>
    <col min="20" max="20" width="10.75" bestFit="1" customWidth="1"/>
    <col min="21" max="21" width="9.875" bestFit="1" customWidth="1"/>
    <col min="22" max="22" width="58.25" customWidth="1"/>
    <col min="23" max="23" width="55.25" customWidth="1"/>
  </cols>
  <sheetData>
    <row r="1" spans="1:23" ht="13.2">
      <c r="A1" s="1" t="s">
        <v>1999</v>
      </c>
      <c r="B1" s="1" t="s">
        <v>2000</v>
      </c>
      <c r="C1" s="1" t="s">
        <v>643</v>
      </c>
      <c r="D1" s="1" t="s">
        <v>2001</v>
      </c>
      <c r="E1" s="1" t="s">
        <v>2002</v>
      </c>
      <c r="F1" s="1" t="s">
        <v>2003</v>
      </c>
      <c r="G1" s="1" t="s">
        <v>2004</v>
      </c>
      <c r="H1" s="1" t="s">
        <v>2005</v>
      </c>
      <c r="I1" s="2" t="s">
        <v>2006</v>
      </c>
      <c r="J1" s="1" t="s">
        <v>2007</v>
      </c>
      <c r="K1" s="2" t="s">
        <v>2008</v>
      </c>
      <c r="L1" s="2" t="s">
        <v>2009</v>
      </c>
      <c r="M1" s="1" t="s">
        <v>2010</v>
      </c>
      <c r="N1" s="1" t="s">
        <v>2011</v>
      </c>
      <c r="O1" s="1" t="s">
        <v>2012</v>
      </c>
      <c r="P1" s="1" t="s">
        <v>2013</v>
      </c>
      <c r="Q1" s="1" t="s">
        <v>2014</v>
      </c>
      <c r="R1" s="1" t="s">
        <v>2015</v>
      </c>
      <c r="S1" s="1" t="s">
        <v>2016</v>
      </c>
      <c r="T1" s="1" t="s">
        <v>2017</v>
      </c>
      <c r="U1" s="1" t="s">
        <v>2018</v>
      </c>
      <c r="V1" s="1" t="s">
        <v>18</v>
      </c>
      <c r="W1" s="1" t="s">
        <v>31</v>
      </c>
    </row>
    <row r="2" spans="1:23" ht="13.2">
      <c r="A2" s="1">
        <v>1</v>
      </c>
      <c r="B2" s="1" t="s">
        <v>2019</v>
      </c>
      <c r="C2" s="1" t="s">
        <v>2020</v>
      </c>
      <c r="D2" s="1">
        <v>61.71</v>
      </c>
      <c r="E2" s="1">
        <v>0.34</v>
      </c>
      <c r="F2" s="1">
        <v>13.42</v>
      </c>
      <c r="G2" s="1">
        <v>0</v>
      </c>
      <c r="H2" s="1">
        <v>2.3199999999999998</v>
      </c>
      <c r="I2" s="2">
        <v>0</v>
      </c>
      <c r="J2" s="1">
        <v>0.09</v>
      </c>
      <c r="K2" s="2">
        <v>1.64</v>
      </c>
      <c r="L2" s="2">
        <v>7.36</v>
      </c>
      <c r="M2" s="1">
        <v>4.6100000000000003</v>
      </c>
      <c r="N2" s="1">
        <v>5.69</v>
      </c>
      <c r="O2" s="1">
        <v>0.19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/>
      <c r="W2" s="1" t="s">
        <v>2021</v>
      </c>
    </row>
    <row r="3" spans="1:23" ht="13.2">
      <c r="A3" s="1">
        <v>2</v>
      </c>
      <c r="B3" s="1" t="s">
        <v>2022</v>
      </c>
      <c r="C3" s="1" t="s">
        <v>2020</v>
      </c>
      <c r="D3" s="1">
        <v>78.06</v>
      </c>
      <c r="E3" s="1">
        <v>0.19</v>
      </c>
      <c r="F3" s="1">
        <v>9.8800000000000008</v>
      </c>
      <c r="G3" s="1">
        <v>0</v>
      </c>
      <c r="H3" s="1">
        <v>1.4</v>
      </c>
      <c r="I3" s="2">
        <v>0</v>
      </c>
      <c r="J3" s="1">
        <v>0.08</v>
      </c>
      <c r="K3" s="2">
        <v>0.46</v>
      </c>
      <c r="L3" s="2">
        <v>1.4</v>
      </c>
      <c r="M3" s="1">
        <v>3.96</v>
      </c>
      <c r="N3" s="1">
        <v>4.38</v>
      </c>
      <c r="O3" s="1">
        <v>0.03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/>
      <c r="W3" s="1" t="s">
        <v>2023</v>
      </c>
    </row>
    <row r="4" spans="1:23" ht="13.2">
      <c r="A4" s="1">
        <v>3</v>
      </c>
      <c r="B4" s="1" t="s">
        <v>2024</v>
      </c>
      <c r="C4" s="1" t="s">
        <v>2020</v>
      </c>
      <c r="D4" s="1">
        <v>67.37</v>
      </c>
      <c r="E4" s="1">
        <v>0.57999999999999996</v>
      </c>
      <c r="F4" s="1">
        <v>14.23</v>
      </c>
      <c r="G4" s="1">
        <v>0</v>
      </c>
      <c r="H4" s="1">
        <v>6.67</v>
      </c>
      <c r="I4" s="2">
        <v>0</v>
      </c>
      <c r="J4" s="1">
        <v>0.09</v>
      </c>
      <c r="K4" s="2">
        <v>0.27</v>
      </c>
      <c r="L4" s="2">
        <v>0.82</v>
      </c>
      <c r="M4" s="1">
        <v>3.7</v>
      </c>
      <c r="N4" s="1">
        <v>5.83</v>
      </c>
      <c r="O4" s="1">
        <v>0.17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/>
      <c r="W4" s="1" t="s">
        <v>2025</v>
      </c>
    </row>
    <row r="5" spans="1:23" ht="13.2">
      <c r="A5" s="1">
        <v>4</v>
      </c>
      <c r="B5" s="1" t="s">
        <v>1863</v>
      </c>
      <c r="C5" s="1" t="s">
        <v>2026</v>
      </c>
      <c r="D5" s="1">
        <v>40.64</v>
      </c>
      <c r="E5" s="1">
        <v>0</v>
      </c>
      <c r="F5" s="1">
        <v>0</v>
      </c>
      <c r="G5" s="1">
        <v>0.01</v>
      </c>
      <c r="H5" s="1">
        <v>0.59</v>
      </c>
      <c r="I5" s="2">
        <v>9.25</v>
      </c>
      <c r="J5" s="1">
        <v>0.09</v>
      </c>
      <c r="K5" s="2">
        <v>49.13</v>
      </c>
      <c r="L5" s="2">
        <v>7.0000000000000007E-2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/>
      <c r="W5" s="1" t="s">
        <v>2027</v>
      </c>
    </row>
    <row r="6" spans="1:23" ht="13.2">
      <c r="A6" s="1">
        <v>5</v>
      </c>
      <c r="B6" s="1" t="s">
        <v>1798</v>
      </c>
      <c r="C6" s="1" t="s">
        <v>2020</v>
      </c>
      <c r="D6" s="1">
        <v>41.72</v>
      </c>
      <c r="E6" s="1">
        <v>0</v>
      </c>
      <c r="F6" s="1">
        <v>0</v>
      </c>
      <c r="G6" s="1">
        <v>0</v>
      </c>
      <c r="H6" s="1">
        <v>0</v>
      </c>
      <c r="I6" s="2">
        <v>3.12</v>
      </c>
      <c r="J6" s="1">
        <v>0.19</v>
      </c>
      <c r="K6" s="2">
        <v>54.65</v>
      </c>
      <c r="L6" s="2">
        <v>0.63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/>
      <c r="W6" s="1" t="s">
        <v>2028</v>
      </c>
    </row>
    <row r="7" spans="1:23" ht="13.2">
      <c r="A7" s="1">
        <v>6</v>
      </c>
      <c r="B7" s="1" t="s">
        <v>1804</v>
      </c>
      <c r="C7" s="1" t="s">
        <v>2026</v>
      </c>
      <c r="D7" s="1">
        <v>40.42</v>
      </c>
      <c r="E7" s="1">
        <v>0</v>
      </c>
      <c r="F7" s="1">
        <v>0.03</v>
      </c>
      <c r="G7" s="1">
        <v>0.13</v>
      </c>
      <c r="H7" s="1">
        <v>0</v>
      </c>
      <c r="I7" s="2">
        <v>11.11</v>
      </c>
      <c r="J7" s="1">
        <v>0.15</v>
      </c>
      <c r="K7" s="2">
        <v>48.25</v>
      </c>
      <c r="L7" s="2">
        <v>0.19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/>
      <c r="W7" s="1" t="s">
        <v>2029</v>
      </c>
    </row>
    <row r="8" spans="1:23" ht="13.2">
      <c r="A8" s="1">
        <v>7</v>
      </c>
      <c r="B8" s="1" t="s">
        <v>1810</v>
      </c>
      <c r="C8" s="1" t="s">
        <v>2026</v>
      </c>
      <c r="D8" s="1">
        <v>29.78</v>
      </c>
      <c r="E8" s="1">
        <v>0</v>
      </c>
      <c r="F8" s="1">
        <v>0</v>
      </c>
      <c r="G8" s="1">
        <v>0</v>
      </c>
      <c r="H8" s="1">
        <v>0</v>
      </c>
      <c r="I8" s="2">
        <v>66.48</v>
      </c>
      <c r="J8" s="1">
        <v>2.14</v>
      </c>
      <c r="K8" s="2">
        <v>0.05</v>
      </c>
      <c r="L8" s="2">
        <v>0.05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/>
      <c r="W8" s="1" t="s">
        <v>2030</v>
      </c>
    </row>
    <row r="9" spans="1:23" ht="13.2">
      <c r="A9" s="1">
        <v>8</v>
      </c>
      <c r="B9" s="1" t="s">
        <v>1817</v>
      </c>
      <c r="C9" s="1" t="s">
        <v>2026</v>
      </c>
      <c r="D9" s="1">
        <v>40.950000000000003</v>
      </c>
      <c r="E9" s="1">
        <v>0</v>
      </c>
      <c r="F9" s="1">
        <v>0</v>
      </c>
      <c r="G9" s="1">
        <v>0</v>
      </c>
      <c r="H9" s="1">
        <v>0</v>
      </c>
      <c r="I9" s="2">
        <v>8.0500000000000007</v>
      </c>
      <c r="J9" s="1">
        <v>0.1</v>
      </c>
      <c r="K9" s="2">
        <v>50.83</v>
      </c>
      <c r="L9" s="2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/>
      <c r="W9" s="1" t="s">
        <v>2031</v>
      </c>
    </row>
    <row r="10" spans="1:23" ht="13.2">
      <c r="A10" s="1">
        <v>9</v>
      </c>
      <c r="B10" s="1" t="s">
        <v>1823</v>
      </c>
      <c r="C10" s="4" t="s">
        <v>2026</v>
      </c>
      <c r="D10" s="1">
        <v>36.15</v>
      </c>
      <c r="E10" s="1">
        <v>0.03</v>
      </c>
      <c r="F10" s="1">
        <v>0</v>
      </c>
      <c r="G10" s="1">
        <v>0</v>
      </c>
      <c r="H10" s="1">
        <v>0</v>
      </c>
      <c r="I10" s="2">
        <v>34.97</v>
      </c>
      <c r="J10" s="1">
        <v>0.47</v>
      </c>
      <c r="K10" s="2">
        <v>28.86</v>
      </c>
      <c r="L10" s="2">
        <v>0.03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/>
      <c r="W10" s="1" t="s">
        <v>2032</v>
      </c>
    </row>
    <row r="11" spans="1:23" ht="13.2">
      <c r="A11" s="1">
        <v>10</v>
      </c>
      <c r="B11" s="1" t="s">
        <v>1829</v>
      </c>
      <c r="C11" s="1" t="s">
        <v>2026</v>
      </c>
      <c r="D11" s="1">
        <v>40.14</v>
      </c>
      <c r="E11" s="1">
        <v>0.01</v>
      </c>
      <c r="F11" s="1">
        <v>0</v>
      </c>
      <c r="G11" s="1">
        <v>0</v>
      </c>
      <c r="H11" s="1">
        <v>0</v>
      </c>
      <c r="I11" s="2">
        <v>13.36</v>
      </c>
      <c r="J11" s="1">
        <v>0.19</v>
      </c>
      <c r="K11" s="2">
        <v>45.55</v>
      </c>
      <c r="L11" s="2">
        <v>0.03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/>
      <c r="W11" s="1" t="s">
        <v>2033</v>
      </c>
    </row>
    <row r="12" spans="1:23" ht="13.2">
      <c r="A12" s="1">
        <v>11</v>
      </c>
      <c r="B12" s="1" t="s">
        <v>1522</v>
      </c>
      <c r="C12" s="1" t="s">
        <v>2034</v>
      </c>
      <c r="D12" s="1">
        <v>50.33</v>
      </c>
      <c r="E12" s="1">
        <v>0.41</v>
      </c>
      <c r="F12" s="1">
        <v>5.46</v>
      </c>
      <c r="G12" s="1">
        <v>0.11</v>
      </c>
      <c r="H12" s="1">
        <v>1.43</v>
      </c>
      <c r="I12" s="2">
        <v>17.3</v>
      </c>
      <c r="J12" s="1">
        <v>0.28999999999999998</v>
      </c>
      <c r="K12" s="2">
        <v>23.58</v>
      </c>
      <c r="L12" s="2">
        <v>1.59</v>
      </c>
      <c r="M12" s="1">
        <v>0.05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/>
      <c r="W12" s="1" t="s">
        <v>2035</v>
      </c>
    </row>
    <row r="13" spans="1:23" ht="13.2">
      <c r="A13" s="1">
        <v>12</v>
      </c>
      <c r="B13" s="1" t="s">
        <v>1238</v>
      </c>
      <c r="C13" s="1" t="s">
        <v>2034</v>
      </c>
      <c r="D13" s="1">
        <v>49.99</v>
      </c>
      <c r="E13" s="1">
        <v>0.53</v>
      </c>
      <c r="F13" s="1">
        <v>6.21</v>
      </c>
      <c r="G13" s="1">
        <v>0.13</v>
      </c>
      <c r="H13" s="1">
        <v>0.57999999999999996</v>
      </c>
      <c r="I13" s="2">
        <v>16.559999999999999</v>
      </c>
      <c r="J13" s="1">
        <v>0.26</v>
      </c>
      <c r="K13" s="2">
        <v>22.31</v>
      </c>
      <c r="L13" s="2">
        <v>3.99</v>
      </c>
      <c r="M13" s="1">
        <v>0.06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/>
      <c r="W13" s="1" t="s">
        <v>2036</v>
      </c>
    </row>
    <row r="14" spans="1:23" ht="13.2">
      <c r="A14" s="1">
        <v>13</v>
      </c>
      <c r="B14" s="1" t="s">
        <v>2037</v>
      </c>
      <c r="C14" s="1" t="s">
        <v>2034</v>
      </c>
      <c r="D14" s="1">
        <v>53.54</v>
      </c>
      <c r="E14" s="1">
        <v>0.03</v>
      </c>
      <c r="F14" s="1">
        <v>1.54</v>
      </c>
      <c r="G14" s="1">
        <v>7.0000000000000007E-2</v>
      </c>
      <c r="H14" s="1">
        <v>1.02</v>
      </c>
      <c r="I14" s="2">
        <v>16.170000000000002</v>
      </c>
      <c r="J14" s="1">
        <v>0.44</v>
      </c>
      <c r="K14" s="2">
        <v>27.53</v>
      </c>
      <c r="L14" s="2">
        <v>0.35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/>
      <c r="W14" s="1" t="s">
        <v>2038</v>
      </c>
    </row>
    <row r="15" spans="1:23" ht="13.2">
      <c r="A15" s="1">
        <v>14</v>
      </c>
      <c r="B15" s="1" t="s">
        <v>1244</v>
      </c>
      <c r="C15" s="1" t="s">
        <v>2034</v>
      </c>
      <c r="D15" s="1">
        <v>52.07</v>
      </c>
      <c r="E15" s="1">
        <v>0.21</v>
      </c>
      <c r="F15" s="1">
        <v>6.34</v>
      </c>
      <c r="G15" s="1">
        <v>1.39</v>
      </c>
      <c r="H15" s="1">
        <v>0.01</v>
      </c>
      <c r="I15" s="2">
        <v>3.25</v>
      </c>
      <c r="J15" s="1">
        <v>0.1</v>
      </c>
      <c r="K15" s="2">
        <v>16.420000000000002</v>
      </c>
      <c r="L15" s="2">
        <v>19.38</v>
      </c>
      <c r="M15" s="1">
        <v>1.31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/>
      <c r="W15" s="1" t="s">
        <v>2039</v>
      </c>
    </row>
    <row r="16" spans="1:23" ht="13.2">
      <c r="A16" s="1">
        <v>15</v>
      </c>
      <c r="B16" s="1" t="s">
        <v>1249</v>
      </c>
      <c r="C16" s="1" t="s">
        <v>2034</v>
      </c>
      <c r="D16" s="1">
        <v>52.06</v>
      </c>
      <c r="E16" s="1">
        <v>0.35</v>
      </c>
      <c r="F16" s="1">
        <v>0.98</v>
      </c>
      <c r="G16" s="1">
        <v>7.0000000000000007E-2</v>
      </c>
      <c r="H16" s="1">
        <v>1.32</v>
      </c>
      <c r="I16" s="2">
        <v>11.38</v>
      </c>
      <c r="J16" s="1">
        <v>0.28999999999999998</v>
      </c>
      <c r="K16" s="2">
        <v>13.96</v>
      </c>
      <c r="L16" s="2">
        <v>19.309999999999999</v>
      </c>
      <c r="M16" s="1">
        <v>0.22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/>
      <c r="W16" s="1" t="s">
        <v>2040</v>
      </c>
    </row>
    <row r="17" spans="1:23" ht="13.2">
      <c r="A17" s="1">
        <v>16</v>
      </c>
      <c r="B17" s="1" t="s">
        <v>1257</v>
      </c>
      <c r="C17" s="1" t="s">
        <v>2020</v>
      </c>
      <c r="D17" s="1">
        <v>51.82</v>
      </c>
      <c r="E17" s="1">
        <v>0.84</v>
      </c>
      <c r="F17" s="1">
        <v>1.96</v>
      </c>
      <c r="G17" s="1">
        <v>0.09</v>
      </c>
      <c r="H17" s="1">
        <v>0.22</v>
      </c>
      <c r="I17" s="2">
        <v>10.46</v>
      </c>
      <c r="J17" s="1">
        <v>0.24</v>
      </c>
      <c r="K17" s="2">
        <v>16.04</v>
      </c>
      <c r="L17" s="2">
        <v>18</v>
      </c>
      <c r="M17" s="1">
        <v>0.19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/>
      <c r="W17" s="1" t="s">
        <v>2041</v>
      </c>
    </row>
    <row r="18" spans="1:23" ht="13.2">
      <c r="A18" s="1">
        <v>17</v>
      </c>
      <c r="B18" s="1" t="s">
        <v>2042</v>
      </c>
      <c r="C18" s="1" t="s">
        <v>2043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2">
        <v>0</v>
      </c>
      <c r="J18" s="1">
        <v>0</v>
      </c>
      <c r="K18" s="2">
        <v>0</v>
      </c>
      <c r="L18" s="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/>
      <c r="W18" s="1" t="s">
        <v>2044</v>
      </c>
    </row>
    <row r="19" spans="1:23" ht="13.2">
      <c r="A19" s="1">
        <v>18</v>
      </c>
      <c r="B19" s="1" t="s">
        <v>1260</v>
      </c>
      <c r="C19" s="1" t="s">
        <v>2034</v>
      </c>
      <c r="D19" s="1">
        <v>52.35</v>
      </c>
      <c r="E19" s="1">
        <v>0.36</v>
      </c>
      <c r="F19" s="1">
        <v>2.52</v>
      </c>
      <c r="G19" s="1">
        <v>0.25</v>
      </c>
      <c r="H19" s="1">
        <v>0</v>
      </c>
      <c r="I19" s="2">
        <v>5.61</v>
      </c>
      <c r="J19" s="1">
        <v>0.17</v>
      </c>
      <c r="K19" s="2">
        <v>15.77</v>
      </c>
      <c r="L19" s="2">
        <v>22.92</v>
      </c>
      <c r="M19" s="1">
        <v>0.14000000000000001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/>
      <c r="W19" s="1" t="s">
        <v>2045</v>
      </c>
    </row>
    <row r="20" spans="1:23" ht="13.2">
      <c r="A20" s="1">
        <v>19</v>
      </c>
      <c r="B20" s="1" t="s">
        <v>2046</v>
      </c>
      <c r="C20" s="1" t="s">
        <v>2034</v>
      </c>
      <c r="D20" s="1">
        <v>53.9</v>
      </c>
      <c r="E20" s="1">
        <v>0.01</v>
      </c>
      <c r="F20" s="1">
        <v>0.51</v>
      </c>
      <c r="G20" s="1">
        <v>0.04</v>
      </c>
      <c r="H20" s="1">
        <v>0</v>
      </c>
      <c r="I20" s="2">
        <v>6.2</v>
      </c>
      <c r="J20" s="1">
        <v>0.26</v>
      </c>
      <c r="K20" s="2">
        <v>14.18</v>
      </c>
      <c r="L20" s="2">
        <v>25.08</v>
      </c>
      <c r="M20" s="1">
        <v>0.05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/>
      <c r="W20" s="1" t="s">
        <v>2047</v>
      </c>
    </row>
    <row r="21" spans="1:23" ht="13.2">
      <c r="A21" s="1">
        <v>20</v>
      </c>
      <c r="B21" s="1" t="s">
        <v>2048</v>
      </c>
      <c r="C21" s="1" t="s">
        <v>2034</v>
      </c>
      <c r="D21" s="1">
        <v>55.17</v>
      </c>
      <c r="E21" s="1">
        <v>0</v>
      </c>
      <c r="F21" s="1">
        <v>0.37</v>
      </c>
      <c r="G21" s="1">
        <v>0.91</v>
      </c>
      <c r="H21" s="1">
        <v>0</v>
      </c>
      <c r="I21" s="2">
        <v>2.42</v>
      </c>
      <c r="J21" s="1">
        <v>0.1</v>
      </c>
      <c r="K21" s="2">
        <v>17.010000000000002</v>
      </c>
      <c r="L21" s="2">
        <v>23.93</v>
      </c>
      <c r="M21" s="1">
        <v>0.51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/>
      <c r="W21" s="1" t="s">
        <v>2049</v>
      </c>
    </row>
    <row r="22" spans="1:23" ht="13.2">
      <c r="A22" s="1">
        <v>21</v>
      </c>
      <c r="B22" s="1" t="s">
        <v>2050</v>
      </c>
      <c r="C22" s="1" t="s">
        <v>2034</v>
      </c>
      <c r="D22" s="1">
        <v>55.23</v>
      </c>
      <c r="E22" s="1">
        <v>0.09</v>
      </c>
      <c r="F22" s="1">
        <v>0.59</v>
      </c>
      <c r="G22" s="1">
        <v>0.96</v>
      </c>
      <c r="H22" s="1">
        <v>0</v>
      </c>
      <c r="I22" s="2">
        <v>2.0699999999999998</v>
      </c>
      <c r="J22" s="1">
        <v>0.1</v>
      </c>
      <c r="K22" s="2">
        <v>17.059999999999999</v>
      </c>
      <c r="L22" s="2">
        <v>24.08</v>
      </c>
      <c r="M22" s="1">
        <v>0.52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 t="s">
        <v>2051</v>
      </c>
    </row>
    <row r="23" spans="1:23" ht="13.2">
      <c r="A23" s="1">
        <v>22</v>
      </c>
      <c r="B23" s="1" t="s">
        <v>2052</v>
      </c>
      <c r="C23" s="1" t="s">
        <v>2034</v>
      </c>
      <c r="D23" s="1">
        <v>54.99</v>
      </c>
      <c r="E23" s="1">
        <v>7.0000000000000007E-2</v>
      </c>
      <c r="F23" s="1">
        <v>0.38</v>
      </c>
      <c r="G23" s="1">
        <v>0.04</v>
      </c>
      <c r="H23" s="1">
        <v>0.04</v>
      </c>
      <c r="I23" s="2">
        <v>1.5</v>
      </c>
      <c r="J23" s="1">
        <v>0.08</v>
      </c>
      <c r="K23" s="2">
        <v>17.72</v>
      </c>
      <c r="L23" s="2">
        <v>25.19</v>
      </c>
      <c r="M23" s="1">
        <v>0.13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/>
      <c r="W23" s="1" t="s">
        <v>2053</v>
      </c>
    </row>
    <row r="24" spans="1:23" ht="13.2">
      <c r="A24" s="1">
        <v>23</v>
      </c>
      <c r="B24" s="1" t="s">
        <v>1263</v>
      </c>
      <c r="C24" s="1" t="s">
        <v>2034</v>
      </c>
      <c r="D24" s="1">
        <v>55.39</v>
      </c>
      <c r="E24" s="1">
        <v>0.02</v>
      </c>
      <c r="F24" s="1">
        <v>0.54</v>
      </c>
      <c r="G24" s="1">
        <v>0.05</v>
      </c>
      <c r="H24" s="1">
        <v>0</v>
      </c>
      <c r="I24" s="2">
        <v>1.03</v>
      </c>
      <c r="J24" s="1">
        <v>0.05</v>
      </c>
      <c r="K24" s="2">
        <v>17.38</v>
      </c>
      <c r="L24" s="2">
        <v>24.88</v>
      </c>
      <c r="M24" s="1">
        <v>0.35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/>
      <c r="W24" s="1" t="s">
        <v>2054</v>
      </c>
    </row>
    <row r="25" spans="1:23" ht="13.2">
      <c r="A25" s="1">
        <v>24</v>
      </c>
      <c r="B25" s="1" t="s">
        <v>2055</v>
      </c>
      <c r="C25" s="1" t="s">
        <v>2034</v>
      </c>
      <c r="D25" s="1">
        <v>55.07</v>
      </c>
      <c r="E25" s="1">
        <v>0.05</v>
      </c>
      <c r="F25" s="1">
        <v>0.06</v>
      </c>
      <c r="G25" s="1">
        <v>0.04</v>
      </c>
      <c r="H25" s="1">
        <v>0.05</v>
      </c>
      <c r="I25" s="2">
        <v>1.05</v>
      </c>
      <c r="J25" s="1">
        <v>0.08</v>
      </c>
      <c r="K25" s="2">
        <v>18.02</v>
      </c>
      <c r="L25" s="2">
        <v>25.45</v>
      </c>
      <c r="M25" s="1">
        <v>0.02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/>
      <c r="W25" s="1" t="s">
        <v>2056</v>
      </c>
    </row>
    <row r="26" spans="1:23" ht="13.2">
      <c r="A26" s="1">
        <v>25</v>
      </c>
      <c r="B26" s="1" t="s">
        <v>2057</v>
      </c>
      <c r="C26" s="1" t="s">
        <v>2034</v>
      </c>
      <c r="D26" s="1">
        <v>54.34</v>
      </c>
      <c r="E26" s="1">
        <v>0.01</v>
      </c>
      <c r="F26" s="1">
        <v>0.34</v>
      </c>
      <c r="G26" s="1">
        <v>0.06</v>
      </c>
      <c r="H26" s="1">
        <v>0</v>
      </c>
      <c r="I26" s="2">
        <v>3.46</v>
      </c>
      <c r="J26" s="1">
        <v>0.51</v>
      </c>
      <c r="K26" s="2">
        <v>15.99</v>
      </c>
      <c r="L26" s="2">
        <v>25.2</v>
      </c>
      <c r="M26" s="1">
        <v>0.03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/>
      <c r="W26" s="1" t="s">
        <v>2058</v>
      </c>
    </row>
    <row r="27" spans="1:23" ht="13.2">
      <c r="A27" s="1">
        <v>26</v>
      </c>
      <c r="B27" s="1" t="s">
        <v>2059</v>
      </c>
      <c r="C27" s="1" t="s">
        <v>2034</v>
      </c>
      <c r="D27" s="1">
        <v>55.75</v>
      </c>
      <c r="E27" s="1">
        <v>0</v>
      </c>
      <c r="F27" s="1">
        <v>0.24</v>
      </c>
      <c r="G27" s="1">
        <v>0</v>
      </c>
      <c r="H27" s="1">
        <v>0</v>
      </c>
      <c r="I27" s="2">
        <v>2.56</v>
      </c>
      <c r="J27" s="1">
        <v>0.11</v>
      </c>
      <c r="K27" s="2">
        <v>16.260000000000002</v>
      </c>
      <c r="L27" s="2">
        <v>25.7</v>
      </c>
      <c r="M27" s="1">
        <v>0.05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 t="s">
        <v>2060</v>
      </c>
    </row>
    <row r="28" spans="1:23" ht="13.2">
      <c r="A28" s="1">
        <v>27</v>
      </c>
      <c r="B28" s="1" t="s">
        <v>1267</v>
      </c>
      <c r="C28" s="1" t="s">
        <v>2034</v>
      </c>
      <c r="D28" s="1">
        <v>54.83</v>
      </c>
      <c r="E28" s="1">
        <v>0.02</v>
      </c>
      <c r="F28" s="1">
        <v>0.72</v>
      </c>
      <c r="G28" s="1">
        <v>7.0000000000000007E-2</v>
      </c>
      <c r="H28" s="1">
        <v>0</v>
      </c>
      <c r="I28" s="2">
        <v>2.67</v>
      </c>
      <c r="J28" s="1">
        <v>0.15</v>
      </c>
      <c r="K28" s="2">
        <v>16.59</v>
      </c>
      <c r="L28" s="2">
        <v>25.01</v>
      </c>
      <c r="M28" s="1">
        <v>0.4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 t="s">
        <v>2061</v>
      </c>
    </row>
    <row r="29" spans="1:23" ht="13.2">
      <c r="A29" s="1">
        <v>28</v>
      </c>
      <c r="B29" s="1" t="s">
        <v>2062</v>
      </c>
      <c r="C29" s="1" t="s">
        <v>2026</v>
      </c>
      <c r="D29" s="1">
        <v>36.65</v>
      </c>
      <c r="E29" s="1">
        <v>0.01</v>
      </c>
      <c r="F29" s="1">
        <v>0</v>
      </c>
      <c r="G29" s="1">
        <v>0</v>
      </c>
      <c r="H29" s="1">
        <v>0</v>
      </c>
      <c r="I29" s="2">
        <v>7.15</v>
      </c>
      <c r="J29" s="1">
        <v>2.15</v>
      </c>
      <c r="K29" s="2">
        <v>51.19</v>
      </c>
      <c r="L29" s="2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 t="s">
        <v>2063</v>
      </c>
    </row>
    <row r="30" spans="1:23" ht="26.4">
      <c r="A30" s="1">
        <v>29</v>
      </c>
      <c r="B30" s="1" t="s">
        <v>2064</v>
      </c>
      <c r="C30" s="1" t="s">
        <v>2065</v>
      </c>
      <c r="D30" s="1">
        <v>59.72</v>
      </c>
      <c r="E30" s="1">
        <v>0</v>
      </c>
      <c r="F30" s="1">
        <v>0.11</v>
      </c>
      <c r="G30" s="1">
        <v>0</v>
      </c>
      <c r="H30" s="1">
        <v>0</v>
      </c>
      <c r="I30" s="2">
        <v>0.31</v>
      </c>
      <c r="J30" s="1">
        <v>0</v>
      </c>
      <c r="K30" s="2">
        <v>39.82</v>
      </c>
      <c r="L30" s="2">
        <v>0.22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 t="s">
        <v>2066</v>
      </c>
      <c r="W30" s="1" t="s">
        <v>2067</v>
      </c>
    </row>
    <row r="31" spans="1:23" ht="13.2">
      <c r="A31" s="1">
        <v>30</v>
      </c>
      <c r="B31" s="1" t="s">
        <v>1586</v>
      </c>
      <c r="C31" s="1" t="s">
        <v>2034</v>
      </c>
      <c r="D31" s="1">
        <v>50.21</v>
      </c>
      <c r="E31" s="1">
        <v>0.19</v>
      </c>
      <c r="F31" s="1">
        <v>1.24</v>
      </c>
      <c r="G31" s="1">
        <v>0.04</v>
      </c>
      <c r="H31" s="1">
        <v>5.1100000000000003</v>
      </c>
      <c r="I31" s="2">
        <v>23.65</v>
      </c>
      <c r="J31" s="1">
        <v>0.53</v>
      </c>
      <c r="K31" s="2">
        <v>17.57</v>
      </c>
      <c r="L31" s="2">
        <v>1.59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 t="s">
        <v>2068</v>
      </c>
    </row>
    <row r="32" spans="1:23" ht="13.2">
      <c r="A32" s="1">
        <v>31</v>
      </c>
      <c r="B32" s="1" t="s">
        <v>2069</v>
      </c>
      <c r="C32" s="1" t="s">
        <v>2070</v>
      </c>
      <c r="D32" s="1">
        <v>0</v>
      </c>
      <c r="E32" s="1">
        <v>3.04</v>
      </c>
      <c r="F32" s="1">
        <v>0.33</v>
      </c>
      <c r="G32" s="1">
        <v>0.03</v>
      </c>
      <c r="H32" s="1">
        <v>63.71</v>
      </c>
      <c r="I32" s="2">
        <v>26.52</v>
      </c>
      <c r="J32" s="1">
        <v>0.6</v>
      </c>
      <c r="K32" s="2">
        <v>3.63</v>
      </c>
      <c r="L32" s="2">
        <v>0</v>
      </c>
      <c r="M32" s="1">
        <v>0</v>
      </c>
      <c r="N32" s="1">
        <v>0</v>
      </c>
      <c r="O32" s="1">
        <v>0.01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  <c r="W32" s="1" t="s">
        <v>2071</v>
      </c>
    </row>
    <row r="33" spans="1:23" ht="13.2">
      <c r="A33" s="1">
        <v>32</v>
      </c>
      <c r="B33" s="1" t="s">
        <v>954</v>
      </c>
      <c r="C33" s="1" t="s">
        <v>51</v>
      </c>
      <c r="D33" s="1">
        <v>46.55</v>
      </c>
      <c r="E33" s="1">
        <v>0.05</v>
      </c>
      <c r="F33" s="1">
        <v>32.700000000000003</v>
      </c>
      <c r="G33" s="1">
        <v>0.03</v>
      </c>
      <c r="H33" s="1">
        <v>0.64</v>
      </c>
      <c r="I33" s="2">
        <v>0</v>
      </c>
      <c r="J33" s="1">
        <v>0.01</v>
      </c>
      <c r="K33" s="2">
        <v>0.04</v>
      </c>
      <c r="L33" s="2">
        <v>17.28</v>
      </c>
      <c r="M33" s="1">
        <v>1.71</v>
      </c>
      <c r="N33" s="1">
        <v>0.02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 t="s">
        <v>2072</v>
      </c>
    </row>
    <row r="34" spans="1:23" ht="13.2">
      <c r="A34" s="1">
        <v>33</v>
      </c>
      <c r="B34" s="1" t="s">
        <v>2073</v>
      </c>
      <c r="C34" s="1" t="s">
        <v>2074</v>
      </c>
      <c r="D34" s="1">
        <v>0.2</v>
      </c>
      <c r="E34" s="1">
        <v>47.61</v>
      </c>
      <c r="F34" s="1">
        <v>0.01</v>
      </c>
      <c r="G34" s="1">
        <v>0.02</v>
      </c>
      <c r="H34" s="1">
        <v>0</v>
      </c>
      <c r="I34" s="2">
        <v>45.43</v>
      </c>
      <c r="J34" s="1">
        <v>0.02</v>
      </c>
      <c r="K34" s="2">
        <v>0.01</v>
      </c>
      <c r="L34" s="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 t="s">
        <v>2075</v>
      </c>
    </row>
    <row r="35" spans="1:23" ht="13.2">
      <c r="A35" s="1">
        <v>34</v>
      </c>
      <c r="B35" s="1" t="s">
        <v>2076</v>
      </c>
      <c r="C35" s="1" t="s">
        <v>2034</v>
      </c>
      <c r="D35" s="1">
        <v>50.54</v>
      </c>
      <c r="E35" s="1">
        <v>0.86</v>
      </c>
      <c r="F35" s="1">
        <v>2.99</v>
      </c>
      <c r="G35" s="1">
        <v>7.0000000000000007E-2</v>
      </c>
      <c r="H35" s="1">
        <v>1.71</v>
      </c>
      <c r="I35" s="2">
        <v>8.18</v>
      </c>
      <c r="J35" s="1">
        <v>0.25</v>
      </c>
      <c r="K35" s="2">
        <v>14.64</v>
      </c>
      <c r="L35" s="2">
        <v>20.350000000000001</v>
      </c>
      <c r="M35" s="1">
        <v>0.27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 t="s">
        <v>2077</v>
      </c>
    </row>
    <row r="36" spans="1:23" ht="13.2">
      <c r="A36" s="1">
        <v>35</v>
      </c>
      <c r="B36" s="1" t="s">
        <v>1193</v>
      </c>
      <c r="C36" s="1" t="s">
        <v>2034</v>
      </c>
      <c r="D36" s="1">
        <v>49.69</v>
      </c>
      <c r="E36" s="1">
        <v>0.79</v>
      </c>
      <c r="F36" s="1">
        <v>6.4</v>
      </c>
      <c r="G36" s="1">
        <v>0</v>
      </c>
      <c r="H36" s="1">
        <v>0</v>
      </c>
      <c r="I36" s="2">
        <v>6.29</v>
      </c>
      <c r="J36" s="1">
        <v>0.12</v>
      </c>
      <c r="K36" s="2">
        <v>15.14</v>
      </c>
      <c r="L36" s="2">
        <v>20.92</v>
      </c>
      <c r="M36" s="1">
        <v>0.4</v>
      </c>
      <c r="N36" s="1">
        <v>0.01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/>
      <c r="W36" s="1" t="s">
        <v>2078</v>
      </c>
    </row>
    <row r="37" spans="1:23" ht="13.2">
      <c r="A37" s="1">
        <v>36</v>
      </c>
      <c r="B37" s="1" t="s">
        <v>1456</v>
      </c>
      <c r="C37" s="1" t="s">
        <v>2034</v>
      </c>
      <c r="D37" s="1">
        <v>56.23</v>
      </c>
      <c r="E37" s="1">
        <v>0.02</v>
      </c>
      <c r="F37" s="1">
        <v>1.02</v>
      </c>
      <c r="G37" s="1">
        <v>0</v>
      </c>
      <c r="H37" s="1">
        <v>0</v>
      </c>
      <c r="I37" s="2">
        <v>8.5299999999999994</v>
      </c>
      <c r="J37" s="1">
        <v>0.19</v>
      </c>
      <c r="K37" s="2">
        <v>32.81</v>
      </c>
      <c r="L37" s="2">
        <v>0.41</v>
      </c>
      <c r="M37" s="1">
        <v>0.01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1" t="s">
        <v>2079</v>
      </c>
    </row>
    <row r="38" spans="1:23" ht="13.2">
      <c r="A38" s="1">
        <v>37</v>
      </c>
      <c r="B38" s="1" t="s">
        <v>1743</v>
      </c>
      <c r="C38" s="1" t="s">
        <v>2026</v>
      </c>
      <c r="D38" s="1">
        <v>39.43</v>
      </c>
      <c r="E38" s="1">
        <v>0.03</v>
      </c>
      <c r="F38" s="1">
        <v>0.04</v>
      </c>
      <c r="G38" s="1">
        <v>0</v>
      </c>
      <c r="H38" s="1">
        <v>0</v>
      </c>
      <c r="I38" s="2">
        <v>16.63</v>
      </c>
      <c r="J38" s="1">
        <v>0.24</v>
      </c>
      <c r="K38" s="2">
        <v>43.64</v>
      </c>
      <c r="L38" s="2">
        <v>0.16</v>
      </c>
      <c r="M38" s="1">
        <v>0.01</v>
      </c>
      <c r="N38" s="1">
        <v>0.01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1" t="s">
        <v>2080</v>
      </c>
    </row>
    <row r="39" spans="1:23" ht="13.2">
      <c r="A39" s="1">
        <v>38</v>
      </c>
      <c r="B39" s="1" t="s">
        <v>2081</v>
      </c>
      <c r="C39" s="1" t="s">
        <v>2065</v>
      </c>
      <c r="D39" s="1">
        <v>55.3</v>
      </c>
      <c r="E39" s="1">
        <v>0.05</v>
      </c>
      <c r="F39" s="1">
        <v>0.12</v>
      </c>
      <c r="G39" s="1">
        <v>0</v>
      </c>
      <c r="H39" s="1">
        <v>0</v>
      </c>
      <c r="I39" s="2">
        <v>9.3800000000000008</v>
      </c>
      <c r="J39" s="1">
        <v>0.15</v>
      </c>
      <c r="K39" s="2">
        <v>32.799999999999997</v>
      </c>
      <c r="L39" s="2">
        <v>0.45</v>
      </c>
      <c r="M39" s="1">
        <v>0</v>
      </c>
      <c r="N39" s="1">
        <v>0.02</v>
      </c>
      <c r="O39" s="1">
        <v>0.01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2082</v>
      </c>
      <c r="W39" s="1" t="s">
        <v>2083</v>
      </c>
    </row>
    <row r="40" spans="1:23" ht="13.2">
      <c r="A40" s="1">
        <v>39</v>
      </c>
      <c r="B40" s="1" t="s">
        <v>2084</v>
      </c>
      <c r="C40" s="1" t="s">
        <v>51</v>
      </c>
      <c r="D40" s="1">
        <v>52.27</v>
      </c>
      <c r="E40" s="1">
        <v>0</v>
      </c>
      <c r="F40" s="1">
        <v>30.86</v>
      </c>
      <c r="G40" s="1">
        <v>0</v>
      </c>
      <c r="H40" s="1">
        <v>0</v>
      </c>
      <c r="I40" s="2">
        <v>0.21</v>
      </c>
      <c r="J40" s="1">
        <v>0</v>
      </c>
      <c r="K40" s="2">
        <v>0.01</v>
      </c>
      <c r="L40" s="2">
        <v>13.13</v>
      </c>
      <c r="M40" s="1">
        <v>4.41</v>
      </c>
      <c r="N40" s="1">
        <v>0.25</v>
      </c>
      <c r="O40" s="1">
        <v>0.11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1" t="s">
        <v>2085</v>
      </c>
    </row>
    <row r="41" spans="1:23" ht="26.4">
      <c r="A41" s="1">
        <v>40</v>
      </c>
      <c r="B41" s="1" t="s">
        <v>2086</v>
      </c>
      <c r="C41" s="1" t="s">
        <v>2065</v>
      </c>
      <c r="D41" s="1">
        <v>57.72</v>
      </c>
      <c r="E41" s="1">
        <v>0.04</v>
      </c>
      <c r="F41" s="1">
        <v>0.14000000000000001</v>
      </c>
      <c r="G41" s="1">
        <v>0.01</v>
      </c>
      <c r="H41" s="1">
        <v>0</v>
      </c>
      <c r="I41" s="2">
        <v>7.62</v>
      </c>
      <c r="J41" s="1">
        <v>0.04</v>
      </c>
      <c r="K41" s="2">
        <v>34.53</v>
      </c>
      <c r="L41" s="2">
        <v>0.23</v>
      </c>
      <c r="M41" s="1">
        <v>0.02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/>
      <c r="W41" s="1" t="s">
        <v>2087</v>
      </c>
    </row>
    <row r="42" spans="1:23" ht="13.2">
      <c r="A42" s="1">
        <v>41</v>
      </c>
      <c r="B42" s="1" t="s">
        <v>2088</v>
      </c>
      <c r="C42" s="1" t="s">
        <v>51</v>
      </c>
      <c r="D42" s="1">
        <v>47.96</v>
      </c>
      <c r="E42" s="1">
        <v>0.02</v>
      </c>
      <c r="F42" s="1">
        <v>32.94</v>
      </c>
      <c r="G42" s="1">
        <v>0.01</v>
      </c>
      <c r="H42" s="1">
        <v>0</v>
      </c>
      <c r="I42" s="2">
        <v>0.39</v>
      </c>
      <c r="J42" s="1">
        <v>0.01</v>
      </c>
      <c r="K42" s="2">
        <v>0.11</v>
      </c>
      <c r="L42" s="2">
        <v>15.82</v>
      </c>
      <c r="M42" s="1">
        <v>2.39</v>
      </c>
      <c r="N42" s="1">
        <v>7.0000000000000007E-2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/>
      <c r="W42" s="1" t="s">
        <v>2089</v>
      </c>
    </row>
    <row r="43" spans="1:23" ht="13.2">
      <c r="A43" s="1">
        <v>42</v>
      </c>
      <c r="B43" s="1" t="s">
        <v>2090</v>
      </c>
      <c r="C43" s="1" t="s">
        <v>2026</v>
      </c>
      <c r="D43" s="1">
        <v>40.869999999999997</v>
      </c>
      <c r="E43" s="1">
        <v>0</v>
      </c>
      <c r="F43" s="1">
        <v>0.01</v>
      </c>
      <c r="G43" s="1">
        <v>0.04</v>
      </c>
      <c r="H43" s="1">
        <v>0</v>
      </c>
      <c r="I43" s="2">
        <v>7.77</v>
      </c>
      <c r="J43" s="1">
        <v>0.14000000000000001</v>
      </c>
      <c r="K43" s="2">
        <v>51.58</v>
      </c>
      <c r="L43" s="2">
        <v>0.03</v>
      </c>
      <c r="M43" s="1">
        <v>0.01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/>
      <c r="W43" s="1" t="s">
        <v>2091</v>
      </c>
    </row>
    <row r="44" spans="1:23" ht="13.2">
      <c r="A44" s="1">
        <v>43</v>
      </c>
      <c r="B44" s="1" t="s">
        <v>2092</v>
      </c>
      <c r="C44" s="1" t="s">
        <v>2020</v>
      </c>
      <c r="D44" s="1">
        <v>39.79</v>
      </c>
      <c r="E44" s="1">
        <v>10.62</v>
      </c>
      <c r="F44" s="1">
        <v>9.93</v>
      </c>
      <c r="G44" s="1">
        <v>0.39</v>
      </c>
      <c r="H44" s="1">
        <v>0</v>
      </c>
      <c r="I44" s="2">
        <v>19.21</v>
      </c>
      <c r="J44" s="1">
        <v>0.26</v>
      </c>
      <c r="K44" s="2">
        <v>7.93</v>
      </c>
      <c r="L44" s="2">
        <v>11.32</v>
      </c>
      <c r="M44" s="1">
        <v>0.39</v>
      </c>
      <c r="N44" s="1">
        <v>0.04</v>
      </c>
      <c r="O44" s="1">
        <v>0.09</v>
      </c>
      <c r="P44" s="1">
        <v>0</v>
      </c>
      <c r="Q44" s="1">
        <v>2</v>
      </c>
      <c r="R44" s="1">
        <v>2</v>
      </c>
      <c r="S44" s="1">
        <v>5.65</v>
      </c>
      <c r="T44" s="1">
        <v>2</v>
      </c>
      <c r="U44" s="1">
        <v>81</v>
      </c>
      <c r="V44" s="1" t="s">
        <v>2093</v>
      </c>
      <c r="W44" s="1" t="s">
        <v>2094</v>
      </c>
    </row>
    <row r="45" spans="1:23" ht="13.2">
      <c r="A45" s="1">
        <v>44</v>
      </c>
      <c r="B45" s="1" t="s">
        <v>2095</v>
      </c>
      <c r="C45" s="1" t="s">
        <v>2020</v>
      </c>
      <c r="D45" s="1">
        <v>44.07</v>
      </c>
      <c r="E45" s="1">
        <v>8.34</v>
      </c>
      <c r="F45" s="1">
        <v>11.72</v>
      </c>
      <c r="G45" s="1">
        <v>0.31</v>
      </c>
      <c r="H45" s="1">
        <v>0</v>
      </c>
      <c r="I45" s="2">
        <v>16.98</v>
      </c>
      <c r="J45" s="1">
        <v>0.21</v>
      </c>
      <c r="K45" s="2">
        <v>9.1199999999999992</v>
      </c>
      <c r="L45" s="2">
        <v>13.71</v>
      </c>
      <c r="M45" s="1">
        <v>0.47</v>
      </c>
      <c r="N45" s="1">
        <v>0.2</v>
      </c>
      <c r="O45" s="1">
        <v>0.23</v>
      </c>
      <c r="P45" s="1">
        <v>0</v>
      </c>
      <c r="Q45" s="1">
        <v>9.6999999999999993</v>
      </c>
      <c r="R45" s="1">
        <v>70</v>
      </c>
      <c r="S45" s="1">
        <v>42</v>
      </c>
      <c r="T45" s="1">
        <v>30</v>
      </c>
      <c r="U45" s="1">
        <v>0</v>
      </c>
      <c r="V45" s="1" t="s">
        <v>2096</v>
      </c>
      <c r="W45" s="1" t="s">
        <v>2097</v>
      </c>
    </row>
    <row r="46" spans="1:23" ht="13.2">
      <c r="A46" s="1">
        <v>45</v>
      </c>
      <c r="B46" s="1" t="s">
        <v>2098</v>
      </c>
      <c r="C46" s="1" t="s">
        <v>2020</v>
      </c>
      <c r="D46" s="1">
        <v>41.9</v>
      </c>
      <c r="E46" s="1">
        <v>8.15</v>
      </c>
      <c r="F46" s="1">
        <v>12.49</v>
      </c>
      <c r="G46" s="1">
        <v>0.28999999999999998</v>
      </c>
      <c r="H46" s="1">
        <v>0</v>
      </c>
      <c r="I46" s="2">
        <v>16.45</v>
      </c>
      <c r="J46" s="1">
        <v>0.2</v>
      </c>
      <c r="K46" s="2">
        <v>7.75</v>
      </c>
      <c r="L46" s="2">
        <v>11.69</v>
      </c>
      <c r="M46" s="1">
        <v>0.48</v>
      </c>
      <c r="N46" s="1">
        <v>0.21</v>
      </c>
      <c r="O46" s="1">
        <v>0.13</v>
      </c>
      <c r="P46" s="1">
        <v>0</v>
      </c>
      <c r="Q46" s="1">
        <v>11.1</v>
      </c>
      <c r="R46" s="1">
        <v>214</v>
      </c>
      <c r="S46" s="1">
        <v>35</v>
      </c>
      <c r="T46" s="1">
        <v>30.2</v>
      </c>
      <c r="U46" s="1">
        <v>0</v>
      </c>
      <c r="V46" s="1" t="s">
        <v>2099</v>
      </c>
      <c r="W46" s="1" t="s">
        <v>2100</v>
      </c>
    </row>
    <row r="47" spans="1:23" ht="13.2">
      <c r="A47" s="1">
        <v>46</v>
      </c>
      <c r="B47" s="1" t="s">
        <v>2101</v>
      </c>
      <c r="C47" s="1" t="s">
        <v>2020</v>
      </c>
      <c r="D47" s="1">
        <v>40.4</v>
      </c>
      <c r="E47" s="1">
        <v>12</v>
      </c>
      <c r="F47" s="1">
        <v>8</v>
      </c>
      <c r="G47" s="1">
        <v>0.4</v>
      </c>
      <c r="H47" s="1">
        <v>0</v>
      </c>
      <c r="I47" s="2">
        <v>19.600000000000001</v>
      </c>
      <c r="J47" s="1">
        <v>0.2</v>
      </c>
      <c r="K47" s="2">
        <v>7.7</v>
      </c>
      <c r="L47" s="2">
        <v>10.4</v>
      </c>
      <c r="M47" s="1">
        <v>0.5</v>
      </c>
      <c r="N47" s="1">
        <v>0.3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1.77</v>
      </c>
      <c r="U47" s="1">
        <v>0</v>
      </c>
      <c r="V47" s="1" t="s">
        <v>2102</v>
      </c>
      <c r="W47" s="1" t="s">
        <v>2103</v>
      </c>
    </row>
    <row r="48" spans="1:23" ht="26.4">
      <c r="A48" s="1">
        <v>47</v>
      </c>
      <c r="B48" s="1" t="s">
        <v>2104</v>
      </c>
      <c r="C48" s="1" t="s">
        <v>2020</v>
      </c>
      <c r="D48" s="1">
        <v>41</v>
      </c>
      <c r="E48" s="1">
        <v>7.3</v>
      </c>
      <c r="F48" s="1">
        <v>12.8</v>
      </c>
      <c r="G48" s="1">
        <v>0.31</v>
      </c>
      <c r="H48" s="1">
        <v>0</v>
      </c>
      <c r="I48" s="2">
        <v>16.2</v>
      </c>
      <c r="J48" s="1">
        <v>0.22</v>
      </c>
      <c r="K48" s="2">
        <v>9.1999999999999993</v>
      </c>
      <c r="L48" s="2">
        <v>12.4</v>
      </c>
      <c r="M48" s="1">
        <v>0.38</v>
      </c>
      <c r="N48" s="1">
        <v>0.15</v>
      </c>
      <c r="O48" s="1">
        <v>0</v>
      </c>
      <c r="P48" s="1">
        <v>0</v>
      </c>
      <c r="Q48" s="1">
        <v>0</v>
      </c>
      <c r="R48" s="1">
        <v>200</v>
      </c>
      <c r="S48" s="1">
        <v>26.8</v>
      </c>
      <c r="T48" s="1">
        <v>0</v>
      </c>
      <c r="U48" s="1">
        <v>0</v>
      </c>
      <c r="V48" s="1" t="s">
        <v>2105</v>
      </c>
      <c r="W48" s="1" t="s">
        <v>2106</v>
      </c>
    </row>
    <row r="49" spans="1:23" ht="13.2">
      <c r="A49" s="1">
        <v>48</v>
      </c>
      <c r="B49" s="1" t="s">
        <v>2107</v>
      </c>
      <c r="C49" s="1" t="s">
        <v>2020</v>
      </c>
      <c r="D49" s="1">
        <v>45</v>
      </c>
      <c r="E49" s="1">
        <v>2.9</v>
      </c>
      <c r="F49" s="1">
        <v>8.6</v>
      </c>
      <c r="G49" s="1">
        <v>0.6</v>
      </c>
      <c r="H49" s="1">
        <v>0</v>
      </c>
      <c r="I49" s="2">
        <v>21</v>
      </c>
      <c r="J49" s="1">
        <v>0.3</v>
      </c>
      <c r="K49" s="2">
        <v>11.6</v>
      </c>
      <c r="L49" s="2">
        <v>9.4</v>
      </c>
      <c r="M49" s="1">
        <v>0.2</v>
      </c>
      <c r="N49" s="1">
        <v>0.06</v>
      </c>
      <c r="O49" s="1">
        <v>7.0000000000000007E-2</v>
      </c>
      <c r="P49" s="1">
        <v>0</v>
      </c>
      <c r="Q49" s="1">
        <v>0</v>
      </c>
      <c r="R49" s="1">
        <v>0</v>
      </c>
      <c r="S49" s="1">
        <v>0</v>
      </c>
      <c r="T49" s="1">
        <v>1.8</v>
      </c>
      <c r="U49" s="1">
        <v>0</v>
      </c>
      <c r="V49" s="1" t="s">
        <v>2102</v>
      </c>
      <c r="W49" s="1" t="s">
        <v>2108</v>
      </c>
    </row>
    <row r="50" spans="1:23" ht="13.2">
      <c r="A50" s="1">
        <v>49</v>
      </c>
      <c r="B50" s="1" t="s">
        <v>2109</v>
      </c>
      <c r="C50" s="1" t="s">
        <v>2020</v>
      </c>
      <c r="D50" s="1">
        <v>42.8</v>
      </c>
      <c r="E50" s="1">
        <v>4.9000000000000004</v>
      </c>
      <c r="F50" s="1">
        <v>9.1</v>
      </c>
      <c r="G50" s="1">
        <v>0.6</v>
      </c>
      <c r="H50" s="1">
        <v>0</v>
      </c>
      <c r="I50" s="2">
        <v>21.8</v>
      </c>
      <c r="J50" s="1">
        <v>0.3</v>
      </c>
      <c r="K50" s="2">
        <v>11</v>
      </c>
      <c r="L50" s="2">
        <v>9.5</v>
      </c>
      <c r="M50" s="1">
        <v>0.4</v>
      </c>
      <c r="N50" s="1">
        <v>7.0000000000000007E-2</v>
      </c>
      <c r="O50" s="1">
        <v>0.13</v>
      </c>
      <c r="P50" s="1">
        <v>0</v>
      </c>
      <c r="Q50" s="1">
        <v>0</v>
      </c>
      <c r="R50" s="1">
        <v>0</v>
      </c>
      <c r="S50" s="1">
        <v>0</v>
      </c>
      <c r="T50" s="1">
        <v>2</v>
      </c>
      <c r="U50" s="1">
        <v>0</v>
      </c>
      <c r="V50" s="1" t="s">
        <v>2110</v>
      </c>
      <c r="W50" s="1" t="s">
        <v>2111</v>
      </c>
    </row>
    <row r="51" spans="1:23" ht="13.2">
      <c r="A51" s="1">
        <v>50</v>
      </c>
      <c r="B51" s="1" t="s">
        <v>2112</v>
      </c>
      <c r="C51" s="1" t="s">
        <v>2020</v>
      </c>
      <c r="D51" s="1">
        <v>46.83</v>
      </c>
      <c r="E51" s="1">
        <v>3.24</v>
      </c>
      <c r="F51" s="1">
        <v>12.48</v>
      </c>
      <c r="G51" s="1">
        <v>0.31</v>
      </c>
      <c r="H51" s="1">
        <v>0</v>
      </c>
      <c r="I51" s="2">
        <v>17.760000000000002</v>
      </c>
      <c r="J51" s="1">
        <v>0.25</v>
      </c>
      <c r="K51" s="2">
        <v>6.86</v>
      </c>
      <c r="L51" s="2">
        <v>11.49</v>
      </c>
      <c r="M51" s="1">
        <v>0.65</v>
      </c>
      <c r="N51" s="1">
        <v>7.0000000000000007E-2</v>
      </c>
      <c r="O51" s="1">
        <v>0.14000000000000001</v>
      </c>
      <c r="P51" s="1">
        <v>0</v>
      </c>
      <c r="Q51" s="1">
        <v>8</v>
      </c>
      <c r="R51" s="1">
        <v>2</v>
      </c>
      <c r="S51" s="1">
        <v>28.4</v>
      </c>
      <c r="T51" s="1">
        <v>3</v>
      </c>
      <c r="U51" s="1">
        <v>104</v>
      </c>
      <c r="V51" s="1" t="s">
        <v>2113</v>
      </c>
      <c r="W51" s="1" t="s">
        <v>2114</v>
      </c>
    </row>
    <row r="52" spans="1:23" ht="26.4">
      <c r="A52" s="1">
        <v>51</v>
      </c>
      <c r="B52" s="1" t="s">
        <v>2115</v>
      </c>
      <c r="C52" s="1" t="s">
        <v>2020</v>
      </c>
      <c r="D52" s="1">
        <v>45.7</v>
      </c>
      <c r="E52" s="1">
        <v>2.71</v>
      </c>
      <c r="F52" s="1">
        <v>13</v>
      </c>
      <c r="G52" s="1">
        <v>0.39</v>
      </c>
      <c r="H52" s="1">
        <v>0</v>
      </c>
      <c r="I52" s="2">
        <v>16.2</v>
      </c>
      <c r="J52" s="1">
        <v>0.24</v>
      </c>
      <c r="K52" s="2">
        <v>10.4</v>
      </c>
      <c r="L52" s="2">
        <v>10.6</v>
      </c>
      <c r="M52" s="1">
        <v>0.54</v>
      </c>
      <c r="N52" s="1">
        <v>0.25</v>
      </c>
      <c r="O52" s="1">
        <v>0.33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2116</v>
      </c>
      <c r="W52" s="1" t="s">
        <v>2117</v>
      </c>
    </row>
    <row r="53" spans="1:23" ht="26.4">
      <c r="A53" s="1">
        <v>52</v>
      </c>
      <c r="B53" s="1" t="s">
        <v>2118</v>
      </c>
      <c r="C53" s="1" t="s">
        <v>2020</v>
      </c>
      <c r="D53" s="1">
        <v>46.21</v>
      </c>
      <c r="E53" s="1">
        <v>3.32</v>
      </c>
      <c r="F53" s="1">
        <v>10.14</v>
      </c>
      <c r="G53" s="1">
        <v>0.49</v>
      </c>
      <c r="H53" s="1">
        <v>0</v>
      </c>
      <c r="I53" s="2">
        <v>19.77</v>
      </c>
      <c r="J53" s="1">
        <v>0.28000000000000003</v>
      </c>
      <c r="K53" s="2">
        <v>8.17</v>
      </c>
      <c r="L53" s="2">
        <v>11.01</v>
      </c>
      <c r="M53" s="1">
        <v>0.26</v>
      </c>
      <c r="N53" s="1">
        <v>0.06</v>
      </c>
      <c r="O53" s="1">
        <v>0.14000000000000001</v>
      </c>
      <c r="P53" s="1">
        <v>0</v>
      </c>
      <c r="Q53" s="1">
        <v>26</v>
      </c>
      <c r="R53" s="1">
        <v>9.9</v>
      </c>
      <c r="S53" s="1">
        <v>30</v>
      </c>
      <c r="T53" s="1">
        <v>1.2</v>
      </c>
      <c r="U53" s="1">
        <v>148</v>
      </c>
      <c r="V53" s="1" t="s">
        <v>2119</v>
      </c>
      <c r="W53" s="1" t="s">
        <v>2120</v>
      </c>
    </row>
    <row r="54" spans="1:23" ht="26.4">
      <c r="A54" s="1">
        <v>53</v>
      </c>
      <c r="B54" s="1" t="s">
        <v>2121</v>
      </c>
      <c r="C54" s="1" t="s">
        <v>2020</v>
      </c>
      <c r="D54" s="1">
        <v>43.5</v>
      </c>
      <c r="E54" s="1">
        <v>5</v>
      </c>
      <c r="F54" s="1">
        <v>9.3000000000000007</v>
      </c>
      <c r="G54" s="1">
        <v>0.4</v>
      </c>
      <c r="H54" s="1">
        <v>0</v>
      </c>
      <c r="I54" s="2">
        <v>21.3</v>
      </c>
      <c r="J54" s="1">
        <v>0.3</v>
      </c>
      <c r="K54" s="2">
        <v>9.6</v>
      </c>
      <c r="L54" s="2">
        <v>10.5</v>
      </c>
      <c r="M54" s="1">
        <v>0.3</v>
      </c>
      <c r="N54" s="1">
        <v>0.06</v>
      </c>
      <c r="O54" s="1">
        <v>0.14000000000000001</v>
      </c>
      <c r="P54" s="1">
        <v>0</v>
      </c>
      <c r="Q54" s="1">
        <v>0</v>
      </c>
      <c r="R54" s="1">
        <v>0</v>
      </c>
      <c r="S54" s="1">
        <v>0</v>
      </c>
      <c r="T54" s="1">
        <v>2.2999999999999998</v>
      </c>
      <c r="U54" s="1">
        <v>0</v>
      </c>
      <c r="V54" s="1" t="s">
        <v>2122</v>
      </c>
      <c r="W54" s="1" t="s">
        <v>2123</v>
      </c>
    </row>
    <row r="55" spans="1:23" ht="26.4">
      <c r="A55" s="1">
        <v>54</v>
      </c>
      <c r="B55" s="1" t="s">
        <v>2124</v>
      </c>
      <c r="C55" s="1" t="s">
        <v>2020</v>
      </c>
      <c r="D55" s="1">
        <v>45.7</v>
      </c>
      <c r="E55" s="1">
        <v>2.78</v>
      </c>
      <c r="F55" s="1">
        <v>13</v>
      </c>
      <c r="G55" s="1">
        <v>0.42</v>
      </c>
      <c r="H55" s="1">
        <v>0</v>
      </c>
      <c r="I55" s="2">
        <v>16.399999999999999</v>
      </c>
      <c r="J55" s="1">
        <v>0.23</v>
      </c>
      <c r="K55" s="2">
        <v>10.5</v>
      </c>
      <c r="L55" s="2">
        <v>10.4</v>
      </c>
      <c r="M55" s="1">
        <v>0.48</v>
      </c>
      <c r="N55" s="1">
        <v>0.23</v>
      </c>
      <c r="O55" s="1">
        <v>0.32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2125</v>
      </c>
      <c r="W55" s="1" t="s">
        <v>2126</v>
      </c>
    </row>
    <row r="56" spans="1:23" ht="13.2">
      <c r="A56" s="1">
        <v>55</v>
      </c>
      <c r="B56" s="1" t="s">
        <v>2127</v>
      </c>
      <c r="C56" s="1" t="s">
        <v>2020</v>
      </c>
      <c r="D56" s="1">
        <v>48.08</v>
      </c>
      <c r="E56" s="1">
        <v>1.77</v>
      </c>
      <c r="F56" s="1">
        <v>17.59</v>
      </c>
      <c r="G56" s="1">
        <v>0.26</v>
      </c>
      <c r="H56" s="1">
        <v>0</v>
      </c>
      <c r="I56" s="2">
        <v>10.45</v>
      </c>
      <c r="J56" s="1">
        <v>0.14000000000000001</v>
      </c>
      <c r="K56" s="2">
        <v>9.27</v>
      </c>
      <c r="L56" s="2">
        <v>11.12</v>
      </c>
      <c r="M56" s="1">
        <v>0.65</v>
      </c>
      <c r="N56" s="1">
        <v>0.54</v>
      </c>
      <c r="O56" s="1">
        <v>0.57999999999999996</v>
      </c>
      <c r="P56" s="1">
        <v>0</v>
      </c>
      <c r="Q56" s="1">
        <v>0</v>
      </c>
      <c r="R56" s="1">
        <v>430</v>
      </c>
      <c r="S56" s="1">
        <v>3.8</v>
      </c>
      <c r="T56" s="1">
        <v>0</v>
      </c>
      <c r="U56" s="1">
        <v>58</v>
      </c>
      <c r="V56" s="1" t="s">
        <v>2125</v>
      </c>
      <c r="W56" s="1" t="s">
        <v>2128</v>
      </c>
    </row>
    <row r="57" spans="1:23" ht="13.2">
      <c r="A57" s="1">
        <v>56</v>
      </c>
      <c r="B57" s="1" t="s">
        <v>2129</v>
      </c>
      <c r="C57" s="1" t="s">
        <v>2020</v>
      </c>
      <c r="D57" s="1">
        <v>44.69</v>
      </c>
      <c r="E57" s="1">
        <v>1.48</v>
      </c>
      <c r="F57" s="1">
        <v>22.31</v>
      </c>
      <c r="G57" s="1">
        <v>0.21</v>
      </c>
      <c r="H57" s="1">
        <v>0</v>
      </c>
      <c r="I57" s="2">
        <v>6.71</v>
      </c>
      <c r="J57" s="1">
        <v>0.08</v>
      </c>
      <c r="K57" s="2">
        <v>10.8</v>
      </c>
      <c r="L57" s="2">
        <v>12.7</v>
      </c>
      <c r="M57" s="1">
        <v>0.76</v>
      </c>
      <c r="N57" s="1">
        <v>0.15</v>
      </c>
      <c r="O57" s="1">
        <v>0</v>
      </c>
      <c r="P57" s="1">
        <v>0</v>
      </c>
      <c r="Q57" s="1">
        <v>0</v>
      </c>
      <c r="R57" s="1">
        <v>110</v>
      </c>
      <c r="S57" s="1">
        <v>0</v>
      </c>
      <c r="T57" s="1">
        <v>4</v>
      </c>
      <c r="U57" s="1">
        <v>0</v>
      </c>
      <c r="V57" s="1" t="s">
        <v>2130</v>
      </c>
      <c r="W57" s="1" t="s">
        <v>2131</v>
      </c>
    </row>
    <row r="58" spans="1:23" ht="13.2">
      <c r="A58" s="1">
        <v>57</v>
      </c>
      <c r="B58" s="1" t="s">
        <v>2132</v>
      </c>
      <c r="C58" s="1" t="s">
        <v>2020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2">
        <v>0</v>
      </c>
      <c r="J58" s="1">
        <v>0</v>
      </c>
      <c r="K58" s="2">
        <v>0</v>
      </c>
      <c r="L58" s="2">
        <v>0</v>
      </c>
      <c r="M58" s="1">
        <v>0</v>
      </c>
      <c r="N58" s="1">
        <v>0.25</v>
      </c>
      <c r="O58" s="1">
        <v>0</v>
      </c>
      <c r="P58" s="1">
        <v>0</v>
      </c>
      <c r="Q58" s="1">
        <v>0</v>
      </c>
      <c r="R58" s="1">
        <v>64</v>
      </c>
      <c r="S58" s="1">
        <v>0</v>
      </c>
      <c r="T58" s="1">
        <v>0</v>
      </c>
      <c r="U58" s="1">
        <v>0</v>
      </c>
      <c r="V58" s="1" t="s">
        <v>2133</v>
      </c>
      <c r="W58" s="1" t="s">
        <v>2134</v>
      </c>
    </row>
    <row r="59" spans="1:23" ht="13.2">
      <c r="A59" s="1">
        <v>58</v>
      </c>
      <c r="B59" s="1" t="s">
        <v>2135</v>
      </c>
      <c r="C59" s="1" t="s">
        <v>2020</v>
      </c>
      <c r="D59" s="1">
        <v>0</v>
      </c>
      <c r="E59" s="1">
        <v>0.98</v>
      </c>
      <c r="F59" s="1">
        <v>8.75</v>
      </c>
      <c r="G59" s="1">
        <v>0</v>
      </c>
      <c r="H59" s="1">
        <v>0</v>
      </c>
      <c r="I59" s="2">
        <v>7.9</v>
      </c>
      <c r="J59" s="1">
        <v>0</v>
      </c>
      <c r="K59" s="2">
        <v>0</v>
      </c>
      <c r="L59" s="2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31</v>
      </c>
      <c r="T59" s="1">
        <v>0</v>
      </c>
      <c r="U59" s="1">
        <v>0</v>
      </c>
      <c r="V59" s="1" t="s">
        <v>2125</v>
      </c>
      <c r="W59" s="1" t="s">
        <v>2136</v>
      </c>
    </row>
    <row r="60" spans="1:23" ht="13.2">
      <c r="A60" s="1">
        <v>59</v>
      </c>
      <c r="B60" s="1" t="s">
        <v>2137</v>
      </c>
      <c r="C60" s="1" t="s">
        <v>2020</v>
      </c>
      <c r="D60" s="1">
        <v>48.5</v>
      </c>
      <c r="E60" s="1">
        <v>1.71</v>
      </c>
      <c r="F60" s="1">
        <v>17.38</v>
      </c>
      <c r="G60" s="1">
        <v>0</v>
      </c>
      <c r="H60" s="1">
        <v>0</v>
      </c>
      <c r="I60" s="2">
        <v>10.55</v>
      </c>
      <c r="J60" s="1">
        <v>0.13</v>
      </c>
      <c r="K60" s="2">
        <v>9.66</v>
      </c>
      <c r="L60" s="2">
        <v>10.4</v>
      </c>
      <c r="M60" s="1">
        <v>0.71</v>
      </c>
      <c r="N60" s="1">
        <v>0.53</v>
      </c>
      <c r="O60" s="1">
        <v>0.5</v>
      </c>
      <c r="P60" s="1">
        <v>0</v>
      </c>
      <c r="Q60" s="1">
        <v>0</v>
      </c>
      <c r="R60" s="1">
        <v>0</v>
      </c>
      <c r="S60" s="1">
        <v>34.4</v>
      </c>
      <c r="T60" s="1">
        <v>0</v>
      </c>
      <c r="U60" s="1">
        <v>44</v>
      </c>
      <c r="V60" s="1" t="s">
        <v>2125</v>
      </c>
      <c r="W60" s="1" t="s">
        <v>2138</v>
      </c>
    </row>
    <row r="61" spans="1:23" ht="13.2">
      <c r="A61" s="1">
        <v>60</v>
      </c>
      <c r="B61" s="1" t="s">
        <v>2139</v>
      </c>
      <c r="C61" s="1" t="s">
        <v>2020</v>
      </c>
      <c r="D61" s="1">
        <v>48</v>
      </c>
      <c r="E61" s="1">
        <v>1.61</v>
      </c>
      <c r="F61" s="1">
        <v>17.45</v>
      </c>
      <c r="G61" s="1">
        <v>0.19</v>
      </c>
      <c r="H61" s="1">
        <v>0</v>
      </c>
      <c r="I61" s="2">
        <v>9.9499999999999993</v>
      </c>
      <c r="J61" s="1">
        <v>0.14000000000000001</v>
      </c>
      <c r="K61" s="2">
        <v>9.5399999999999991</v>
      </c>
      <c r="L61" s="2">
        <v>10.54</v>
      </c>
      <c r="M61" s="1">
        <v>0.75</v>
      </c>
      <c r="N61" s="1">
        <v>0.57999999999999996</v>
      </c>
      <c r="O61" s="1">
        <v>0.48</v>
      </c>
      <c r="P61" s="1">
        <v>0</v>
      </c>
      <c r="Q61" s="1">
        <v>0</v>
      </c>
      <c r="R61" s="1">
        <v>0</v>
      </c>
      <c r="S61" s="1">
        <v>40</v>
      </c>
      <c r="T61" s="1">
        <v>0</v>
      </c>
      <c r="U61" s="1">
        <v>0</v>
      </c>
      <c r="V61" s="1" t="s">
        <v>2125</v>
      </c>
      <c r="W61" s="1" t="s">
        <v>2140</v>
      </c>
    </row>
    <row r="62" spans="1:23" ht="13.2">
      <c r="A62" s="1">
        <v>61</v>
      </c>
      <c r="B62" s="1" t="s">
        <v>2141</v>
      </c>
      <c r="C62" s="1" t="s">
        <v>2020</v>
      </c>
      <c r="D62" s="1">
        <v>48.1</v>
      </c>
      <c r="E62" s="1">
        <v>1.71</v>
      </c>
      <c r="F62" s="1">
        <v>17.149999999999999</v>
      </c>
      <c r="G62" s="1">
        <v>0.19</v>
      </c>
      <c r="H62" s="1">
        <v>0</v>
      </c>
      <c r="I62" s="2">
        <v>10.55</v>
      </c>
      <c r="J62" s="1">
        <v>0.14000000000000001</v>
      </c>
      <c r="K62" s="2">
        <v>9.5500000000000007</v>
      </c>
      <c r="L62" s="2">
        <v>10.16</v>
      </c>
      <c r="M62" s="1">
        <v>0.72</v>
      </c>
      <c r="N62" s="1">
        <v>0.53</v>
      </c>
      <c r="O62" s="1">
        <v>0.49</v>
      </c>
      <c r="P62" s="1">
        <v>0</v>
      </c>
      <c r="Q62" s="1">
        <v>0</v>
      </c>
      <c r="R62" s="1">
        <v>0</v>
      </c>
      <c r="S62" s="1">
        <v>36.200000000000003</v>
      </c>
      <c r="T62" s="1">
        <v>0</v>
      </c>
      <c r="U62" s="1">
        <v>36</v>
      </c>
      <c r="V62" s="1" t="s">
        <v>2125</v>
      </c>
      <c r="W62" s="1" t="s">
        <v>2142</v>
      </c>
    </row>
    <row r="63" spans="1:23" ht="13.2">
      <c r="A63" s="1">
        <v>62</v>
      </c>
      <c r="B63" s="1" t="s">
        <v>2143</v>
      </c>
      <c r="C63" s="1" t="s">
        <v>2020</v>
      </c>
      <c r="D63" s="1">
        <v>47.97</v>
      </c>
      <c r="E63" s="1">
        <v>1.77</v>
      </c>
      <c r="F63" s="1">
        <v>17.57</v>
      </c>
      <c r="G63" s="1">
        <v>0.26</v>
      </c>
      <c r="H63" s="1">
        <v>0</v>
      </c>
      <c r="I63" s="2">
        <v>10.41</v>
      </c>
      <c r="J63" s="1">
        <v>0.14000000000000001</v>
      </c>
      <c r="K63" s="2">
        <v>9.18</v>
      </c>
      <c r="L63" s="2">
        <v>11.15</v>
      </c>
      <c r="M63" s="1">
        <v>0.68</v>
      </c>
      <c r="N63" s="1">
        <v>0.57999999999999996</v>
      </c>
      <c r="O63" s="1">
        <v>0.52</v>
      </c>
      <c r="P63" s="1">
        <v>0</v>
      </c>
      <c r="Q63" s="1">
        <v>0</v>
      </c>
      <c r="R63" s="1">
        <v>400</v>
      </c>
      <c r="S63" s="1">
        <v>36</v>
      </c>
      <c r="T63" s="1">
        <v>0</v>
      </c>
      <c r="U63" s="1">
        <v>57</v>
      </c>
      <c r="V63" s="1" t="s">
        <v>2125</v>
      </c>
      <c r="W63" s="1" t="s">
        <v>2144</v>
      </c>
    </row>
    <row r="64" spans="1:23" ht="13.2">
      <c r="A64" s="1">
        <v>63</v>
      </c>
      <c r="B64" s="1" t="s">
        <v>2145</v>
      </c>
      <c r="C64" s="1" t="s">
        <v>2020</v>
      </c>
      <c r="D64" s="1">
        <v>47.77</v>
      </c>
      <c r="E64" s="1">
        <v>1.67</v>
      </c>
      <c r="F64" s="1">
        <v>17.989999999999998</v>
      </c>
      <c r="G64" s="1">
        <v>0.23</v>
      </c>
      <c r="H64" s="1">
        <v>0</v>
      </c>
      <c r="I64" s="2">
        <v>10.02</v>
      </c>
      <c r="J64" s="1">
        <v>0.14000000000000001</v>
      </c>
      <c r="K64" s="2">
        <v>9.4700000000000006</v>
      </c>
      <c r="L64" s="2">
        <v>11.25</v>
      </c>
      <c r="M64" s="1">
        <v>0.7</v>
      </c>
      <c r="N64" s="1">
        <v>0.54</v>
      </c>
      <c r="O64" s="1">
        <v>0.55000000000000004</v>
      </c>
      <c r="P64" s="1">
        <v>0</v>
      </c>
      <c r="Q64" s="1">
        <v>0</v>
      </c>
      <c r="R64" s="1">
        <v>320</v>
      </c>
      <c r="S64" s="1">
        <v>33</v>
      </c>
      <c r="T64" s="1">
        <v>0</v>
      </c>
      <c r="U64" s="1">
        <v>52</v>
      </c>
      <c r="V64" s="1" t="s">
        <v>2125</v>
      </c>
      <c r="W64" s="1" t="s">
        <v>2146</v>
      </c>
    </row>
    <row r="65" spans="1:23" ht="13.2">
      <c r="A65" s="1">
        <v>64</v>
      </c>
      <c r="B65" s="1" t="s">
        <v>2147</v>
      </c>
      <c r="C65" s="1" t="s">
        <v>2020</v>
      </c>
      <c r="D65" s="1">
        <v>48.16</v>
      </c>
      <c r="E65" s="1">
        <v>1.73</v>
      </c>
      <c r="F65" s="1">
        <v>17.600000000000001</v>
      </c>
      <c r="G65" s="1">
        <v>0.26</v>
      </c>
      <c r="H65" s="1">
        <v>0</v>
      </c>
      <c r="I65" s="2">
        <v>10.41</v>
      </c>
      <c r="J65" s="1">
        <v>0.14000000000000001</v>
      </c>
      <c r="K65" s="2">
        <v>9.26</v>
      </c>
      <c r="L65" s="2">
        <v>11.25</v>
      </c>
      <c r="M65" s="1">
        <v>0.61</v>
      </c>
      <c r="N65" s="1">
        <v>0.51</v>
      </c>
      <c r="O65" s="1">
        <v>0.53</v>
      </c>
      <c r="P65" s="1">
        <v>0</v>
      </c>
      <c r="Q65" s="1">
        <v>0</v>
      </c>
      <c r="R65" s="1">
        <v>440</v>
      </c>
      <c r="S65" s="1">
        <v>38</v>
      </c>
      <c r="T65" s="1">
        <v>0</v>
      </c>
      <c r="U65" s="1">
        <v>62</v>
      </c>
      <c r="V65" s="1" t="s">
        <v>2148</v>
      </c>
      <c r="W65" s="1" t="s">
        <v>2149</v>
      </c>
    </row>
    <row r="66" spans="1:23" ht="13.2">
      <c r="A66" s="1">
        <v>65</v>
      </c>
      <c r="B66" s="1" t="s">
        <v>2150</v>
      </c>
      <c r="C66" s="1" t="s">
        <v>2020</v>
      </c>
      <c r="D66" s="1">
        <v>47.11</v>
      </c>
      <c r="E66" s="1">
        <v>1.87</v>
      </c>
      <c r="F66" s="1">
        <v>16.97</v>
      </c>
      <c r="G66" s="1">
        <v>0</v>
      </c>
      <c r="H66" s="1">
        <v>0</v>
      </c>
      <c r="I66" s="2">
        <v>11.08</v>
      </c>
      <c r="J66" s="1">
        <v>0.17</v>
      </c>
      <c r="K66" s="2">
        <v>9.42</v>
      </c>
      <c r="L66" s="2">
        <v>10.95</v>
      </c>
      <c r="M66" s="1">
        <v>0.68</v>
      </c>
      <c r="N66" s="1">
        <v>0.49</v>
      </c>
      <c r="O66" s="1">
        <v>0.47</v>
      </c>
      <c r="P66" s="1">
        <v>0</v>
      </c>
      <c r="Q66" s="1">
        <v>0</v>
      </c>
      <c r="R66" s="1">
        <v>450</v>
      </c>
      <c r="S66" s="1">
        <v>38.1</v>
      </c>
      <c r="T66" s="1">
        <v>0</v>
      </c>
      <c r="U66" s="1">
        <v>0</v>
      </c>
      <c r="V66" s="1" t="s">
        <v>2125</v>
      </c>
      <c r="W66" s="1" t="s">
        <v>2151</v>
      </c>
    </row>
    <row r="67" spans="1:23" ht="13.2">
      <c r="A67" s="1">
        <v>66</v>
      </c>
      <c r="B67" s="1" t="s">
        <v>2152</v>
      </c>
      <c r="C67" s="1" t="s">
        <v>2020</v>
      </c>
      <c r="D67" s="1">
        <v>48.26</v>
      </c>
      <c r="E67" s="1">
        <v>2.06</v>
      </c>
      <c r="F67" s="1">
        <v>16.52</v>
      </c>
      <c r="G67" s="1">
        <v>0.21</v>
      </c>
      <c r="H67" s="1">
        <v>0</v>
      </c>
      <c r="I67" s="2">
        <v>10.29</v>
      </c>
      <c r="J67" s="1">
        <v>0.14000000000000001</v>
      </c>
      <c r="K67" s="2">
        <v>9.98</v>
      </c>
      <c r="L67" s="2">
        <v>10.29</v>
      </c>
      <c r="M67" s="1">
        <v>0.84</v>
      </c>
      <c r="N67" s="1">
        <v>0.75</v>
      </c>
      <c r="O67" s="1">
        <v>0.64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 t="s">
        <v>2153</v>
      </c>
      <c r="W67" s="1" t="s">
        <v>2154</v>
      </c>
    </row>
    <row r="68" spans="1:23" ht="13.2">
      <c r="A68" s="1">
        <v>67</v>
      </c>
      <c r="B68" s="1" t="s">
        <v>2155</v>
      </c>
      <c r="C68" s="1" t="s">
        <v>2020</v>
      </c>
      <c r="D68" s="1">
        <v>47.2</v>
      </c>
      <c r="E68" s="1">
        <v>1.24</v>
      </c>
      <c r="F68" s="1">
        <v>20.100000000000001</v>
      </c>
      <c r="G68" s="1">
        <v>0.18</v>
      </c>
      <c r="H68" s="1">
        <v>0</v>
      </c>
      <c r="I68" s="2">
        <v>8.3800000000000008</v>
      </c>
      <c r="J68" s="1">
        <v>0.11</v>
      </c>
      <c r="K68" s="2">
        <v>7.87</v>
      </c>
      <c r="L68" s="2">
        <v>12.3</v>
      </c>
      <c r="M68" s="1">
        <v>0.63</v>
      </c>
      <c r="N68" s="1">
        <v>0.49</v>
      </c>
      <c r="O68" s="1">
        <v>0.34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 t="s">
        <v>2153</v>
      </c>
      <c r="W68" s="1" t="s">
        <v>2156</v>
      </c>
    </row>
    <row r="69" spans="1:23" ht="13.2">
      <c r="A69" s="1">
        <v>68</v>
      </c>
      <c r="B69" s="1" t="s">
        <v>2157</v>
      </c>
      <c r="C69" s="1" t="s">
        <v>2020</v>
      </c>
      <c r="D69" s="1">
        <v>47.24</v>
      </c>
      <c r="E69" s="1">
        <v>1.81</v>
      </c>
      <c r="F69" s="1">
        <v>18.05</v>
      </c>
      <c r="G69" s="1">
        <v>0.15</v>
      </c>
      <c r="H69" s="1">
        <v>0</v>
      </c>
      <c r="I69" s="2">
        <v>11.13</v>
      </c>
      <c r="J69" s="1">
        <v>0.14000000000000001</v>
      </c>
      <c r="K69" s="2">
        <v>9.59</v>
      </c>
      <c r="L69" s="2">
        <v>10.16</v>
      </c>
      <c r="M69" s="1">
        <v>0.85</v>
      </c>
      <c r="N69" s="1">
        <v>0.81</v>
      </c>
      <c r="O69" s="1">
        <v>0.76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 t="s">
        <v>2153</v>
      </c>
      <c r="W69" s="1" t="s">
        <v>2158</v>
      </c>
    </row>
    <row r="70" spans="1:23" ht="26.4">
      <c r="A70" s="1">
        <v>69</v>
      </c>
      <c r="B70" s="1" t="s">
        <v>2159</v>
      </c>
      <c r="C70" s="1" t="s">
        <v>2020</v>
      </c>
      <c r="D70" s="1">
        <v>49</v>
      </c>
      <c r="E70" s="1">
        <v>1.6</v>
      </c>
      <c r="F70" s="1">
        <v>16</v>
      </c>
      <c r="G70" s="1">
        <v>0.18</v>
      </c>
      <c r="H70" s="1">
        <v>0</v>
      </c>
      <c r="I70" s="2">
        <v>9.5</v>
      </c>
      <c r="J70" s="1">
        <v>0.18</v>
      </c>
      <c r="K70" s="2">
        <v>13</v>
      </c>
      <c r="L70" s="2">
        <v>7.4</v>
      </c>
      <c r="M70" s="1">
        <v>0.85</v>
      </c>
      <c r="N70" s="1">
        <v>1.2</v>
      </c>
      <c r="O70" s="1">
        <v>0</v>
      </c>
      <c r="P70" s="1">
        <v>0</v>
      </c>
      <c r="Q70" s="1">
        <v>0</v>
      </c>
      <c r="R70" s="1">
        <v>205</v>
      </c>
      <c r="S70" s="1">
        <v>32</v>
      </c>
      <c r="T70" s="1">
        <v>0</v>
      </c>
      <c r="U70" s="1">
        <v>52</v>
      </c>
      <c r="V70" s="1" t="s">
        <v>2160</v>
      </c>
      <c r="W70" s="1" t="s">
        <v>2161</v>
      </c>
    </row>
    <row r="71" spans="1:23" ht="13.2">
      <c r="A71" s="1">
        <v>70</v>
      </c>
      <c r="B71" s="1" t="s">
        <v>2162</v>
      </c>
      <c r="C71" s="1" t="s">
        <v>2020</v>
      </c>
      <c r="D71" s="1">
        <v>0</v>
      </c>
      <c r="E71" s="1">
        <v>2.27</v>
      </c>
      <c r="F71" s="1">
        <v>13.2</v>
      </c>
      <c r="G71" s="1">
        <v>0.43</v>
      </c>
      <c r="H71" s="1">
        <v>0</v>
      </c>
      <c r="I71" s="2">
        <v>15.4</v>
      </c>
      <c r="J71" s="1">
        <v>0.21</v>
      </c>
      <c r="K71" s="2">
        <v>0</v>
      </c>
      <c r="L71" s="2">
        <v>0</v>
      </c>
      <c r="M71" s="1">
        <v>0.59</v>
      </c>
      <c r="N71" s="1">
        <v>0.17</v>
      </c>
      <c r="O71" s="1">
        <v>0</v>
      </c>
      <c r="P71" s="1">
        <v>0</v>
      </c>
      <c r="Q71" s="1">
        <v>0</v>
      </c>
      <c r="R71" s="1">
        <v>0</v>
      </c>
      <c r="S71" s="1">
        <v>0.03</v>
      </c>
      <c r="T71" s="1">
        <v>0</v>
      </c>
      <c r="U71" s="1">
        <v>0</v>
      </c>
      <c r="V71" s="1" t="s">
        <v>2163</v>
      </c>
      <c r="W71" s="1" t="s">
        <v>2164</v>
      </c>
    </row>
    <row r="72" spans="1:23" ht="13.2">
      <c r="A72" s="1">
        <v>71</v>
      </c>
      <c r="B72" s="1" t="s">
        <v>2165</v>
      </c>
      <c r="C72" s="1" t="s">
        <v>2020</v>
      </c>
      <c r="D72" s="1">
        <v>44.08</v>
      </c>
      <c r="E72" s="1">
        <v>2.2799999999999998</v>
      </c>
      <c r="F72" s="1">
        <v>8.3800000000000008</v>
      </c>
      <c r="G72" s="1">
        <v>0.85</v>
      </c>
      <c r="H72" s="1">
        <v>0</v>
      </c>
      <c r="I72" s="2">
        <v>22.74</v>
      </c>
      <c r="J72" s="1">
        <v>0.32</v>
      </c>
      <c r="K72" s="2">
        <v>11.3</v>
      </c>
      <c r="L72" s="2">
        <v>9.27</v>
      </c>
      <c r="M72" s="1">
        <v>0.27</v>
      </c>
      <c r="N72" s="1">
        <v>0.04</v>
      </c>
      <c r="O72" s="1">
        <v>7.0000000000000007E-2</v>
      </c>
      <c r="P72" s="1">
        <v>0</v>
      </c>
      <c r="Q72" s="1">
        <v>11</v>
      </c>
      <c r="R72" s="1">
        <v>85.9</v>
      </c>
      <c r="S72" s="1">
        <v>54</v>
      </c>
      <c r="T72" s="1">
        <v>4</v>
      </c>
      <c r="U72" s="1">
        <v>200</v>
      </c>
      <c r="V72" s="1" t="s">
        <v>2119</v>
      </c>
      <c r="W72" s="1" t="s">
        <v>2166</v>
      </c>
    </row>
    <row r="73" spans="1:23" ht="13.2">
      <c r="A73" s="1">
        <v>72</v>
      </c>
      <c r="B73" s="1" t="s">
        <v>2167</v>
      </c>
      <c r="C73" s="1" t="s">
        <v>2020</v>
      </c>
      <c r="D73" s="1">
        <v>46.56</v>
      </c>
      <c r="E73" s="1">
        <v>1.75</v>
      </c>
      <c r="F73" s="1">
        <v>13.73</v>
      </c>
      <c r="G73" s="1">
        <v>0</v>
      </c>
      <c r="H73" s="1">
        <v>0</v>
      </c>
      <c r="I73" s="2">
        <v>15.21</v>
      </c>
      <c r="J73" s="1">
        <v>0.2</v>
      </c>
      <c r="K73" s="2">
        <v>10.37</v>
      </c>
      <c r="L73" s="2">
        <v>10.54</v>
      </c>
      <c r="M73" s="1">
        <v>0.41</v>
      </c>
      <c r="N73" s="1">
        <v>0.2</v>
      </c>
      <c r="O73" s="1">
        <v>0.18</v>
      </c>
      <c r="P73" s="1">
        <v>0</v>
      </c>
      <c r="Q73" s="1">
        <v>0</v>
      </c>
      <c r="R73" s="1">
        <v>0</v>
      </c>
      <c r="S73" s="1">
        <v>40</v>
      </c>
      <c r="T73" s="1">
        <v>0</v>
      </c>
      <c r="U73" s="1">
        <v>114</v>
      </c>
      <c r="V73" s="1" t="s">
        <v>2168</v>
      </c>
      <c r="W73" s="1" t="s">
        <v>2169</v>
      </c>
    </row>
    <row r="74" spans="1:23" ht="13.2">
      <c r="A74" s="1">
        <v>73</v>
      </c>
      <c r="B74" s="1" t="s">
        <v>2170</v>
      </c>
      <c r="C74" s="1" t="s">
        <v>2020</v>
      </c>
      <c r="D74" s="1">
        <v>48.14</v>
      </c>
      <c r="E74" s="1">
        <v>1.69</v>
      </c>
      <c r="F74" s="1">
        <v>8.89</v>
      </c>
      <c r="G74" s="1">
        <v>0.66</v>
      </c>
      <c r="H74" s="1">
        <v>0</v>
      </c>
      <c r="I74" s="2">
        <v>19.86</v>
      </c>
      <c r="J74" s="1">
        <v>0.27</v>
      </c>
      <c r="K74" s="2">
        <v>9.2799999999999994</v>
      </c>
      <c r="L74" s="2">
        <v>10.27</v>
      </c>
      <c r="M74" s="1">
        <v>0.28000000000000003</v>
      </c>
      <c r="N74" s="1">
        <v>0.03</v>
      </c>
      <c r="O74" s="1">
        <v>7.0000000000000007E-2</v>
      </c>
      <c r="P74" s="1">
        <v>0</v>
      </c>
      <c r="Q74" s="1">
        <v>0</v>
      </c>
      <c r="R74" s="1">
        <v>0</v>
      </c>
      <c r="S74" s="1">
        <v>42</v>
      </c>
      <c r="T74" s="1">
        <v>0</v>
      </c>
      <c r="U74" s="1">
        <v>0</v>
      </c>
      <c r="V74" s="1" t="s">
        <v>2119</v>
      </c>
      <c r="W74" s="1" t="s">
        <v>2171</v>
      </c>
    </row>
    <row r="75" spans="1:23" ht="13.2">
      <c r="A75" s="1">
        <v>74</v>
      </c>
      <c r="B75" s="1" t="s">
        <v>2172</v>
      </c>
      <c r="C75" s="1" t="s">
        <v>2020</v>
      </c>
      <c r="D75" s="1">
        <v>48.34</v>
      </c>
      <c r="E75" s="1">
        <v>1.46</v>
      </c>
      <c r="F75" s="1">
        <v>9.7899999999999991</v>
      </c>
      <c r="G75" s="1">
        <v>0.5</v>
      </c>
      <c r="H75" s="1">
        <v>0</v>
      </c>
      <c r="I75" s="2">
        <v>18.82</v>
      </c>
      <c r="J75" s="1">
        <v>0.25</v>
      </c>
      <c r="K75" s="2">
        <v>10.47</v>
      </c>
      <c r="L75" s="2">
        <v>9.75</v>
      </c>
      <c r="M75" s="1">
        <v>0.34</v>
      </c>
      <c r="N75" s="1">
        <v>0.05</v>
      </c>
      <c r="O75" s="1">
        <v>7.0000000000000007E-2</v>
      </c>
      <c r="P75" s="1">
        <v>0</v>
      </c>
      <c r="Q75" s="1">
        <v>64</v>
      </c>
      <c r="R75" s="1">
        <v>75.900000000000006</v>
      </c>
      <c r="S75" s="1">
        <v>52</v>
      </c>
      <c r="T75" s="1">
        <v>5</v>
      </c>
      <c r="U75" s="1">
        <v>158</v>
      </c>
      <c r="V75" s="1" t="s">
        <v>2119</v>
      </c>
      <c r="W75" s="1" t="s">
        <v>2173</v>
      </c>
    </row>
    <row r="76" spans="1:23" ht="13.2">
      <c r="A76" s="1">
        <v>75</v>
      </c>
      <c r="B76" s="1" t="s">
        <v>2174</v>
      </c>
      <c r="C76" s="1" t="s">
        <v>2020</v>
      </c>
      <c r="D76" s="1">
        <v>48.13</v>
      </c>
      <c r="E76" s="1">
        <v>1.5</v>
      </c>
      <c r="F76" s="1">
        <v>13.85</v>
      </c>
      <c r="G76" s="1">
        <v>0.44</v>
      </c>
      <c r="H76" s="1">
        <v>0</v>
      </c>
      <c r="I76" s="2">
        <v>16.21</v>
      </c>
      <c r="J76" s="1">
        <v>0.2</v>
      </c>
      <c r="K76" s="2">
        <v>11.14</v>
      </c>
      <c r="L76" s="2">
        <v>11.19</v>
      </c>
      <c r="M76" s="1">
        <v>0.36</v>
      </c>
      <c r="N76" s="1">
        <v>0.15</v>
      </c>
      <c r="O76" s="1">
        <v>0</v>
      </c>
      <c r="P76" s="1">
        <v>0</v>
      </c>
      <c r="Q76" s="1">
        <v>0</v>
      </c>
      <c r="R76" s="1">
        <v>0</v>
      </c>
      <c r="S76" s="1">
        <v>46</v>
      </c>
      <c r="T76" s="1">
        <v>0</v>
      </c>
      <c r="U76" s="1">
        <v>116</v>
      </c>
      <c r="V76" s="1" t="s">
        <v>2125</v>
      </c>
      <c r="W76" s="1" t="s">
        <v>2175</v>
      </c>
    </row>
    <row r="77" spans="1:23" ht="13.2">
      <c r="A77" s="1">
        <v>76</v>
      </c>
      <c r="B77" s="1" t="s">
        <v>2176</v>
      </c>
      <c r="C77" s="1" t="s">
        <v>2020</v>
      </c>
      <c r="D77" s="1">
        <v>47.5</v>
      </c>
      <c r="E77" s="1">
        <v>1.67</v>
      </c>
      <c r="F77" s="1">
        <v>11.01</v>
      </c>
      <c r="G77" s="1">
        <v>0.42</v>
      </c>
      <c r="H77" s="1">
        <v>0</v>
      </c>
      <c r="I77" s="2">
        <v>17.489999999999998</v>
      </c>
      <c r="J77" s="1">
        <v>0.26</v>
      </c>
      <c r="K77" s="2">
        <v>10.55</v>
      </c>
      <c r="L77" s="2">
        <v>10.26</v>
      </c>
      <c r="M77" s="1">
        <v>0.35</v>
      </c>
      <c r="N77" s="1">
        <v>0.14000000000000001</v>
      </c>
      <c r="O77" s="1">
        <v>0.17</v>
      </c>
      <c r="P77" s="1">
        <v>0</v>
      </c>
      <c r="Q77" s="1">
        <v>0</v>
      </c>
      <c r="R77" s="1">
        <v>157.16</v>
      </c>
      <c r="S77" s="1">
        <v>41</v>
      </c>
      <c r="T77" s="1">
        <v>0</v>
      </c>
      <c r="U77" s="1">
        <v>0</v>
      </c>
      <c r="V77" s="1" t="s">
        <v>2096</v>
      </c>
      <c r="W77" s="1" t="s">
        <v>2177</v>
      </c>
    </row>
    <row r="78" spans="1:23" ht="13.2">
      <c r="A78" s="1">
        <v>77</v>
      </c>
      <c r="B78" s="1" t="s">
        <v>2178</v>
      </c>
      <c r="C78" s="1" t="s">
        <v>2020</v>
      </c>
      <c r="D78" s="1">
        <v>46.47</v>
      </c>
      <c r="E78" s="1">
        <v>1.31</v>
      </c>
      <c r="F78" s="1">
        <v>17.47</v>
      </c>
      <c r="G78" s="1">
        <v>0.24</v>
      </c>
      <c r="H78" s="1">
        <v>0</v>
      </c>
      <c r="I78" s="2">
        <v>11.57</v>
      </c>
      <c r="J78" s="1">
        <v>0.17</v>
      </c>
      <c r="K78" s="2">
        <v>10.5</v>
      </c>
      <c r="L78" s="2">
        <v>11.77</v>
      </c>
      <c r="M78" s="1">
        <v>0.41</v>
      </c>
      <c r="N78" s="1">
        <v>0.18</v>
      </c>
      <c r="O78" s="1">
        <v>0.16</v>
      </c>
      <c r="P78" s="1">
        <v>0</v>
      </c>
      <c r="Q78" s="1">
        <v>0</v>
      </c>
      <c r="R78" s="1">
        <v>365</v>
      </c>
      <c r="S78" s="1">
        <v>39</v>
      </c>
      <c r="T78" s="1">
        <v>0</v>
      </c>
      <c r="U78" s="1">
        <v>80</v>
      </c>
      <c r="V78" s="1" t="s">
        <v>2125</v>
      </c>
      <c r="W78" s="1" t="s">
        <v>2179</v>
      </c>
    </row>
    <row r="79" spans="1:23" ht="13.2">
      <c r="A79" s="1">
        <v>78</v>
      </c>
      <c r="B79" s="1" t="s">
        <v>2180</v>
      </c>
      <c r="C79" s="1" t="s">
        <v>2020</v>
      </c>
      <c r="D79" s="1">
        <v>46.29</v>
      </c>
      <c r="E79" s="1">
        <v>1.31</v>
      </c>
      <c r="F79" s="1">
        <v>17.7</v>
      </c>
      <c r="G79" s="1">
        <v>0.22</v>
      </c>
      <c r="H79" s="1">
        <v>0</v>
      </c>
      <c r="I79" s="2">
        <v>11.53</v>
      </c>
      <c r="J79" s="1">
        <v>0.16</v>
      </c>
      <c r="K79" s="2">
        <v>10.55</v>
      </c>
      <c r="L79" s="2">
        <v>11.54</v>
      </c>
      <c r="M79" s="1">
        <v>0.41</v>
      </c>
      <c r="N79" s="1">
        <v>0.19</v>
      </c>
      <c r="O79" s="1">
        <v>0.16</v>
      </c>
      <c r="P79" s="1">
        <v>0</v>
      </c>
      <c r="Q79" s="1">
        <v>0</v>
      </c>
      <c r="R79" s="1">
        <v>295</v>
      </c>
      <c r="S79" s="1">
        <v>44</v>
      </c>
      <c r="T79" s="1">
        <v>0</v>
      </c>
      <c r="U79" s="1">
        <v>94</v>
      </c>
      <c r="V79" s="1" t="s">
        <v>2125</v>
      </c>
      <c r="W79" s="1" t="s">
        <v>2181</v>
      </c>
    </row>
    <row r="80" spans="1:23" ht="13.2">
      <c r="A80" s="1">
        <v>79</v>
      </c>
      <c r="B80" s="1" t="s">
        <v>2182</v>
      </c>
      <c r="C80" s="1" t="s">
        <v>2020</v>
      </c>
      <c r="D80" s="1">
        <v>51.03</v>
      </c>
      <c r="E80" s="1">
        <v>1.99</v>
      </c>
      <c r="F80" s="1">
        <v>14.92</v>
      </c>
      <c r="G80" s="1">
        <v>0.34</v>
      </c>
      <c r="H80" s="1">
        <v>0</v>
      </c>
      <c r="I80" s="2">
        <v>11.28</v>
      </c>
      <c r="J80" s="1">
        <v>0.16</v>
      </c>
      <c r="K80" s="2">
        <v>8.23</v>
      </c>
      <c r="L80" s="2">
        <v>9.94</v>
      </c>
      <c r="M80" s="1">
        <v>0.73</v>
      </c>
      <c r="N80" s="1">
        <v>0.53</v>
      </c>
      <c r="O80" s="1">
        <v>0.56000000000000005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 t="s">
        <v>2096</v>
      </c>
      <c r="W80" s="1" t="s">
        <v>2183</v>
      </c>
    </row>
    <row r="81" spans="1:23" ht="13.2">
      <c r="A81" s="1">
        <v>80</v>
      </c>
      <c r="B81" s="1" t="s">
        <v>2184</v>
      </c>
      <c r="C81" s="1" t="s">
        <v>2020</v>
      </c>
      <c r="D81" s="1">
        <v>46.35</v>
      </c>
      <c r="E81" s="1">
        <v>1.34</v>
      </c>
      <c r="F81" s="1">
        <v>17.73</v>
      </c>
      <c r="G81" s="1">
        <v>0.23</v>
      </c>
      <c r="H81" s="1">
        <v>0</v>
      </c>
      <c r="I81" s="2">
        <v>11.66</v>
      </c>
      <c r="J81" s="1">
        <v>0.16</v>
      </c>
      <c r="K81" s="2">
        <v>10.48</v>
      </c>
      <c r="L81" s="2">
        <v>11.68</v>
      </c>
      <c r="M81" s="1">
        <v>0.44</v>
      </c>
      <c r="N81" s="1">
        <v>0.19</v>
      </c>
      <c r="O81" s="1">
        <v>0.19</v>
      </c>
      <c r="P81" s="1">
        <v>0</v>
      </c>
      <c r="Q81" s="1">
        <v>0</v>
      </c>
      <c r="R81" s="1">
        <v>325</v>
      </c>
      <c r="S81" s="1">
        <v>40</v>
      </c>
      <c r="T81" s="1">
        <v>0</v>
      </c>
      <c r="U81" s="1">
        <v>80</v>
      </c>
      <c r="V81" s="1" t="s">
        <v>2185</v>
      </c>
      <c r="W81" s="1" t="s">
        <v>2186</v>
      </c>
    </row>
    <row r="82" spans="1:23" ht="13.2">
      <c r="A82" s="1">
        <v>81</v>
      </c>
      <c r="B82" s="1" t="s">
        <v>2187</v>
      </c>
      <c r="C82" s="1" t="s">
        <v>2020</v>
      </c>
      <c r="D82" s="1">
        <v>46.56</v>
      </c>
      <c r="E82" s="1">
        <v>1.27</v>
      </c>
      <c r="F82" s="1">
        <v>17.54</v>
      </c>
      <c r="G82" s="1">
        <v>0.23</v>
      </c>
      <c r="H82" s="1">
        <v>0</v>
      </c>
      <c r="I82" s="2">
        <v>11.32</v>
      </c>
      <c r="J82" s="1">
        <v>0.15</v>
      </c>
      <c r="K82" s="2">
        <v>10.69</v>
      </c>
      <c r="L82" s="2">
        <v>11.87</v>
      </c>
      <c r="M82" s="1">
        <v>0.45</v>
      </c>
      <c r="N82" s="1">
        <v>0.19</v>
      </c>
      <c r="O82" s="1">
        <v>0.16</v>
      </c>
      <c r="P82" s="1">
        <v>0</v>
      </c>
      <c r="Q82" s="1">
        <v>0</v>
      </c>
      <c r="R82" s="1">
        <v>320</v>
      </c>
      <c r="S82" s="1">
        <v>44</v>
      </c>
      <c r="T82" s="1">
        <v>0</v>
      </c>
      <c r="U82" s="1">
        <v>84</v>
      </c>
      <c r="V82" s="1" t="s">
        <v>2125</v>
      </c>
      <c r="W82" s="1" t="s">
        <v>2188</v>
      </c>
    </row>
    <row r="83" spans="1:23" ht="13.2">
      <c r="A83" s="1">
        <v>82</v>
      </c>
      <c r="B83" s="1" t="s">
        <v>2189</v>
      </c>
      <c r="C83" s="1" t="s">
        <v>2020</v>
      </c>
      <c r="D83" s="1">
        <v>46.4</v>
      </c>
      <c r="E83" s="1">
        <v>1.35</v>
      </c>
      <c r="F83" s="1">
        <v>17.14</v>
      </c>
      <c r="G83" s="1">
        <v>0.23</v>
      </c>
      <c r="H83" s="1">
        <v>0</v>
      </c>
      <c r="I83" s="2">
        <v>11.53</v>
      </c>
      <c r="J83" s="1">
        <v>0.16</v>
      </c>
      <c r="K83" s="2">
        <v>10.47</v>
      </c>
      <c r="L83" s="2">
        <v>11.88</v>
      </c>
      <c r="M83" s="1">
        <v>0.41</v>
      </c>
      <c r="N83" s="1">
        <v>0.19</v>
      </c>
      <c r="O83" s="1">
        <v>0.15</v>
      </c>
      <c r="P83" s="1">
        <v>0</v>
      </c>
      <c r="Q83" s="1">
        <v>0</v>
      </c>
      <c r="R83" s="1">
        <v>315</v>
      </c>
      <c r="S83" s="1">
        <v>42</v>
      </c>
      <c r="T83" s="1">
        <v>0</v>
      </c>
      <c r="U83" s="1">
        <v>82</v>
      </c>
      <c r="V83" s="1" t="s">
        <v>2125</v>
      </c>
      <c r="W83" s="1" t="s">
        <v>2190</v>
      </c>
    </row>
    <row r="84" spans="1:23" ht="13.2">
      <c r="A84" s="1">
        <v>83</v>
      </c>
      <c r="B84" s="1" t="s">
        <v>2191</v>
      </c>
      <c r="C84" s="1" t="s">
        <v>2020</v>
      </c>
      <c r="D84" s="1">
        <v>47.02</v>
      </c>
      <c r="E84" s="1">
        <v>1.49</v>
      </c>
      <c r="F84" s="1">
        <v>16.28</v>
      </c>
      <c r="G84" s="1">
        <v>0.3</v>
      </c>
      <c r="H84" s="1">
        <v>0</v>
      </c>
      <c r="I84" s="2">
        <v>12</v>
      </c>
      <c r="J84" s="1">
        <v>0.16</v>
      </c>
      <c r="K84" s="2">
        <v>10.31</v>
      </c>
      <c r="L84" s="2">
        <v>11.25</v>
      </c>
      <c r="M84" s="1">
        <v>0.54</v>
      </c>
      <c r="N84" s="1">
        <v>0.22</v>
      </c>
      <c r="O84" s="1">
        <v>0.24</v>
      </c>
      <c r="P84" s="1">
        <v>0</v>
      </c>
      <c r="Q84" s="1">
        <v>0</v>
      </c>
      <c r="R84" s="1">
        <v>405</v>
      </c>
      <c r="S84" s="1">
        <v>46</v>
      </c>
      <c r="T84" s="1">
        <v>0</v>
      </c>
      <c r="U84" s="1">
        <v>85</v>
      </c>
      <c r="V84" s="1" t="s">
        <v>2125</v>
      </c>
      <c r="W84" s="1" t="s">
        <v>2192</v>
      </c>
    </row>
    <row r="85" spans="1:23" ht="13.2">
      <c r="A85" s="1">
        <v>84</v>
      </c>
      <c r="B85" s="1" t="s">
        <v>2193</v>
      </c>
      <c r="C85" s="1" t="s">
        <v>2020</v>
      </c>
      <c r="D85" s="1">
        <v>46.4</v>
      </c>
      <c r="E85" s="1">
        <v>1.8</v>
      </c>
      <c r="F85" s="1">
        <v>14.1</v>
      </c>
      <c r="G85" s="1">
        <v>0</v>
      </c>
      <c r="H85" s="1">
        <v>0</v>
      </c>
      <c r="I85" s="2">
        <v>14.7</v>
      </c>
      <c r="J85" s="1">
        <v>0</v>
      </c>
      <c r="K85" s="2">
        <v>11.1</v>
      </c>
      <c r="L85" s="2">
        <v>10.7</v>
      </c>
      <c r="M85" s="1">
        <v>0.38</v>
      </c>
      <c r="N85" s="1">
        <v>0.16</v>
      </c>
      <c r="O85" s="1">
        <v>0.11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 t="s">
        <v>2194</v>
      </c>
      <c r="W85" s="1" t="s">
        <v>2195</v>
      </c>
    </row>
    <row r="86" spans="1:23" ht="13.2">
      <c r="A86" s="1">
        <v>85</v>
      </c>
      <c r="B86" s="1" t="s">
        <v>2196</v>
      </c>
      <c r="C86" s="1" t="s">
        <v>2020</v>
      </c>
      <c r="D86" s="1">
        <v>46.7</v>
      </c>
      <c r="E86" s="1">
        <v>1.47</v>
      </c>
      <c r="F86" s="1">
        <v>16.510000000000002</v>
      </c>
      <c r="G86" s="1">
        <v>0.38</v>
      </c>
      <c r="H86" s="1">
        <v>0</v>
      </c>
      <c r="I86" s="2">
        <v>12.15</v>
      </c>
      <c r="J86" s="1">
        <v>0.16</v>
      </c>
      <c r="K86" s="2">
        <v>10.55</v>
      </c>
      <c r="L86" s="2">
        <v>11.29</v>
      </c>
      <c r="M86" s="1">
        <v>0.43</v>
      </c>
      <c r="N86" s="1">
        <v>0.21</v>
      </c>
      <c r="O86" s="1">
        <v>0.21</v>
      </c>
      <c r="P86" s="1">
        <v>0</v>
      </c>
      <c r="Q86" s="1">
        <v>0</v>
      </c>
      <c r="R86" s="1">
        <v>231</v>
      </c>
      <c r="S86" s="1">
        <v>40</v>
      </c>
      <c r="T86" s="1">
        <v>0</v>
      </c>
      <c r="U86" s="1">
        <v>80</v>
      </c>
      <c r="V86" s="1" t="s">
        <v>2125</v>
      </c>
      <c r="W86" s="1" t="s">
        <v>2197</v>
      </c>
    </row>
    <row r="87" spans="1:23" ht="13.2">
      <c r="A87" s="1">
        <v>86</v>
      </c>
      <c r="B87" s="1" t="s">
        <v>2198</v>
      </c>
      <c r="C87" s="1" t="s">
        <v>2020</v>
      </c>
      <c r="D87" s="1">
        <v>49.91</v>
      </c>
      <c r="E87" s="1">
        <v>1.17</v>
      </c>
      <c r="F87" s="1">
        <v>14.53</v>
      </c>
      <c r="G87" s="1">
        <v>0</v>
      </c>
      <c r="H87" s="1">
        <v>0</v>
      </c>
      <c r="I87" s="2">
        <v>14.05</v>
      </c>
      <c r="J87" s="1">
        <v>0.19</v>
      </c>
      <c r="K87" s="2">
        <v>12.12</v>
      </c>
      <c r="L87" s="2">
        <v>10.7</v>
      </c>
      <c r="M87" s="1">
        <v>0.35</v>
      </c>
      <c r="N87" s="1">
        <v>0.16</v>
      </c>
      <c r="O87" s="1">
        <v>0.15</v>
      </c>
      <c r="P87" s="1">
        <v>0</v>
      </c>
      <c r="Q87" s="1">
        <v>0</v>
      </c>
      <c r="R87" s="1">
        <v>234</v>
      </c>
      <c r="S87" s="1">
        <v>51</v>
      </c>
      <c r="T87" s="1">
        <v>0</v>
      </c>
      <c r="U87" s="1">
        <v>97</v>
      </c>
      <c r="V87" s="1" t="s">
        <v>2125</v>
      </c>
      <c r="W87" s="1" t="s">
        <v>2199</v>
      </c>
    </row>
    <row r="88" spans="1:23" ht="13.2">
      <c r="A88" s="1">
        <v>87</v>
      </c>
      <c r="B88" s="1" t="s">
        <v>2200</v>
      </c>
      <c r="C88" s="1" t="s">
        <v>2020</v>
      </c>
      <c r="D88" s="1">
        <v>45.35</v>
      </c>
      <c r="E88" s="1">
        <v>0.4</v>
      </c>
      <c r="F88" s="1">
        <v>7.52</v>
      </c>
      <c r="G88" s="1">
        <v>0.44</v>
      </c>
      <c r="H88" s="1">
        <v>0</v>
      </c>
      <c r="I88" s="2">
        <v>20.100000000000001</v>
      </c>
      <c r="J88" s="1">
        <v>0.22</v>
      </c>
      <c r="K88" s="2">
        <v>17.079999999999998</v>
      </c>
      <c r="L88" s="2">
        <v>8.42</v>
      </c>
      <c r="M88" s="1">
        <v>0.13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 t="s">
        <v>2125</v>
      </c>
      <c r="W88" s="1" t="s">
        <v>2201</v>
      </c>
    </row>
    <row r="89" spans="1:23" ht="13.2">
      <c r="A89" s="1">
        <v>88</v>
      </c>
      <c r="B89" s="1" t="s">
        <v>2202</v>
      </c>
      <c r="C89" s="1" t="s">
        <v>2020</v>
      </c>
      <c r="D89" s="1">
        <v>46.1</v>
      </c>
      <c r="E89" s="1">
        <v>1.58</v>
      </c>
      <c r="F89" s="1">
        <v>12.91</v>
      </c>
      <c r="G89" s="1">
        <v>0.47</v>
      </c>
      <c r="H89" s="1">
        <v>0</v>
      </c>
      <c r="I89" s="2">
        <v>16.239999999999998</v>
      </c>
      <c r="J89" s="1">
        <v>0.21</v>
      </c>
      <c r="K89" s="2">
        <v>11.11</v>
      </c>
      <c r="L89" s="2">
        <v>10.42</v>
      </c>
      <c r="M89" s="1">
        <v>0.32</v>
      </c>
      <c r="N89" s="1">
        <v>0.12</v>
      </c>
      <c r="O89" s="1">
        <v>0.12</v>
      </c>
      <c r="P89" s="1">
        <v>0</v>
      </c>
      <c r="Q89" s="1">
        <v>0</v>
      </c>
      <c r="R89" s="1">
        <v>179</v>
      </c>
      <c r="S89" s="1">
        <v>46</v>
      </c>
      <c r="T89" s="1">
        <v>0</v>
      </c>
      <c r="U89" s="1">
        <v>128</v>
      </c>
      <c r="V89" s="1" t="s">
        <v>2125</v>
      </c>
      <c r="W89" s="1" t="s">
        <v>2203</v>
      </c>
    </row>
    <row r="90" spans="1:23" ht="13.2">
      <c r="A90" s="1">
        <v>89</v>
      </c>
      <c r="B90" s="1" t="s">
        <v>2204</v>
      </c>
      <c r="C90" s="1" t="s">
        <v>2020</v>
      </c>
      <c r="D90" s="1">
        <v>47.81</v>
      </c>
      <c r="E90" s="1">
        <v>1.78</v>
      </c>
      <c r="F90" s="1">
        <v>9.11</v>
      </c>
      <c r="G90" s="1">
        <v>0.56999999999999995</v>
      </c>
      <c r="H90" s="1">
        <v>0</v>
      </c>
      <c r="I90" s="2">
        <v>20.190000000000001</v>
      </c>
      <c r="J90" s="1">
        <v>0.28000000000000003</v>
      </c>
      <c r="K90" s="2">
        <v>9.33</v>
      </c>
      <c r="L90" s="2">
        <v>10.34</v>
      </c>
      <c r="M90" s="1">
        <v>0.32</v>
      </c>
      <c r="N90" s="1">
        <v>0.05</v>
      </c>
      <c r="O90" s="1">
        <v>0.08</v>
      </c>
      <c r="P90" s="1">
        <v>0</v>
      </c>
      <c r="Q90" s="1">
        <v>0</v>
      </c>
      <c r="R90" s="1">
        <v>19</v>
      </c>
      <c r="S90" s="1">
        <v>44</v>
      </c>
      <c r="T90" s="1">
        <v>2</v>
      </c>
      <c r="U90" s="1">
        <v>189</v>
      </c>
      <c r="V90" s="1" t="s">
        <v>2205</v>
      </c>
      <c r="W90" s="1" t="s">
        <v>2206</v>
      </c>
    </row>
    <row r="91" spans="1:23" ht="13.2">
      <c r="A91" s="1">
        <v>90</v>
      </c>
      <c r="B91" s="1" t="s">
        <v>2207</v>
      </c>
      <c r="C91" s="1" t="s">
        <v>2020</v>
      </c>
      <c r="D91" s="1">
        <v>46.21</v>
      </c>
      <c r="E91" s="1">
        <v>1.81</v>
      </c>
      <c r="F91" s="1">
        <v>12.2</v>
      </c>
      <c r="G91" s="1">
        <v>0.49</v>
      </c>
      <c r="H91" s="1">
        <v>0</v>
      </c>
      <c r="I91" s="2">
        <v>16.72</v>
      </c>
      <c r="J91" s="1">
        <v>0.22</v>
      </c>
      <c r="K91" s="2">
        <v>10.8</v>
      </c>
      <c r="L91" s="2">
        <v>10.25</v>
      </c>
      <c r="M91" s="1">
        <v>0.37</v>
      </c>
      <c r="N91" s="1">
        <v>0.16</v>
      </c>
      <c r="O91" s="1">
        <v>0.17</v>
      </c>
      <c r="P91" s="1">
        <v>0</v>
      </c>
      <c r="Q91" s="1">
        <v>0</v>
      </c>
      <c r="R91" s="1">
        <v>224</v>
      </c>
      <c r="S91" s="1">
        <v>50</v>
      </c>
      <c r="T91" s="1">
        <v>0</v>
      </c>
      <c r="U91" s="1">
        <v>129</v>
      </c>
      <c r="V91" s="1" t="s">
        <v>2125</v>
      </c>
      <c r="W91" s="1" t="s">
        <v>2208</v>
      </c>
    </row>
    <row r="92" spans="1:23" ht="13.2">
      <c r="A92" s="1">
        <v>91</v>
      </c>
      <c r="B92" s="1" t="s">
        <v>2209</v>
      </c>
      <c r="C92" s="1" t="s">
        <v>2020</v>
      </c>
      <c r="D92" s="1">
        <v>46.42</v>
      </c>
      <c r="E92" s="1">
        <v>2.17</v>
      </c>
      <c r="F92" s="1">
        <v>9.86</v>
      </c>
      <c r="G92" s="1">
        <v>0.56000000000000005</v>
      </c>
      <c r="H92" s="1">
        <v>0</v>
      </c>
      <c r="I92" s="2">
        <v>20.7</v>
      </c>
      <c r="J92" s="1">
        <v>0.25</v>
      </c>
      <c r="K92" s="2">
        <v>11.34</v>
      </c>
      <c r="L92" s="2">
        <v>9.3800000000000008</v>
      </c>
      <c r="M92" s="1">
        <v>0.31</v>
      </c>
      <c r="N92" s="1">
        <v>0.87</v>
      </c>
      <c r="O92" s="1">
        <v>0</v>
      </c>
      <c r="P92" s="1">
        <v>0</v>
      </c>
      <c r="Q92" s="1">
        <v>0</v>
      </c>
      <c r="R92" s="1">
        <v>0</v>
      </c>
      <c r="S92" s="1">
        <v>50</v>
      </c>
      <c r="T92" s="1">
        <v>0</v>
      </c>
      <c r="U92" s="1">
        <v>182</v>
      </c>
      <c r="V92" s="1" t="s">
        <v>2125</v>
      </c>
      <c r="W92" s="1" t="s">
        <v>2210</v>
      </c>
    </row>
    <row r="93" spans="1:23" ht="13.2">
      <c r="A93" s="1">
        <v>92</v>
      </c>
      <c r="B93" s="1" t="s">
        <v>2211</v>
      </c>
      <c r="C93" s="1" t="s">
        <v>2020</v>
      </c>
      <c r="D93" s="1">
        <v>44.57</v>
      </c>
      <c r="E93" s="1">
        <v>2.1</v>
      </c>
      <c r="F93" s="1">
        <v>8.69</v>
      </c>
      <c r="G93" s="1">
        <v>0.61</v>
      </c>
      <c r="H93" s="1">
        <v>0</v>
      </c>
      <c r="I93" s="2">
        <v>22.53</v>
      </c>
      <c r="J93" s="1">
        <v>0.28999999999999998</v>
      </c>
      <c r="K93" s="2">
        <v>11.36</v>
      </c>
      <c r="L93" s="2">
        <v>9.4</v>
      </c>
      <c r="M93" s="1">
        <v>0.27</v>
      </c>
      <c r="N93" s="1">
        <v>0.09</v>
      </c>
      <c r="O93" s="1">
        <v>0.06</v>
      </c>
      <c r="P93" s="1">
        <v>0</v>
      </c>
      <c r="Q93" s="1">
        <v>0</v>
      </c>
      <c r="R93" s="1">
        <v>41.9</v>
      </c>
      <c r="S93" s="1">
        <v>0</v>
      </c>
      <c r="T93" s="1">
        <v>10</v>
      </c>
      <c r="U93" s="1">
        <v>0</v>
      </c>
      <c r="V93" s="1" t="s">
        <v>2205</v>
      </c>
      <c r="W93" s="1" t="s">
        <v>2212</v>
      </c>
    </row>
    <row r="94" spans="1:23" ht="13.2">
      <c r="A94" s="1">
        <v>93</v>
      </c>
      <c r="B94" s="1" t="s">
        <v>2213</v>
      </c>
      <c r="C94" s="1" t="s">
        <v>2020</v>
      </c>
      <c r="D94" s="1">
        <v>45.05</v>
      </c>
      <c r="E94" s="1">
        <v>1.98</v>
      </c>
      <c r="F94" s="1">
        <v>10.199999999999999</v>
      </c>
      <c r="G94" s="1">
        <v>0.56000000000000005</v>
      </c>
      <c r="H94" s="1">
        <v>0</v>
      </c>
      <c r="I94" s="2">
        <v>19.79</v>
      </c>
      <c r="J94" s="1">
        <v>0.26</v>
      </c>
      <c r="K94" s="2">
        <v>10.89</v>
      </c>
      <c r="L94" s="2">
        <v>9.8699999999999992</v>
      </c>
      <c r="M94" s="1">
        <v>0.28999999999999998</v>
      </c>
      <c r="N94" s="1">
        <v>0.1</v>
      </c>
      <c r="O94" s="1">
        <v>0.11</v>
      </c>
      <c r="P94" s="1">
        <v>0</v>
      </c>
      <c r="Q94" s="1">
        <v>6.4</v>
      </c>
      <c r="R94" s="1">
        <v>170</v>
      </c>
      <c r="S94" s="1">
        <v>48.9</v>
      </c>
      <c r="T94" s="1">
        <v>0</v>
      </c>
      <c r="U94" s="1">
        <v>200</v>
      </c>
      <c r="V94" s="1" t="s">
        <v>2125</v>
      </c>
      <c r="W94" s="1" t="s">
        <v>2214</v>
      </c>
    </row>
    <row r="95" spans="1:23" ht="26.4">
      <c r="A95" s="1">
        <v>94</v>
      </c>
      <c r="B95" s="1" t="s">
        <v>2215</v>
      </c>
      <c r="C95" s="1" t="s">
        <v>2020</v>
      </c>
      <c r="D95" s="1">
        <v>45.5</v>
      </c>
      <c r="E95" s="1">
        <v>1.1000000000000001</v>
      </c>
      <c r="F95" s="1">
        <v>11.1</v>
      </c>
      <c r="G95" s="1">
        <v>0.52</v>
      </c>
      <c r="H95" s="1">
        <v>0</v>
      </c>
      <c r="I95" s="2">
        <v>20.5</v>
      </c>
      <c r="J95" s="1">
        <v>0</v>
      </c>
      <c r="K95" s="2">
        <v>10.199999999999999</v>
      </c>
      <c r="L95" s="2">
        <v>11</v>
      </c>
      <c r="M95" s="1">
        <v>0.28000000000000003</v>
      </c>
      <c r="N95" s="1">
        <v>0.03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/>
      <c r="W95" s="1" t="s">
        <v>2216</v>
      </c>
    </row>
    <row r="96" spans="1:23" ht="13.2">
      <c r="A96" s="1">
        <v>95</v>
      </c>
      <c r="B96" s="1" t="s">
        <v>2217</v>
      </c>
      <c r="C96" s="1" t="s">
        <v>2020</v>
      </c>
      <c r="D96" s="1">
        <v>45</v>
      </c>
      <c r="E96" s="1">
        <v>0.28999999999999998</v>
      </c>
      <c r="F96" s="1">
        <v>28.2</v>
      </c>
      <c r="G96" s="1">
        <v>7.0000000000000007E-2</v>
      </c>
      <c r="H96" s="1">
        <v>0</v>
      </c>
      <c r="I96" s="2">
        <v>4.28</v>
      </c>
      <c r="J96" s="1">
        <v>0.06</v>
      </c>
      <c r="K96" s="2">
        <v>5.51</v>
      </c>
      <c r="L96" s="2">
        <v>15.9</v>
      </c>
      <c r="M96" s="1">
        <v>0.43</v>
      </c>
      <c r="N96" s="1">
        <v>0.1</v>
      </c>
      <c r="O96" s="1">
        <v>0.8</v>
      </c>
      <c r="P96" s="1">
        <v>0</v>
      </c>
      <c r="Q96" s="1">
        <v>6</v>
      </c>
      <c r="R96" s="1">
        <v>330</v>
      </c>
      <c r="S96" s="1">
        <v>28</v>
      </c>
      <c r="T96" s="1">
        <v>7.55</v>
      </c>
      <c r="U96" s="1">
        <v>0</v>
      </c>
      <c r="V96" s="1" t="s">
        <v>2096</v>
      </c>
      <c r="W96" s="1" t="s">
        <v>2218</v>
      </c>
    </row>
    <row r="97" spans="1:23" ht="13.2">
      <c r="A97" s="1">
        <v>96</v>
      </c>
      <c r="B97" s="1" t="s">
        <v>2219</v>
      </c>
      <c r="C97" s="1" t="s">
        <v>2020</v>
      </c>
      <c r="D97" s="1">
        <v>45.35</v>
      </c>
      <c r="E97" s="1">
        <v>0.6</v>
      </c>
      <c r="F97" s="1">
        <v>26.75</v>
      </c>
      <c r="G97" s="1">
        <v>0</v>
      </c>
      <c r="H97" s="1">
        <v>0</v>
      </c>
      <c r="I97" s="2">
        <v>5.49</v>
      </c>
      <c r="J97" s="1">
        <v>7.0000000000000007E-2</v>
      </c>
      <c r="K97" s="2">
        <v>6.27</v>
      </c>
      <c r="L97" s="2">
        <v>15.46</v>
      </c>
      <c r="M97" s="1">
        <v>0.38</v>
      </c>
      <c r="N97" s="1">
        <v>0.11</v>
      </c>
      <c r="O97" s="1">
        <v>0.13</v>
      </c>
      <c r="P97" s="1">
        <v>0</v>
      </c>
      <c r="Q97" s="1">
        <v>0</v>
      </c>
      <c r="R97" s="1">
        <v>0</v>
      </c>
      <c r="S97" s="1">
        <v>31.4</v>
      </c>
      <c r="T97" s="1">
        <v>0</v>
      </c>
      <c r="U97" s="1">
        <v>0</v>
      </c>
      <c r="V97" s="1" t="s">
        <v>2185</v>
      </c>
      <c r="W97" s="1" t="s">
        <v>2220</v>
      </c>
    </row>
    <row r="98" spans="1:23" ht="13.2">
      <c r="A98" s="1">
        <v>97</v>
      </c>
      <c r="B98" s="1" t="s">
        <v>2221</v>
      </c>
      <c r="C98" s="1" t="s">
        <v>2020</v>
      </c>
      <c r="D98" s="1">
        <v>45.2</v>
      </c>
      <c r="E98" s="1">
        <v>0.57999999999999996</v>
      </c>
      <c r="F98" s="1">
        <v>26.4</v>
      </c>
      <c r="G98" s="1">
        <v>0.13</v>
      </c>
      <c r="H98" s="1">
        <v>0</v>
      </c>
      <c r="I98" s="2">
        <v>5.29</v>
      </c>
      <c r="J98" s="1">
        <v>0.7</v>
      </c>
      <c r="K98" s="2">
        <v>6.1</v>
      </c>
      <c r="L98" s="2">
        <v>15.32</v>
      </c>
      <c r="M98" s="1">
        <v>0.52</v>
      </c>
      <c r="N98" s="1">
        <v>0.14000000000000001</v>
      </c>
      <c r="O98" s="1">
        <v>0.12</v>
      </c>
      <c r="P98" s="1">
        <v>0</v>
      </c>
      <c r="Q98" s="1">
        <v>0</v>
      </c>
      <c r="R98" s="1">
        <v>310</v>
      </c>
      <c r="S98" s="1">
        <v>0</v>
      </c>
      <c r="T98" s="1">
        <v>0</v>
      </c>
      <c r="U98" s="1">
        <v>20</v>
      </c>
      <c r="V98" s="1" t="s">
        <v>2185</v>
      </c>
      <c r="W98" s="1" t="s">
        <v>2222</v>
      </c>
    </row>
    <row r="99" spans="1:23" ht="13.2">
      <c r="A99" s="1">
        <v>98</v>
      </c>
      <c r="B99" s="1" t="s">
        <v>2223</v>
      </c>
      <c r="C99" s="1" t="s">
        <v>2020</v>
      </c>
      <c r="D99" s="1">
        <v>44.71</v>
      </c>
      <c r="E99" s="1">
        <v>0.57999999999999996</v>
      </c>
      <c r="F99" s="1">
        <v>26.26</v>
      </c>
      <c r="G99" s="1">
        <v>0.98</v>
      </c>
      <c r="H99" s="1">
        <v>0</v>
      </c>
      <c r="I99" s="2">
        <v>5.25</v>
      </c>
      <c r="J99" s="1">
        <v>0.65</v>
      </c>
      <c r="K99" s="2">
        <v>6.35</v>
      </c>
      <c r="L99" s="2">
        <v>16.23</v>
      </c>
      <c r="M99" s="1">
        <v>0.43</v>
      </c>
      <c r="N99" s="1">
        <v>0.1</v>
      </c>
      <c r="O99" s="1">
        <v>0</v>
      </c>
      <c r="P99" s="1">
        <v>0</v>
      </c>
      <c r="Q99" s="1">
        <v>0</v>
      </c>
      <c r="R99" s="1">
        <v>305</v>
      </c>
      <c r="S99" s="1">
        <v>22.2</v>
      </c>
      <c r="T99" s="1">
        <v>0</v>
      </c>
      <c r="U99" s="1">
        <v>0</v>
      </c>
      <c r="V99" s="1" t="s">
        <v>2185</v>
      </c>
      <c r="W99" s="1" t="s">
        <v>2224</v>
      </c>
    </row>
    <row r="100" spans="1:23" ht="13.2">
      <c r="A100" s="1">
        <v>99</v>
      </c>
      <c r="B100" s="1" t="s">
        <v>2225</v>
      </c>
      <c r="C100" s="1" t="s">
        <v>2020</v>
      </c>
      <c r="D100" s="1">
        <v>45.35</v>
      </c>
      <c r="E100" s="1">
        <v>0.49</v>
      </c>
      <c r="F100" s="1">
        <v>28.25</v>
      </c>
      <c r="G100" s="1">
        <v>0</v>
      </c>
      <c r="H100" s="1">
        <v>0</v>
      </c>
      <c r="I100" s="2">
        <v>4.55</v>
      </c>
      <c r="J100" s="1">
        <v>0.06</v>
      </c>
      <c r="K100" s="2">
        <v>5.0199999999999996</v>
      </c>
      <c r="L100" s="2">
        <v>16.21</v>
      </c>
      <c r="M100" s="1">
        <v>0.42</v>
      </c>
      <c r="N100" s="1">
        <v>0.09</v>
      </c>
      <c r="O100" s="1">
        <v>0.1</v>
      </c>
      <c r="P100" s="1">
        <v>0</v>
      </c>
      <c r="Q100" s="1">
        <v>0</v>
      </c>
      <c r="R100" s="1">
        <v>0</v>
      </c>
      <c r="S100" s="1">
        <v>17</v>
      </c>
      <c r="T100" s="1">
        <v>0</v>
      </c>
      <c r="U100" s="1">
        <v>0</v>
      </c>
      <c r="V100" s="1" t="s">
        <v>2185</v>
      </c>
      <c r="W100" s="1" t="s">
        <v>2226</v>
      </c>
    </row>
    <row r="101" spans="1:23" ht="13.2">
      <c r="A101" s="1">
        <v>100</v>
      </c>
      <c r="B101" s="1" t="s">
        <v>2227</v>
      </c>
      <c r="C101" s="1" t="s">
        <v>2020</v>
      </c>
      <c r="D101" s="1">
        <v>45.32</v>
      </c>
      <c r="E101" s="1">
        <v>0.56999999999999995</v>
      </c>
      <c r="F101" s="1">
        <v>27.15</v>
      </c>
      <c r="G101" s="1">
        <v>0</v>
      </c>
      <c r="H101" s="1">
        <v>0</v>
      </c>
      <c r="I101" s="2">
        <v>5.33</v>
      </c>
      <c r="J101" s="1">
        <v>7.0000000000000007E-2</v>
      </c>
      <c r="K101" s="2">
        <v>5.75</v>
      </c>
      <c r="L101" s="2">
        <v>15.69</v>
      </c>
      <c r="M101" s="1">
        <v>0.55000000000000004</v>
      </c>
      <c r="N101" s="1">
        <v>0.1</v>
      </c>
      <c r="O101" s="1">
        <v>0.13</v>
      </c>
      <c r="P101" s="1">
        <v>0</v>
      </c>
      <c r="Q101" s="1">
        <v>0</v>
      </c>
      <c r="R101" s="1">
        <v>0</v>
      </c>
      <c r="S101" s="1">
        <v>22.8</v>
      </c>
      <c r="T101" s="1">
        <v>0</v>
      </c>
      <c r="U101" s="1">
        <v>18</v>
      </c>
      <c r="V101" s="1" t="s">
        <v>2185</v>
      </c>
      <c r="W101" s="1" t="s">
        <v>2228</v>
      </c>
    </row>
    <row r="102" spans="1:23" ht="13.2">
      <c r="A102" s="1">
        <v>101</v>
      </c>
      <c r="B102" s="1" t="s">
        <v>2229</v>
      </c>
      <c r="C102" s="1" t="s">
        <v>2020</v>
      </c>
      <c r="D102" s="1">
        <v>44.65</v>
      </c>
      <c r="E102" s="1">
        <v>0.54</v>
      </c>
      <c r="F102" s="1">
        <v>27.12</v>
      </c>
      <c r="G102" s="1">
        <v>0</v>
      </c>
      <c r="H102" s="1">
        <v>0</v>
      </c>
      <c r="I102" s="2">
        <v>5.07</v>
      </c>
      <c r="J102" s="1">
        <v>0.6</v>
      </c>
      <c r="K102" s="2">
        <v>0</v>
      </c>
      <c r="L102" s="2">
        <v>16</v>
      </c>
      <c r="M102" s="1">
        <v>0.45</v>
      </c>
      <c r="N102" s="1">
        <v>0.13</v>
      </c>
      <c r="O102" s="1">
        <v>0</v>
      </c>
      <c r="P102" s="1">
        <v>0</v>
      </c>
      <c r="Q102" s="1">
        <v>0</v>
      </c>
      <c r="R102" s="1">
        <v>440</v>
      </c>
      <c r="S102" s="1">
        <v>26</v>
      </c>
      <c r="T102" s="1">
        <v>0</v>
      </c>
      <c r="U102" s="1">
        <v>27</v>
      </c>
      <c r="V102" s="1" t="s">
        <v>2125</v>
      </c>
      <c r="W102" s="1" t="s">
        <v>2230</v>
      </c>
    </row>
    <row r="103" spans="1:23" ht="13.2">
      <c r="A103" s="1">
        <v>102</v>
      </c>
      <c r="B103" s="1" t="s">
        <v>2231</v>
      </c>
      <c r="C103" s="1" t="s">
        <v>2020</v>
      </c>
      <c r="D103" s="1">
        <v>44.66</v>
      </c>
      <c r="E103" s="1">
        <v>0.56000000000000005</v>
      </c>
      <c r="F103" s="1">
        <v>26.5</v>
      </c>
      <c r="G103" s="1">
        <v>0</v>
      </c>
      <c r="H103" s="1">
        <v>0</v>
      </c>
      <c r="I103" s="2">
        <v>5.31</v>
      </c>
      <c r="J103" s="1">
        <v>7.0000000000000007E-2</v>
      </c>
      <c r="K103" s="2">
        <v>6.08</v>
      </c>
      <c r="L103" s="2">
        <v>15.33</v>
      </c>
      <c r="M103" s="1">
        <v>0.41</v>
      </c>
      <c r="N103" s="1">
        <v>0.11</v>
      </c>
      <c r="O103" s="1">
        <v>0.11</v>
      </c>
      <c r="P103" s="1">
        <v>0</v>
      </c>
      <c r="Q103" s="1">
        <v>0</v>
      </c>
      <c r="R103" s="1">
        <v>0</v>
      </c>
      <c r="S103" s="1">
        <v>35</v>
      </c>
      <c r="T103" s="1">
        <v>0</v>
      </c>
      <c r="U103" s="1">
        <v>0</v>
      </c>
      <c r="V103" s="1" t="s">
        <v>2125</v>
      </c>
      <c r="W103" s="1" t="s">
        <v>2232</v>
      </c>
    </row>
    <row r="104" spans="1:23" ht="13.2">
      <c r="A104" s="1">
        <v>103</v>
      </c>
      <c r="B104" s="1" t="s">
        <v>2233</v>
      </c>
      <c r="C104" s="1" t="s">
        <v>2020</v>
      </c>
      <c r="D104" s="1">
        <v>0</v>
      </c>
      <c r="E104" s="1">
        <v>0</v>
      </c>
      <c r="F104" s="1">
        <v>26.5</v>
      </c>
      <c r="G104" s="1">
        <v>0</v>
      </c>
      <c r="H104" s="1">
        <v>0</v>
      </c>
      <c r="I104" s="2">
        <v>5.6</v>
      </c>
      <c r="J104" s="1">
        <v>0</v>
      </c>
      <c r="K104" s="2">
        <v>6.4</v>
      </c>
      <c r="L104" s="2">
        <v>14.5</v>
      </c>
      <c r="M104" s="1">
        <v>0.44</v>
      </c>
      <c r="N104" s="1">
        <v>0</v>
      </c>
      <c r="O104" s="1">
        <v>0</v>
      </c>
      <c r="P104" s="1">
        <v>0</v>
      </c>
      <c r="Q104" s="1">
        <v>0</v>
      </c>
      <c r="R104" s="1">
        <v>485</v>
      </c>
      <c r="S104" s="1">
        <v>35.5</v>
      </c>
      <c r="T104" s="1">
        <v>0</v>
      </c>
      <c r="U104" s="1">
        <v>22</v>
      </c>
      <c r="V104" s="1" t="s">
        <v>2125</v>
      </c>
      <c r="W104" s="1" t="s">
        <v>2234</v>
      </c>
    </row>
    <row r="105" spans="1:23" ht="13.2">
      <c r="A105" s="1">
        <v>104</v>
      </c>
      <c r="B105" s="1" t="s">
        <v>2235</v>
      </c>
      <c r="C105" s="1" t="s">
        <v>2020</v>
      </c>
      <c r="D105" s="1">
        <v>0</v>
      </c>
      <c r="E105" s="1">
        <v>0.35</v>
      </c>
      <c r="F105" s="1">
        <v>28.93</v>
      </c>
      <c r="G105" s="1">
        <v>0.94</v>
      </c>
      <c r="H105" s="1">
        <v>0</v>
      </c>
      <c r="I105" s="2">
        <v>4.67</v>
      </c>
      <c r="J105" s="1">
        <v>0.68</v>
      </c>
      <c r="K105" s="2">
        <v>6.96</v>
      </c>
      <c r="L105" s="2">
        <v>15.67</v>
      </c>
      <c r="M105" s="1">
        <v>0.56999999999999995</v>
      </c>
      <c r="N105" s="1">
        <v>0.77</v>
      </c>
      <c r="O105" s="1">
        <v>0</v>
      </c>
      <c r="P105" s="1">
        <v>0</v>
      </c>
      <c r="Q105" s="1">
        <v>0</v>
      </c>
      <c r="R105" s="1">
        <v>0</v>
      </c>
      <c r="S105" s="1">
        <v>19.8</v>
      </c>
      <c r="T105" s="1">
        <v>0</v>
      </c>
      <c r="U105" s="1">
        <v>15</v>
      </c>
      <c r="V105" s="1" t="s">
        <v>2125</v>
      </c>
      <c r="W105" s="1" t="s">
        <v>2236</v>
      </c>
    </row>
    <row r="106" spans="1:23" ht="13.2">
      <c r="A106" s="1">
        <v>105</v>
      </c>
      <c r="B106" s="1" t="s">
        <v>2237</v>
      </c>
      <c r="C106" s="1" t="s">
        <v>2020</v>
      </c>
      <c r="D106" s="1">
        <v>0</v>
      </c>
      <c r="E106" s="1">
        <v>0.6</v>
      </c>
      <c r="F106" s="1">
        <v>29</v>
      </c>
      <c r="G106" s="1">
        <v>0.95</v>
      </c>
      <c r="H106" s="1">
        <v>0</v>
      </c>
      <c r="I106" s="2">
        <v>4.53</v>
      </c>
      <c r="J106" s="1">
        <v>0.67</v>
      </c>
      <c r="K106" s="2">
        <v>7.3</v>
      </c>
      <c r="L106" s="2">
        <v>12.45</v>
      </c>
      <c r="M106" s="1">
        <v>0.56000000000000005</v>
      </c>
      <c r="N106" s="1">
        <v>0.15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 t="s">
        <v>2125</v>
      </c>
      <c r="W106" s="1" t="s">
        <v>2238</v>
      </c>
    </row>
    <row r="107" spans="1:23" ht="13.2">
      <c r="A107" s="1">
        <v>106</v>
      </c>
      <c r="B107" s="1" t="s">
        <v>2219</v>
      </c>
      <c r="C107" s="1" t="s">
        <v>2020</v>
      </c>
      <c r="D107" s="1">
        <v>45.02</v>
      </c>
      <c r="E107" s="1">
        <v>0.53</v>
      </c>
      <c r="F107" s="1">
        <v>27.72</v>
      </c>
      <c r="G107" s="1">
        <v>0</v>
      </c>
      <c r="H107" s="1">
        <v>0</v>
      </c>
      <c r="I107" s="2">
        <v>4.72</v>
      </c>
      <c r="J107" s="1">
        <v>0.7</v>
      </c>
      <c r="K107" s="2">
        <v>5.25</v>
      </c>
      <c r="L107" s="2">
        <v>15.87</v>
      </c>
      <c r="M107" s="1">
        <v>0.46</v>
      </c>
      <c r="N107" s="1">
        <v>0.9</v>
      </c>
      <c r="O107" s="1">
        <v>0.1</v>
      </c>
      <c r="P107" s="1">
        <v>0</v>
      </c>
      <c r="Q107" s="1">
        <v>0</v>
      </c>
      <c r="R107" s="1">
        <v>0</v>
      </c>
      <c r="S107" s="1">
        <v>6.19</v>
      </c>
      <c r="T107" s="1">
        <v>0</v>
      </c>
      <c r="U107" s="1">
        <v>0</v>
      </c>
      <c r="V107" s="1" t="s">
        <v>2125</v>
      </c>
      <c r="W107" s="1" t="s">
        <v>2239</v>
      </c>
    </row>
    <row r="108" spans="1:23" ht="13.2">
      <c r="A108" s="1">
        <v>107</v>
      </c>
      <c r="B108" s="1" t="s">
        <v>2240</v>
      </c>
      <c r="C108" s="1" t="s">
        <v>2020</v>
      </c>
      <c r="D108" s="1">
        <v>44.88</v>
      </c>
      <c r="E108" s="1">
        <v>0.55000000000000004</v>
      </c>
      <c r="F108" s="1">
        <v>27.6</v>
      </c>
      <c r="G108" s="1">
        <v>0</v>
      </c>
      <c r="H108" s="1">
        <v>0</v>
      </c>
      <c r="I108" s="2">
        <v>5.03</v>
      </c>
      <c r="J108" s="1">
        <v>0.06</v>
      </c>
      <c r="K108" s="2">
        <v>5.35</v>
      </c>
      <c r="L108" s="2">
        <v>15.81</v>
      </c>
      <c r="M108" s="1">
        <v>0.39</v>
      </c>
      <c r="N108" s="1">
        <v>0.1</v>
      </c>
      <c r="O108" s="1">
        <v>0.13</v>
      </c>
      <c r="P108" s="1">
        <v>0</v>
      </c>
      <c r="Q108" s="1">
        <v>0</v>
      </c>
      <c r="R108" s="1">
        <v>0</v>
      </c>
      <c r="S108" s="1">
        <v>25</v>
      </c>
      <c r="T108" s="1">
        <v>0</v>
      </c>
      <c r="U108" s="1">
        <v>0</v>
      </c>
      <c r="V108" s="1" t="s">
        <v>2125</v>
      </c>
      <c r="W108" s="1" t="s">
        <v>2241</v>
      </c>
    </row>
    <row r="109" spans="1:23" ht="13.2">
      <c r="A109" s="1">
        <v>108</v>
      </c>
      <c r="B109" s="1" t="s">
        <v>2242</v>
      </c>
      <c r="C109" s="1" t="s">
        <v>2020</v>
      </c>
      <c r="D109" s="1">
        <v>0</v>
      </c>
      <c r="E109" s="1">
        <v>0.53</v>
      </c>
      <c r="F109" s="1">
        <v>27.4</v>
      </c>
      <c r="G109" s="1">
        <v>0</v>
      </c>
      <c r="H109" s="1">
        <v>0</v>
      </c>
      <c r="I109" s="2">
        <v>4.16</v>
      </c>
      <c r="J109" s="1">
        <v>0</v>
      </c>
      <c r="K109" s="2">
        <v>4.2699999999999996</v>
      </c>
      <c r="L109" s="2">
        <v>16.600000000000001</v>
      </c>
      <c r="M109" s="1">
        <v>0.47</v>
      </c>
      <c r="N109" s="1">
        <v>0.11</v>
      </c>
      <c r="O109" s="1">
        <v>0</v>
      </c>
      <c r="P109" s="1">
        <v>0</v>
      </c>
      <c r="Q109" s="1">
        <v>0</v>
      </c>
      <c r="R109" s="1">
        <v>290</v>
      </c>
      <c r="S109" s="1">
        <v>21</v>
      </c>
      <c r="T109" s="1">
        <v>0</v>
      </c>
      <c r="U109" s="1">
        <v>0</v>
      </c>
      <c r="V109" s="1" t="s">
        <v>2125</v>
      </c>
      <c r="W109" s="1" t="s">
        <v>2243</v>
      </c>
    </row>
    <row r="110" spans="1:23" ht="13.2">
      <c r="A110" s="1">
        <v>109</v>
      </c>
      <c r="B110" s="1" t="s">
        <v>2244</v>
      </c>
      <c r="C110" s="1" t="s">
        <v>2020</v>
      </c>
      <c r="D110" s="1">
        <v>44.9</v>
      </c>
      <c r="E110" s="1">
        <v>0.47</v>
      </c>
      <c r="F110" s="1">
        <v>27.7</v>
      </c>
      <c r="G110" s="1">
        <v>0.11</v>
      </c>
      <c r="H110" s="1">
        <v>0</v>
      </c>
      <c r="I110" s="2">
        <v>5.01</v>
      </c>
      <c r="J110" s="1">
        <v>0</v>
      </c>
      <c r="K110" s="2">
        <v>5.69</v>
      </c>
      <c r="L110" s="2">
        <v>15.7</v>
      </c>
      <c r="M110" s="1">
        <v>0.51</v>
      </c>
      <c r="N110" s="1">
        <v>0.22</v>
      </c>
      <c r="O110" s="1">
        <v>0.16</v>
      </c>
      <c r="P110" s="1">
        <v>0</v>
      </c>
      <c r="Q110" s="1">
        <v>0</v>
      </c>
      <c r="R110" s="1">
        <v>0</v>
      </c>
      <c r="S110" s="1">
        <v>27</v>
      </c>
      <c r="T110" s="1">
        <v>0</v>
      </c>
      <c r="U110" s="1">
        <v>28</v>
      </c>
      <c r="V110" s="1" t="s">
        <v>2125</v>
      </c>
      <c r="W110" s="1" t="s">
        <v>2245</v>
      </c>
    </row>
    <row r="111" spans="1:23" ht="13.2">
      <c r="A111" s="1">
        <v>110</v>
      </c>
      <c r="B111" s="1" t="s">
        <v>2246</v>
      </c>
      <c r="C111" s="1" t="s">
        <v>2020</v>
      </c>
      <c r="D111" s="1">
        <v>45.5</v>
      </c>
      <c r="E111" s="1">
        <v>0.7</v>
      </c>
      <c r="F111" s="1">
        <v>26.07</v>
      </c>
      <c r="G111" s="1">
        <v>0</v>
      </c>
      <c r="H111" s="1">
        <v>0</v>
      </c>
      <c r="I111" s="2">
        <v>5.96</v>
      </c>
      <c r="J111" s="1">
        <v>0.79</v>
      </c>
      <c r="K111" s="2">
        <v>6.28</v>
      </c>
      <c r="L111" s="2">
        <v>14.97</v>
      </c>
      <c r="M111" s="1">
        <v>0.44</v>
      </c>
      <c r="N111" s="1">
        <v>0.15</v>
      </c>
      <c r="O111" s="1">
        <v>0.16</v>
      </c>
      <c r="P111" s="1">
        <v>0</v>
      </c>
      <c r="Q111" s="1">
        <v>0</v>
      </c>
      <c r="R111" s="1">
        <v>290</v>
      </c>
      <c r="S111" s="1">
        <v>0</v>
      </c>
      <c r="T111" s="1">
        <v>0</v>
      </c>
      <c r="U111" s="1">
        <v>0</v>
      </c>
      <c r="V111" s="1" t="s">
        <v>2125</v>
      </c>
      <c r="W111" s="1" t="s">
        <v>2247</v>
      </c>
    </row>
    <row r="112" spans="1:23" ht="13.2">
      <c r="A112" s="1">
        <v>111</v>
      </c>
      <c r="B112" s="1" t="s">
        <v>2248</v>
      </c>
      <c r="C112" s="1" t="s">
        <v>2020</v>
      </c>
      <c r="D112" s="1">
        <v>45.03</v>
      </c>
      <c r="E112" s="1">
        <v>0.64</v>
      </c>
      <c r="F112" s="1">
        <v>26.47</v>
      </c>
      <c r="G112" s="1">
        <v>0</v>
      </c>
      <c r="H112" s="1">
        <v>0</v>
      </c>
      <c r="I112" s="2">
        <v>5.87</v>
      </c>
      <c r="J112" s="1">
        <v>0.08</v>
      </c>
      <c r="K112" s="2">
        <v>6.02</v>
      </c>
      <c r="L112" s="2">
        <v>15.29</v>
      </c>
      <c r="M112" s="1">
        <v>0.41</v>
      </c>
      <c r="N112" s="1">
        <v>0.12</v>
      </c>
      <c r="O112" s="1">
        <v>0.13</v>
      </c>
      <c r="P112" s="1">
        <v>0</v>
      </c>
      <c r="Q112" s="1">
        <v>0</v>
      </c>
      <c r="R112" s="1">
        <v>510</v>
      </c>
      <c r="S112" s="1">
        <v>31.7</v>
      </c>
      <c r="T112" s="1">
        <v>0</v>
      </c>
      <c r="U112" s="1">
        <v>0</v>
      </c>
      <c r="V112" s="1" t="s">
        <v>2125</v>
      </c>
      <c r="W112" s="1" t="s">
        <v>2249</v>
      </c>
    </row>
    <row r="113" spans="1:23" ht="13.2">
      <c r="A113" s="1">
        <v>112</v>
      </c>
      <c r="B113" s="1" t="s">
        <v>2250</v>
      </c>
      <c r="C113" s="1" t="s">
        <v>2020</v>
      </c>
      <c r="D113" s="1">
        <v>45.07</v>
      </c>
      <c r="E113" s="1">
        <v>0.64</v>
      </c>
      <c r="F113" s="1">
        <v>26.39</v>
      </c>
      <c r="G113" s="1">
        <v>0</v>
      </c>
      <c r="H113" s="1">
        <v>0</v>
      </c>
      <c r="I113" s="2">
        <v>6.08</v>
      </c>
      <c r="J113" s="1">
        <v>0.08</v>
      </c>
      <c r="K113" s="2">
        <v>6.14</v>
      </c>
      <c r="L113" s="2">
        <v>15.29</v>
      </c>
      <c r="M113" s="1">
        <v>0.38</v>
      </c>
      <c r="N113" s="1">
        <v>0.12</v>
      </c>
      <c r="O113" s="1">
        <v>0.15</v>
      </c>
      <c r="P113" s="1">
        <v>0</v>
      </c>
      <c r="Q113" s="1">
        <v>0</v>
      </c>
      <c r="R113" s="1">
        <v>330</v>
      </c>
      <c r="S113" s="1">
        <v>21</v>
      </c>
      <c r="T113" s="1">
        <v>0</v>
      </c>
      <c r="U113" s="1">
        <v>22</v>
      </c>
      <c r="V113" s="1" t="s">
        <v>2125</v>
      </c>
      <c r="W113" s="1" t="s">
        <v>2251</v>
      </c>
    </row>
    <row r="114" spans="1:23" ht="13.2">
      <c r="A114" s="1">
        <v>113</v>
      </c>
      <c r="B114" s="1" t="s">
        <v>2252</v>
      </c>
      <c r="C114" s="1" t="s">
        <v>2020</v>
      </c>
      <c r="D114" s="1">
        <v>45.38</v>
      </c>
      <c r="E114" s="1">
        <v>0.67</v>
      </c>
      <c r="F114" s="1">
        <v>26.22</v>
      </c>
      <c r="G114" s="1">
        <v>0</v>
      </c>
      <c r="H114" s="1">
        <v>0</v>
      </c>
      <c r="I114" s="2">
        <v>5.85</v>
      </c>
      <c r="J114" s="1">
        <v>0.08</v>
      </c>
      <c r="K114" s="2">
        <v>6.39</v>
      </c>
      <c r="L114" s="2">
        <v>15.28</v>
      </c>
      <c r="M114" s="1">
        <v>0.39</v>
      </c>
      <c r="N114" s="1">
        <v>0.13</v>
      </c>
      <c r="O114" s="1">
        <v>0.13</v>
      </c>
      <c r="P114" s="1">
        <v>0</v>
      </c>
      <c r="Q114" s="1">
        <v>0</v>
      </c>
      <c r="R114" s="1">
        <v>348</v>
      </c>
      <c r="S114" s="1">
        <v>21</v>
      </c>
      <c r="T114" s="1">
        <v>0</v>
      </c>
      <c r="U114" s="1">
        <v>19</v>
      </c>
      <c r="V114" s="1" t="s">
        <v>2125</v>
      </c>
      <c r="W114" s="1" t="s">
        <v>2253</v>
      </c>
    </row>
    <row r="115" spans="1:23" ht="13.2">
      <c r="A115" s="1">
        <v>114</v>
      </c>
      <c r="B115" s="1" t="s">
        <v>2254</v>
      </c>
      <c r="C115" s="1" t="s">
        <v>2020</v>
      </c>
      <c r="D115" s="1">
        <v>44.5</v>
      </c>
      <c r="E115" s="1">
        <v>0.34</v>
      </c>
      <c r="F115" s="1">
        <v>29.6</v>
      </c>
      <c r="G115" s="1">
        <v>7.0000000000000007E-2</v>
      </c>
      <c r="H115" s="1">
        <v>0</v>
      </c>
      <c r="I115" s="2">
        <v>3.7</v>
      </c>
      <c r="J115" s="1">
        <v>0.05</v>
      </c>
      <c r="K115" s="2">
        <v>4.0999999999999996</v>
      </c>
      <c r="L115" s="2">
        <v>16.399999999999999</v>
      </c>
      <c r="M115" s="1">
        <v>0.52</v>
      </c>
      <c r="N115" s="1">
        <v>0.05</v>
      </c>
      <c r="O115" s="1">
        <v>0.03</v>
      </c>
      <c r="P115" s="1">
        <v>0</v>
      </c>
      <c r="Q115" s="1">
        <v>2</v>
      </c>
      <c r="R115" s="1">
        <v>80</v>
      </c>
      <c r="S115" s="1">
        <v>10</v>
      </c>
      <c r="T115" s="1">
        <v>6</v>
      </c>
      <c r="U115" s="1">
        <v>0</v>
      </c>
      <c r="V115" s="1" t="s">
        <v>2255</v>
      </c>
      <c r="W115" s="1" t="s">
        <v>2256</v>
      </c>
    </row>
    <row r="116" spans="1:23" ht="13.2">
      <c r="A116" s="1">
        <v>115</v>
      </c>
      <c r="B116" s="1" t="s">
        <v>2257</v>
      </c>
      <c r="C116" s="1" t="s">
        <v>2020</v>
      </c>
      <c r="D116" s="1">
        <v>44.8</v>
      </c>
      <c r="E116" s="1">
        <v>0.25</v>
      </c>
      <c r="F116" s="1">
        <v>31.1</v>
      </c>
      <c r="G116" s="1">
        <v>7.0000000000000007E-2</v>
      </c>
      <c r="H116" s="1">
        <v>0</v>
      </c>
      <c r="I116" s="2">
        <v>4</v>
      </c>
      <c r="J116" s="1">
        <v>0.05</v>
      </c>
      <c r="K116" s="2">
        <v>3</v>
      </c>
      <c r="L116" s="2">
        <v>17.8</v>
      </c>
      <c r="M116" s="1">
        <v>0.37</v>
      </c>
      <c r="N116" s="1">
        <v>0.02</v>
      </c>
      <c r="O116" s="1">
        <v>0.02</v>
      </c>
      <c r="P116" s="1">
        <v>0</v>
      </c>
      <c r="Q116" s="1">
        <v>1.9</v>
      </c>
      <c r="R116" s="1">
        <v>26</v>
      </c>
      <c r="S116" s="1">
        <v>8</v>
      </c>
      <c r="T116" s="1">
        <v>7.5</v>
      </c>
      <c r="U116" s="1">
        <v>0</v>
      </c>
      <c r="V116" s="1" t="s">
        <v>2258</v>
      </c>
      <c r="W116" s="1" t="s">
        <v>2259</v>
      </c>
    </row>
    <row r="117" spans="1:23" ht="13.2">
      <c r="A117" s="1">
        <v>116</v>
      </c>
      <c r="B117" s="1" t="s">
        <v>2260</v>
      </c>
      <c r="C117" s="1" t="s">
        <v>2020</v>
      </c>
      <c r="D117" s="1">
        <v>44.77</v>
      </c>
      <c r="E117" s="1">
        <v>0.37</v>
      </c>
      <c r="F117" s="1">
        <v>28.99</v>
      </c>
      <c r="G117" s="1">
        <v>0</v>
      </c>
      <c r="H117" s="1">
        <v>0</v>
      </c>
      <c r="I117" s="2">
        <v>4.3499999999999996</v>
      </c>
      <c r="J117" s="1">
        <v>7.0000000000000007E-2</v>
      </c>
      <c r="K117" s="2">
        <v>4.2</v>
      </c>
      <c r="L117" s="2">
        <v>16.850000000000001</v>
      </c>
      <c r="M117" s="1">
        <v>0.44</v>
      </c>
      <c r="N117" s="1">
        <v>0.06</v>
      </c>
      <c r="O117" s="1">
        <v>0.05</v>
      </c>
      <c r="P117" s="1">
        <v>0</v>
      </c>
      <c r="Q117" s="1">
        <v>0</v>
      </c>
      <c r="R117" s="1">
        <v>0</v>
      </c>
      <c r="S117" s="1">
        <v>13</v>
      </c>
      <c r="T117" s="1">
        <v>0</v>
      </c>
      <c r="U117" s="1">
        <v>17</v>
      </c>
      <c r="V117" s="1" t="s">
        <v>2125</v>
      </c>
      <c r="W117" s="1" t="s">
        <v>2261</v>
      </c>
    </row>
    <row r="118" spans="1:23" ht="13.2">
      <c r="A118" s="1">
        <v>117</v>
      </c>
      <c r="B118" s="1" t="s">
        <v>2262</v>
      </c>
      <c r="C118" s="1" t="s">
        <v>2020</v>
      </c>
      <c r="D118" s="1">
        <v>44.95</v>
      </c>
      <c r="E118" s="1">
        <v>0.41</v>
      </c>
      <c r="F118" s="1">
        <v>29.01</v>
      </c>
      <c r="G118" s="1">
        <v>0</v>
      </c>
      <c r="H118" s="1">
        <v>0</v>
      </c>
      <c r="I118" s="2">
        <v>4.66</v>
      </c>
      <c r="J118" s="1">
        <v>0.06</v>
      </c>
      <c r="K118" s="2">
        <v>4.2</v>
      </c>
      <c r="L118" s="2">
        <v>16.54</v>
      </c>
      <c r="M118" s="1">
        <v>0.42</v>
      </c>
      <c r="N118" s="1">
        <v>0.06</v>
      </c>
      <c r="O118" s="1">
        <v>0.13</v>
      </c>
      <c r="P118" s="1">
        <v>0</v>
      </c>
      <c r="Q118" s="1">
        <v>0</v>
      </c>
      <c r="R118" s="1">
        <v>0</v>
      </c>
      <c r="S118" s="1">
        <v>14.9</v>
      </c>
      <c r="T118" s="1">
        <v>0</v>
      </c>
      <c r="U118" s="1">
        <v>14</v>
      </c>
      <c r="V118" s="1" t="s">
        <v>2125</v>
      </c>
      <c r="W118" s="1" t="s">
        <v>2263</v>
      </c>
    </row>
    <row r="119" spans="1:23" ht="13.2">
      <c r="A119" s="1">
        <v>118</v>
      </c>
      <c r="B119" s="1" t="s">
        <v>2264</v>
      </c>
      <c r="C119" s="1" t="s">
        <v>2020</v>
      </c>
      <c r="D119" s="1">
        <v>45.28</v>
      </c>
      <c r="E119" s="1">
        <v>0.42</v>
      </c>
      <c r="F119" s="1">
        <v>28.93</v>
      </c>
      <c r="G119" s="1">
        <v>0</v>
      </c>
      <c r="H119" s="1">
        <v>0</v>
      </c>
      <c r="I119" s="2">
        <v>4.09</v>
      </c>
      <c r="J119" s="1">
        <v>0.06</v>
      </c>
      <c r="K119" s="2">
        <v>4.75</v>
      </c>
      <c r="L119" s="2">
        <v>16.399999999999999</v>
      </c>
      <c r="M119" s="1">
        <v>0.44</v>
      </c>
      <c r="N119" s="1">
        <v>7.0000000000000007E-2</v>
      </c>
      <c r="O119" s="1">
        <v>0.06</v>
      </c>
      <c r="P119" s="1">
        <v>0</v>
      </c>
      <c r="Q119" s="1">
        <v>0</v>
      </c>
      <c r="R119" s="1">
        <v>180</v>
      </c>
      <c r="S119" s="1">
        <v>14.4</v>
      </c>
      <c r="T119" s="1">
        <v>0</v>
      </c>
      <c r="U119" s="1">
        <v>0</v>
      </c>
      <c r="V119" s="1" t="s">
        <v>2125</v>
      </c>
      <c r="W119" s="1" t="s">
        <v>2265</v>
      </c>
    </row>
    <row r="120" spans="1:23" ht="13.2">
      <c r="A120" s="1">
        <v>119</v>
      </c>
      <c r="B120" s="1" t="s">
        <v>2266</v>
      </c>
      <c r="C120" s="1" t="s">
        <v>2020</v>
      </c>
      <c r="D120" s="1">
        <v>44.77</v>
      </c>
      <c r="E120" s="1">
        <v>0.44</v>
      </c>
      <c r="F120" s="1">
        <v>28.48</v>
      </c>
      <c r="G120" s="1">
        <v>0</v>
      </c>
      <c r="H120" s="1">
        <v>0</v>
      </c>
      <c r="I120" s="2">
        <v>4.17</v>
      </c>
      <c r="J120" s="1">
        <v>0.06</v>
      </c>
      <c r="K120" s="2">
        <v>4.92</v>
      </c>
      <c r="L120" s="2">
        <v>16.87</v>
      </c>
      <c r="M120" s="1">
        <v>0.52</v>
      </c>
      <c r="N120" s="1">
        <v>7.0000000000000007E-2</v>
      </c>
      <c r="O120" s="1">
        <v>0.08</v>
      </c>
      <c r="P120" s="1">
        <v>0</v>
      </c>
      <c r="Q120" s="1">
        <v>0</v>
      </c>
      <c r="R120" s="1">
        <v>0</v>
      </c>
      <c r="S120" s="1">
        <v>14.9</v>
      </c>
      <c r="T120" s="1">
        <v>0</v>
      </c>
      <c r="U120" s="1">
        <v>27</v>
      </c>
      <c r="V120" s="1" t="s">
        <v>2125</v>
      </c>
      <c r="W120" s="1" t="s">
        <v>2267</v>
      </c>
    </row>
    <row r="121" spans="1:23" ht="13.2">
      <c r="A121" s="1">
        <v>120</v>
      </c>
      <c r="B121" s="1" t="s">
        <v>2268</v>
      </c>
      <c r="C121" s="1" t="s">
        <v>2020</v>
      </c>
      <c r="D121" s="1">
        <v>44.2</v>
      </c>
      <c r="E121" s="1">
        <v>0.26</v>
      </c>
      <c r="F121" s="1">
        <v>29.4</v>
      </c>
      <c r="G121" s="1">
        <v>0</v>
      </c>
      <c r="H121" s="1">
        <v>0</v>
      </c>
      <c r="I121" s="2">
        <v>2.96</v>
      </c>
      <c r="J121" s="1">
        <v>0.6</v>
      </c>
      <c r="K121" s="2">
        <v>3.86</v>
      </c>
      <c r="L121" s="2">
        <v>16.3</v>
      </c>
      <c r="M121" s="1">
        <v>0.73</v>
      </c>
      <c r="N121" s="1">
        <v>0.11</v>
      </c>
      <c r="O121" s="1">
        <v>0</v>
      </c>
      <c r="P121" s="1">
        <v>0</v>
      </c>
      <c r="Q121" s="1">
        <v>0</v>
      </c>
      <c r="R121" s="1">
        <v>0</v>
      </c>
      <c r="S121" s="1">
        <v>15.5</v>
      </c>
      <c r="T121" s="1">
        <v>0</v>
      </c>
      <c r="U121" s="1">
        <v>0</v>
      </c>
      <c r="V121" s="1" t="s">
        <v>2125</v>
      </c>
      <c r="W121" s="1" t="s">
        <v>2269</v>
      </c>
    </row>
    <row r="122" spans="1:23" ht="13.2">
      <c r="A122" s="1">
        <v>121</v>
      </c>
      <c r="B122" s="1" t="s">
        <v>2270</v>
      </c>
      <c r="C122" s="1" t="s">
        <v>2020</v>
      </c>
      <c r="D122" s="1">
        <v>45.75</v>
      </c>
      <c r="E122" s="1">
        <v>0.54</v>
      </c>
      <c r="F122" s="1">
        <v>26.18</v>
      </c>
      <c r="G122" s="1">
        <v>0.09</v>
      </c>
      <c r="H122" s="1">
        <v>0</v>
      </c>
      <c r="I122" s="2">
        <v>4.7300000000000004</v>
      </c>
      <c r="J122" s="1">
        <v>0.06</v>
      </c>
      <c r="K122" s="2">
        <v>6.48</v>
      </c>
      <c r="L122" s="2">
        <v>15.56</v>
      </c>
      <c r="M122" s="1">
        <v>0.53</v>
      </c>
      <c r="N122" s="1">
        <v>0.14000000000000001</v>
      </c>
      <c r="O122" s="1">
        <v>0.1</v>
      </c>
      <c r="P122" s="1">
        <v>0</v>
      </c>
      <c r="Q122" s="1">
        <v>0</v>
      </c>
      <c r="R122" s="1">
        <v>0</v>
      </c>
      <c r="S122" s="1">
        <v>16.3</v>
      </c>
      <c r="T122" s="1">
        <v>0</v>
      </c>
      <c r="U122" s="1">
        <v>0</v>
      </c>
      <c r="V122" s="1" t="s">
        <v>2125</v>
      </c>
      <c r="W122" s="1" t="s">
        <v>2271</v>
      </c>
    </row>
    <row r="123" spans="1:23" ht="13.2">
      <c r="A123" s="1">
        <v>122</v>
      </c>
      <c r="B123" s="1" t="s">
        <v>2272</v>
      </c>
      <c r="C123" s="1" t="s">
        <v>2020</v>
      </c>
      <c r="D123" s="1">
        <v>45.18</v>
      </c>
      <c r="E123" s="1">
        <v>0.57999999999999996</v>
      </c>
      <c r="F123" s="1">
        <v>26.65</v>
      </c>
      <c r="G123" s="1">
        <v>0</v>
      </c>
      <c r="H123" s="1">
        <v>0</v>
      </c>
      <c r="I123" s="2">
        <v>5.48</v>
      </c>
      <c r="J123" s="1">
        <v>7.0000000000000007E-2</v>
      </c>
      <c r="K123" s="2">
        <v>6.28</v>
      </c>
      <c r="L123" s="2">
        <v>15.35</v>
      </c>
      <c r="M123" s="1">
        <v>0.47</v>
      </c>
      <c r="N123" s="1">
        <v>0.11</v>
      </c>
      <c r="O123" s="1">
        <v>0.12</v>
      </c>
      <c r="P123" s="1">
        <v>0</v>
      </c>
      <c r="Q123" s="1">
        <v>0</v>
      </c>
      <c r="R123" s="1">
        <v>560</v>
      </c>
      <c r="S123" s="1">
        <v>34.700000000000003</v>
      </c>
      <c r="T123" s="1">
        <v>0</v>
      </c>
      <c r="U123" s="1">
        <v>0</v>
      </c>
      <c r="V123" s="1" t="s">
        <v>2125</v>
      </c>
      <c r="W123" s="1" t="s">
        <v>2273</v>
      </c>
    </row>
    <row r="124" spans="1:23" ht="26.4">
      <c r="A124" s="1">
        <v>123</v>
      </c>
      <c r="B124" s="1" t="s">
        <v>2274</v>
      </c>
      <c r="C124" s="1" t="s">
        <v>2020</v>
      </c>
      <c r="D124" s="1">
        <v>46</v>
      </c>
      <c r="E124" s="1">
        <v>0.49</v>
      </c>
      <c r="F124" s="1">
        <v>27</v>
      </c>
      <c r="G124" s="1">
        <v>0.1</v>
      </c>
      <c r="H124" s="1">
        <v>0</v>
      </c>
      <c r="I124" s="2">
        <v>5</v>
      </c>
      <c r="J124" s="1">
        <v>0.06</v>
      </c>
      <c r="K124" s="2">
        <v>5.9</v>
      </c>
      <c r="L124" s="2">
        <v>15.4</v>
      </c>
      <c r="M124" s="1">
        <v>0.48</v>
      </c>
      <c r="N124" s="1">
        <v>0.2</v>
      </c>
      <c r="O124" s="1">
        <v>0.18</v>
      </c>
      <c r="P124" s="1">
        <v>0</v>
      </c>
      <c r="Q124" s="1">
        <v>7.8</v>
      </c>
      <c r="R124" s="1">
        <v>300</v>
      </c>
      <c r="S124" s="1">
        <v>40</v>
      </c>
      <c r="T124" s="1">
        <v>2.4500000000000002</v>
      </c>
      <c r="U124" s="1">
        <v>0</v>
      </c>
      <c r="V124" s="1" t="s">
        <v>2275</v>
      </c>
      <c r="W124" s="1" t="s">
        <v>2276</v>
      </c>
    </row>
    <row r="125" spans="1:23" ht="13.2">
      <c r="A125" s="1">
        <v>124</v>
      </c>
      <c r="B125" s="1" t="s">
        <v>2277</v>
      </c>
      <c r="C125" s="1" t="s">
        <v>2020</v>
      </c>
      <c r="D125" s="1">
        <v>45.08</v>
      </c>
      <c r="E125" s="1">
        <v>0.59</v>
      </c>
      <c r="F125" s="1">
        <v>26.49</v>
      </c>
      <c r="G125" s="1">
        <v>0</v>
      </c>
      <c r="H125" s="1">
        <v>0</v>
      </c>
      <c r="I125" s="2">
        <v>5.65</v>
      </c>
      <c r="J125" s="1">
        <v>7.0000000000000007E-2</v>
      </c>
      <c r="K125" s="2">
        <v>6.27</v>
      </c>
      <c r="L125" s="2">
        <v>15.3</v>
      </c>
      <c r="M125" s="1">
        <v>0.41</v>
      </c>
      <c r="N125" s="1">
        <v>0.11</v>
      </c>
      <c r="O125" s="1">
        <v>0.12</v>
      </c>
      <c r="P125" s="1">
        <v>0</v>
      </c>
      <c r="Q125" s="1">
        <v>0</v>
      </c>
      <c r="R125" s="1">
        <v>680</v>
      </c>
      <c r="S125" s="1">
        <v>34</v>
      </c>
      <c r="T125" s="1">
        <v>0</v>
      </c>
      <c r="U125" s="1">
        <v>14</v>
      </c>
      <c r="V125" s="1" t="s">
        <v>2278</v>
      </c>
      <c r="W125" s="1" t="s">
        <v>2279</v>
      </c>
    </row>
    <row r="126" spans="1:23" ht="13.2">
      <c r="A126" s="1">
        <v>125</v>
      </c>
      <c r="B126" s="1" t="s">
        <v>2280</v>
      </c>
      <c r="C126" s="1" t="s">
        <v>2020</v>
      </c>
      <c r="D126" s="1">
        <v>45.2</v>
      </c>
      <c r="E126" s="1">
        <v>0.59</v>
      </c>
      <c r="F126" s="1">
        <v>26.2</v>
      </c>
      <c r="G126" s="1">
        <v>0.14000000000000001</v>
      </c>
      <c r="H126" s="1">
        <v>0</v>
      </c>
      <c r="I126" s="2">
        <v>5.54</v>
      </c>
      <c r="J126" s="1">
        <v>7.0000000000000007E-2</v>
      </c>
      <c r="K126" s="2">
        <v>6.35</v>
      </c>
      <c r="L126" s="2">
        <v>15.35</v>
      </c>
      <c r="M126" s="1">
        <v>0.53</v>
      </c>
      <c r="N126" s="1">
        <v>0.14000000000000001</v>
      </c>
      <c r="O126" s="1">
        <v>0.12</v>
      </c>
      <c r="P126" s="1">
        <v>0</v>
      </c>
      <c r="Q126" s="1">
        <v>0</v>
      </c>
      <c r="R126" s="1">
        <v>348</v>
      </c>
      <c r="S126" s="1">
        <v>21</v>
      </c>
      <c r="T126" s="1">
        <v>0</v>
      </c>
      <c r="U126" s="1">
        <v>19</v>
      </c>
      <c r="V126" s="1" t="s">
        <v>2125</v>
      </c>
      <c r="W126" s="1" t="s">
        <v>2281</v>
      </c>
    </row>
    <row r="127" spans="1:23" ht="13.2">
      <c r="A127" s="1">
        <v>126</v>
      </c>
      <c r="B127" s="1" t="s">
        <v>2282</v>
      </c>
      <c r="C127" s="1" t="s">
        <v>2020</v>
      </c>
      <c r="D127" s="1">
        <v>44.67</v>
      </c>
      <c r="E127" s="1">
        <v>0.63</v>
      </c>
      <c r="F127" s="1">
        <v>26.3</v>
      </c>
      <c r="G127" s="1">
        <v>0.13</v>
      </c>
      <c r="H127" s="1">
        <v>0</v>
      </c>
      <c r="I127" s="2">
        <v>5.76</v>
      </c>
      <c r="J127" s="1">
        <v>7.0000000000000007E-2</v>
      </c>
      <c r="K127" s="2">
        <v>6.35</v>
      </c>
      <c r="L127" s="2">
        <v>15.57</v>
      </c>
      <c r="M127" s="1">
        <v>0.42</v>
      </c>
      <c r="N127" s="1">
        <v>0.14000000000000001</v>
      </c>
      <c r="O127" s="1">
        <v>0.12</v>
      </c>
      <c r="P127" s="1">
        <v>0</v>
      </c>
      <c r="Q127" s="1">
        <v>0</v>
      </c>
      <c r="R127" s="1">
        <v>470</v>
      </c>
      <c r="S127" s="1">
        <v>32.1</v>
      </c>
      <c r="T127" s="1">
        <v>0</v>
      </c>
      <c r="U127" s="1">
        <v>0</v>
      </c>
      <c r="V127" s="1" t="s">
        <v>2125</v>
      </c>
      <c r="W127" s="1" t="s">
        <v>2283</v>
      </c>
    </row>
    <row r="128" spans="1:23" ht="13.2">
      <c r="A128" s="1">
        <v>127</v>
      </c>
      <c r="B128" s="1" t="s">
        <v>2284</v>
      </c>
      <c r="C128" s="1" t="s">
        <v>2020</v>
      </c>
      <c r="D128" s="1">
        <v>44.76</v>
      </c>
      <c r="E128" s="1">
        <v>0.6</v>
      </c>
      <c r="F128" s="1">
        <v>26.35</v>
      </c>
      <c r="G128" s="1">
        <v>0.13</v>
      </c>
      <c r="H128" s="1">
        <v>0</v>
      </c>
      <c r="I128" s="2">
        <v>5.76</v>
      </c>
      <c r="J128" s="1">
        <v>7.0000000000000007E-2</v>
      </c>
      <c r="K128" s="2">
        <v>6.33</v>
      </c>
      <c r="L128" s="2">
        <v>15.55</v>
      </c>
      <c r="M128" s="1">
        <v>0.41</v>
      </c>
      <c r="N128" s="1">
        <v>0.14000000000000001</v>
      </c>
      <c r="O128" s="1">
        <v>0.12</v>
      </c>
      <c r="P128" s="1">
        <v>0</v>
      </c>
      <c r="Q128" s="1">
        <v>0</v>
      </c>
      <c r="R128" s="1">
        <v>600</v>
      </c>
      <c r="S128" s="1">
        <v>47</v>
      </c>
      <c r="T128" s="1">
        <v>0</v>
      </c>
      <c r="U128" s="1">
        <v>29</v>
      </c>
      <c r="V128" s="1" t="s">
        <v>2125</v>
      </c>
      <c r="W128" s="1" t="s">
        <v>2285</v>
      </c>
    </row>
    <row r="129" spans="1:23" ht="13.2">
      <c r="A129" s="1">
        <v>128</v>
      </c>
      <c r="B129" s="1" t="s">
        <v>2286</v>
      </c>
      <c r="C129" s="1" t="s">
        <v>2020</v>
      </c>
      <c r="D129" s="1">
        <v>38.54</v>
      </c>
      <c r="E129" s="1">
        <v>12.99</v>
      </c>
      <c r="F129" s="1">
        <v>8.65</v>
      </c>
      <c r="G129" s="1">
        <v>0.5</v>
      </c>
      <c r="H129" s="1">
        <v>0</v>
      </c>
      <c r="I129" s="2">
        <v>18.25</v>
      </c>
      <c r="J129" s="1">
        <v>0.25</v>
      </c>
      <c r="K129" s="2">
        <v>9.98</v>
      </c>
      <c r="L129" s="2">
        <v>10.28</v>
      </c>
      <c r="M129" s="1">
        <v>0.39</v>
      </c>
      <c r="N129" s="1">
        <v>0.05</v>
      </c>
      <c r="O129" s="1">
        <v>0.05</v>
      </c>
      <c r="P129" s="1">
        <v>0</v>
      </c>
      <c r="Q129" s="1">
        <v>28</v>
      </c>
      <c r="R129" s="1">
        <v>3</v>
      </c>
      <c r="S129" s="1">
        <v>32</v>
      </c>
      <c r="T129" s="1">
        <v>2</v>
      </c>
      <c r="U129" s="1">
        <v>146</v>
      </c>
      <c r="V129" s="1" t="s">
        <v>2287</v>
      </c>
      <c r="W129" s="1" t="s">
        <v>2288</v>
      </c>
    </row>
    <row r="130" spans="1:23" ht="13.2">
      <c r="A130" s="1">
        <v>129</v>
      </c>
      <c r="B130" s="1" t="s">
        <v>2289</v>
      </c>
      <c r="C130" s="1" t="s">
        <v>2020</v>
      </c>
      <c r="D130" s="1">
        <v>40.869999999999997</v>
      </c>
      <c r="E130" s="1">
        <v>8.11</v>
      </c>
      <c r="F130" s="1">
        <v>12.3</v>
      </c>
      <c r="G130" s="1">
        <v>0.44</v>
      </c>
      <c r="H130" s="1">
        <v>0</v>
      </c>
      <c r="I130" s="2">
        <v>16.37</v>
      </c>
      <c r="J130" s="1">
        <v>0.24</v>
      </c>
      <c r="K130" s="2">
        <v>9.82</v>
      </c>
      <c r="L130" s="2">
        <v>11.05</v>
      </c>
      <c r="M130" s="1">
        <v>0.35</v>
      </c>
      <c r="N130" s="1">
        <v>0.08</v>
      </c>
      <c r="O130" s="1">
        <v>0.06</v>
      </c>
      <c r="P130" s="1">
        <v>0</v>
      </c>
      <c r="Q130" s="1">
        <v>0</v>
      </c>
      <c r="R130" s="1">
        <v>191</v>
      </c>
      <c r="S130" s="1">
        <v>0</v>
      </c>
      <c r="T130" s="1">
        <v>0</v>
      </c>
      <c r="U130" s="1">
        <v>0</v>
      </c>
      <c r="V130" s="1" t="s">
        <v>2125</v>
      </c>
      <c r="W130" s="1" t="s">
        <v>2290</v>
      </c>
    </row>
    <row r="131" spans="1:23" ht="13.2">
      <c r="A131" s="1">
        <v>130</v>
      </c>
      <c r="B131" s="1" t="s">
        <v>2291</v>
      </c>
      <c r="C131" s="1" t="s">
        <v>2020</v>
      </c>
      <c r="D131" s="1">
        <v>39.74</v>
      </c>
      <c r="E131" s="1">
        <v>9.57</v>
      </c>
      <c r="F131" s="1">
        <v>10.8</v>
      </c>
      <c r="G131" s="1">
        <v>0.47</v>
      </c>
      <c r="H131" s="1">
        <v>0</v>
      </c>
      <c r="I131" s="2">
        <v>17.73</v>
      </c>
      <c r="J131" s="1">
        <v>0.24</v>
      </c>
      <c r="K131" s="2">
        <v>9.7200000000000006</v>
      </c>
      <c r="L131" s="2">
        <v>10.72</v>
      </c>
      <c r="M131" s="1">
        <v>0.35</v>
      </c>
      <c r="N131" s="1">
        <v>0.08</v>
      </c>
      <c r="O131" s="1">
        <v>7.0000000000000007E-2</v>
      </c>
      <c r="P131" s="1">
        <v>0</v>
      </c>
      <c r="Q131" s="1">
        <v>0</v>
      </c>
      <c r="R131" s="1">
        <v>117</v>
      </c>
      <c r="S131" s="1">
        <v>0</v>
      </c>
      <c r="T131" s="1">
        <v>0</v>
      </c>
      <c r="U131" s="1">
        <v>0</v>
      </c>
      <c r="V131" s="1" t="s">
        <v>2125</v>
      </c>
      <c r="W131" s="1" t="s">
        <v>2292</v>
      </c>
    </row>
    <row r="132" spans="1:23" ht="13.2">
      <c r="A132" s="1">
        <v>131</v>
      </c>
      <c r="B132" s="1" t="s">
        <v>2293</v>
      </c>
      <c r="C132" s="1" t="s">
        <v>2020</v>
      </c>
      <c r="D132" s="1">
        <v>38.14</v>
      </c>
      <c r="E132" s="1">
        <v>13.41</v>
      </c>
      <c r="F132" s="1">
        <v>8.6199999999999992</v>
      </c>
      <c r="G132" s="1">
        <v>0.41</v>
      </c>
      <c r="H132" s="1">
        <v>0</v>
      </c>
      <c r="I132" s="2">
        <v>19.2</v>
      </c>
      <c r="J132" s="1">
        <v>0.26</v>
      </c>
      <c r="K132" s="2">
        <v>9.0399999999999991</v>
      </c>
      <c r="L132" s="2">
        <v>10.77</v>
      </c>
      <c r="M132" s="1">
        <v>0.31</v>
      </c>
      <c r="N132" s="1">
        <v>0.06</v>
      </c>
      <c r="O132" s="1">
        <v>0.08</v>
      </c>
      <c r="P132" s="1">
        <v>0</v>
      </c>
      <c r="Q132" s="1">
        <v>31</v>
      </c>
      <c r="R132" s="1">
        <v>43</v>
      </c>
      <c r="S132" s="1">
        <v>26</v>
      </c>
      <c r="T132" s="1">
        <v>4</v>
      </c>
      <c r="U132" s="1">
        <v>88</v>
      </c>
      <c r="V132" s="1" t="s">
        <v>2294</v>
      </c>
      <c r="W132" s="1" t="s">
        <v>2295</v>
      </c>
    </row>
    <row r="133" spans="1:23" ht="13.2">
      <c r="A133" s="1">
        <v>132</v>
      </c>
      <c r="B133" s="1" t="s">
        <v>2296</v>
      </c>
      <c r="C133" s="1" t="s">
        <v>2020</v>
      </c>
      <c r="D133" s="1">
        <v>40.090000000000003</v>
      </c>
      <c r="E133" s="1">
        <v>9.32</v>
      </c>
      <c r="F133" s="1">
        <v>10.7</v>
      </c>
      <c r="G133" s="1">
        <v>0.49</v>
      </c>
      <c r="H133" s="1">
        <v>0</v>
      </c>
      <c r="I133" s="2">
        <v>17.850000000000001</v>
      </c>
      <c r="J133" s="1">
        <v>0.24</v>
      </c>
      <c r="K133" s="2">
        <v>9.92</v>
      </c>
      <c r="L133" s="2">
        <v>10.59</v>
      </c>
      <c r="M133" s="1">
        <v>0.36</v>
      </c>
      <c r="N133" s="1">
        <v>0.08</v>
      </c>
      <c r="O133" s="1">
        <v>7.0000000000000007E-2</v>
      </c>
      <c r="P133" s="1">
        <v>0</v>
      </c>
      <c r="Q133" s="1">
        <v>0</v>
      </c>
      <c r="R133" s="1">
        <v>50</v>
      </c>
      <c r="S133" s="1">
        <v>26.3</v>
      </c>
      <c r="T133" s="1">
        <v>0</v>
      </c>
      <c r="U133" s="1">
        <v>0</v>
      </c>
      <c r="V133" s="1" t="s">
        <v>2125</v>
      </c>
      <c r="W133" s="1" t="s">
        <v>2297</v>
      </c>
    </row>
    <row r="134" spans="1:23" ht="13.2">
      <c r="A134" s="1">
        <v>133</v>
      </c>
      <c r="B134" s="1" t="s">
        <v>2298</v>
      </c>
      <c r="C134" s="1" t="s">
        <v>2020</v>
      </c>
      <c r="D134" s="1">
        <v>44.91</v>
      </c>
      <c r="E134" s="1">
        <v>1.56</v>
      </c>
      <c r="F134" s="1">
        <v>20.57</v>
      </c>
      <c r="G134" s="1">
        <v>0</v>
      </c>
      <c r="H134" s="1">
        <v>0</v>
      </c>
      <c r="I134" s="2">
        <v>8.65</v>
      </c>
      <c r="J134" s="1">
        <v>0.13</v>
      </c>
      <c r="K134" s="2">
        <v>9.84</v>
      </c>
      <c r="L134" s="2">
        <v>12.82</v>
      </c>
      <c r="M134" s="1">
        <v>0.47</v>
      </c>
      <c r="N134" s="1">
        <v>0.16</v>
      </c>
      <c r="O134" s="1">
        <v>0.15</v>
      </c>
      <c r="P134" s="1">
        <v>0</v>
      </c>
      <c r="Q134" s="1">
        <v>0</v>
      </c>
      <c r="R134" s="1">
        <v>250</v>
      </c>
      <c r="S134" s="1">
        <v>30</v>
      </c>
      <c r="T134" s="1">
        <v>0</v>
      </c>
      <c r="U134" s="1">
        <v>50</v>
      </c>
      <c r="V134" s="1" t="s">
        <v>2299</v>
      </c>
      <c r="W134" s="1" t="s">
        <v>2300</v>
      </c>
    </row>
    <row r="135" spans="1:23" ht="13.2">
      <c r="A135" s="1">
        <v>134</v>
      </c>
      <c r="B135" s="1" t="s">
        <v>2301</v>
      </c>
      <c r="C135" s="1" t="s">
        <v>2020</v>
      </c>
      <c r="D135" s="1">
        <v>41.67</v>
      </c>
      <c r="E135" s="1">
        <v>6.52</v>
      </c>
      <c r="F135" s="1">
        <v>13.57</v>
      </c>
      <c r="G135" s="1">
        <v>0.42</v>
      </c>
      <c r="H135" s="1">
        <v>0</v>
      </c>
      <c r="I135" s="2">
        <v>15.37</v>
      </c>
      <c r="J135" s="1">
        <v>0.21</v>
      </c>
      <c r="K135" s="2">
        <v>10.220000000000001</v>
      </c>
      <c r="L135" s="2">
        <v>11.18</v>
      </c>
      <c r="M135" s="1">
        <v>0.34</v>
      </c>
      <c r="N135" s="1">
        <v>0.09</v>
      </c>
      <c r="O135" s="1">
        <v>0.06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 t="s">
        <v>2125</v>
      </c>
      <c r="W135" s="1" t="s">
        <v>2302</v>
      </c>
    </row>
    <row r="136" spans="1:23" ht="13.2">
      <c r="A136" s="1">
        <v>135</v>
      </c>
      <c r="B136" s="1" t="s">
        <v>2303</v>
      </c>
      <c r="C136" s="1" t="s">
        <v>2020</v>
      </c>
      <c r="D136" s="1">
        <v>39.82</v>
      </c>
      <c r="E136" s="1">
        <v>9.52</v>
      </c>
      <c r="F136" s="1">
        <v>11.13</v>
      </c>
      <c r="G136" s="1">
        <v>0.46</v>
      </c>
      <c r="H136" s="1">
        <v>0</v>
      </c>
      <c r="I136" s="2">
        <v>17.41</v>
      </c>
      <c r="J136" s="1">
        <v>0.25</v>
      </c>
      <c r="K136" s="2">
        <v>9.51</v>
      </c>
      <c r="L136" s="2">
        <v>10.85</v>
      </c>
      <c r="M136" s="1">
        <v>0.32</v>
      </c>
      <c r="N136" s="1">
        <v>7.0000000000000007E-2</v>
      </c>
      <c r="O136" s="1">
        <v>0.06</v>
      </c>
      <c r="P136" s="1">
        <v>0</v>
      </c>
      <c r="Q136" s="1">
        <v>0</v>
      </c>
      <c r="R136" s="1">
        <v>90</v>
      </c>
      <c r="S136" s="1">
        <v>33.1</v>
      </c>
      <c r="T136" s="1">
        <v>0</v>
      </c>
      <c r="U136" s="1">
        <v>0</v>
      </c>
      <c r="V136" s="1" t="s">
        <v>2125</v>
      </c>
      <c r="W136" s="1" t="s">
        <v>2304</v>
      </c>
    </row>
    <row r="137" spans="1:23" ht="13.2">
      <c r="A137" s="1">
        <v>136</v>
      </c>
      <c r="B137" s="1" t="s">
        <v>2305</v>
      </c>
      <c r="C137" s="1" t="s">
        <v>2020</v>
      </c>
      <c r="D137" s="1">
        <v>41.69</v>
      </c>
      <c r="E137" s="1">
        <v>6.13</v>
      </c>
      <c r="F137" s="1">
        <v>13.79</v>
      </c>
      <c r="G137" s="1">
        <v>0.43</v>
      </c>
      <c r="H137" s="1">
        <v>0</v>
      </c>
      <c r="I137" s="2">
        <v>15.11</v>
      </c>
      <c r="J137" s="1">
        <v>0.27</v>
      </c>
      <c r="K137" s="2">
        <v>10.31</v>
      </c>
      <c r="L137" s="2">
        <v>10.73</v>
      </c>
      <c r="M137" s="1">
        <v>0.27</v>
      </c>
      <c r="N137" s="1">
        <v>0.18</v>
      </c>
      <c r="O137" s="1">
        <v>0.06</v>
      </c>
      <c r="P137" s="1">
        <v>0</v>
      </c>
      <c r="Q137" s="1">
        <v>0</v>
      </c>
      <c r="R137" s="1">
        <v>170</v>
      </c>
      <c r="S137" s="1">
        <v>37</v>
      </c>
      <c r="T137" s="1">
        <v>0</v>
      </c>
      <c r="U137" s="1">
        <v>85</v>
      </c>
      <c r="V137" s="1" t="s">
        <v>2125</v>
      </c>
      <c r="W137" s="1" t="s">
        <v>2306</v>
      </c>
    </row>
    <row r="138" spans="1:23" ht="13.2">
      <c r="A138" s="1">
        <v>137</v>
      </c>
      <c r="B138" s="1" t="s">
        <v>2307</v>
      </c>
      <c r="C138" s="1" t="s">
        <v>2020</v>
      </c>
      <c r="D138" s="1">
        <v>43.11</v>
      </c>
      <c r="E138" s="1">
        <v>4.37</v>
      </c>
      <c r="F138" s="1">
        <v>16.100000000000001</v>
      </c>
      <c r="G138" s="1">
        <v>0.37</v>
      </c>
      <c r="H138" s="1">
        <v>0</v>
      </c>
      <c r="I138" s="2">
        <v>13.45</v>
      </c>
      <c r="J138" s="1">
        <v>0.19</v>
      </c>
      <c r="K138" s="2">
        <v>10.25</v>
      </c>
      <c r="L138" s="2">
        <v>11.83</v>
      </c>
      <c r="M138" s="1">
        <v>0.4</v>
      </c>
      <c r="N138" s="1">
        <v>0.12</v>
      </c>
      <c r="O138" s="1">
        <v>0.1</v>
      </c>
      <c r="P138" s="1">
        <v>0</v>
      </c>
      <c r="Q138" s="1">
        <v>0</v>
      </c>
      <c r="R138" s="1">
        <v>271</v>
      </c>
      <c r="S138" s="1">
        <v>0</v>
      </c>
      <c r="T138" s="1">
        <v>0</v>
      </c>
      <c r="U138" s="1">
        <v>0</v>
      </c>
      <c r="V138" s="1" t="s">
        <v>2125</v>
      </c>
      <c r="W138" s="1" t="s">
        <v>2308</v>
      </c>
    </row>
    <row r="139" spans="1:23" ht="13.2">
      <c r="A139" s="1">
        <v>138</v>
      </c>
      <c r="B139" s="1" t="s">
        <v>2309</v>
      </c>
      <c r="C139" s="1" t="s">
        <v>2020</v>
      </c>
      <c r="D139" s="1">
        <v>42.12</v>
      </c>
      <c r="E139" s="1">
        <v>5.21</v>
      </c>
      <c r="F139" s="1">
        <v>14.22</v>
      </c>
      <c r="G139" s="1">
        <v>0.42</v>
      </c>
      <c r="H139" s="1">
        <v>0</v>
      </c>
      <c r="I139" s="2">
        <v>14.86</v>
      </c>
      <c r="J139" s="1">
        <v>0.22</v>
      </c>
      <c r="K139" s="2">
        <v>10.54</v>
      </c>
      <c r="L139" s="2">
        <v>11.17</v>
      </c>
      <c r="M139" s="1">
        <v>0.41</v>
      </c>
      <c r="N139" s="1">
        <v>0.11</v>
      </c>
      <c r="O139" s="1">
        <v>0.08</v>
      </c>
      <c r="P139" s="1">
        <v>0</v>
      </c>
      <c r="Q139" s="1">
        <v>0</v>
      </c>
      <c r="R139" s="1">
        <v>273</v>
      </c>
      <c r="S139" s="1">
        <v>0</v>
      </c>
      <c r="T139" s="1">
        <v>0</v>
      </c>
      <c r="U139" s="1">
        <v>0</v>
      </c>
      <c r="V139" s="1" t="s">
        <v>2125</v>
      </c>
      <c r="W139" s="1" t="s">
        <v>2310</v>
      </c>
    </row>
    <row r="140" spans="1:23" ht="13.2">
      <c r="A140" s="1">
        <v>139</v>
      </c>
      <c r="B140" s="1" t="s">
        <v>2311</v>
      </c>
      <c r="C140" s="1" t="s">
        <v>2020</v>
      </c>
      <c r="D140" s="1">
        <v>45.03</v>
      </c>
      <c r="E140" s="1">
        <v>1.55</v>
      </c>
      <c r="F140" s="1">
        <v>20.51</v>
      </c>
      <c r="G140" s="1">
        <v>0.22</v>
      </c>
      <c r="H140" s="1">
        <v>0</v>
      </c>
      <c r="I140" s="2">
        <v>8.85</v>
      </c>
      <c r="J140" s="1">
        <v>0.13</v>
      </c>
      <c r="K140" s="2">
        <v>9.89</v>
      </c>
      <c r="L140" s="2">
        <v>12.83</v>
      </c>
      <c r="M140" s="1">
        <v>0.46</v>
      </c>
      <c r="N140" s="1">
        <v>0.17</v>
      </c>
      <c r="O140" s="1">
        <v>0.17</v>
      </c>
      <c r="P140" s="1">
        <v>0</v>
      </c>
      <c r="Q140" s="1">
        <v>0</v>
      </c>
      <c r="R140" s="1">
        <v>270</v>
      </c>
      <c r="S140" s="1">
        <v>30</v>
      </c>
      <c r="T140" s="1">
        <v>0</v>
      </c>
      <c r="U140" s="1">
        <v>50</v>
      </c>
      <c r="V140" s="1" t="s">
        <v>2125</v>
      </c>
      <c r="W140" s="1" t="s">
        <v>2312</v>
      </c>
    </row>
    <row r="141" spans="1:23" ht="13.2">
      <c r="A141" s="1">
        <v>140</v>
      </c>
      <c r="B141" s="1" t="s">
        <v>2313</v>
      </c>
      <c r="C141" s="1" t="s">
        <v>2020</v>
      </c>
      <c r="D141" s="1">
        <v>44.48</v>
      </c>
      <c r="E141" s="1">
        <v>1.5</v>
      </c>
      <c r="F141" s="1">
        <v>20.87</v>
      </c>
      <c r="G141" s="1">
        <v>0.21</v>
      </c>
      <c r="H141" s="1">
        <v>0</v>
      </c>
      <c r="I141" s="2">
        <v>8.58</v>
      </c>
      <c r="J141" s="1">
        <v>0.12</v>
      </c>
      <c r="K141" s="2">
        <v>9.69</v>
      </c>
      <c r="L141" s="2">
        <v>12.97</v>
      </c>
      <c r="M141" s="1">
        <v>0.47</v>
      </c>
      <c r="N141" s="1">
        <v>0.17</v>
      </c>
      <c r="O141" s="1">
        <v>0.16</v>
      </c>
      <c r="P141" s="1">
        <v>0</v>
      </c>
      <c r="Q141" s="1">
        <v>0</v>
      </c>
      <c r="R141" s="1">
        <v>230</v>
      </c>
      <c r="S141" s="1">
        <v>30</v>
      </c>
      <c r="T141" s="1">
        <v>0</v>
      </c>
      <c r="U141" s="1">
        <v>50</v>
      </c>
      <c r="V141" s="1" t="s">
        <v>2125</v>
      </c>
      <c r="W141" s="1" t="s">
        <v>2314</v>
      </c>
    </row>
    <row r="142" spans="1:23" ht="13.2">
      <c r="A142" s="1">
        <v>141</v>
      </c>
      <c r="B142" s="1" t="s">
        <v>2315</v>
      </c>
      <c r="C142" s="1" t="s">
        <v>2020</v>
      </c>
      <c r="D142" s="1">
        <v>45.12</v>
      </c>
      <c r="E142" s="1">
        <v>1.56</v>
      </c>
      <c r="F142" s="1">
        <v>20.64</v>
      </c>
      <c r="G142" s="1">
        <v>0.23</v>
      </c>
      <c r="H142" s="1">
        <v>0</v>
      </c>
      <c r="I142" s="2">
        <v>8.77</v>
      </c>
      <c r="J142" s="1">
        <v>0.11</v>
      </c>
      <c r="K142" s="2">
        <v>10.08</v>
      </c>
      <c r="L142" s="2">
        <v>12.86</v>
      </c>
      <c r="M142" s="1">
        <v>0.4</v>
      </c>
      <c r="N142" s="1">
        <v>0.16</v>
      </c>
      <c r="O142" s="1">
        <v>0.13</v>
      </c>
      <c r="P142" s="1">
        <v>0</v>
      </c>
      <c r="Q142" s="1">
        <v>0</v>
      </c>
      <c r="R142" s="1">
        <v>250</v>
      </c>
      <c r="S142" s="1">
        <v>31</v>
      </c>
      <c r="T142" s="1">
        <v>0</v>
      </c>
      <c r="U142" s="1">
        <v>45</v>
      </c>
      <c r="V142" s="1" t="e" cm="1">
        <f t="array" ref="V142">Chemical_analyses!I/$AB$1/(17.3/$AB$1+23.58/$AC$1+1.59/$AD$1)*100</f>
        <v>#NAME?</v>
      </c>
      <c r="W142" s="1" t="s">
        <v>2316</v>
      </c>
    </row>
    <row r="143" spans="1:23" ht="13.2">
      <c r="A143" s="1">
        <v>142</v>
      </c>
      <c r="B143" s="1" t="s">
        <v>2317</v>
      </c>
      <c r="C143" s="1" t="s">
        <v>2020</v>
      </c>
      <c r="D143" s="1">
        <v>44.87</v>
      </c>
      <c r="E143" s="1">
        <v>1.52</v>
      </c>
      <c r="F143" s="1">
        <v>20.6</v>
      </c>
      <c r="G143" s="1">
        <v>0.23</v>
      </c>
      <c r="H143" s="1">
        <v>0</v>
      </c>
      <c r="I143" s="2">
        <v>8.65</v>
      </c>
      <c r="J143" s="1">
        <v>0.12</v>
      </c>
      <c r="K143" s="2">
        <v>9.9700000000000006</v>
      </c>
      <c r="L143" s="2">
        <v>12.8</v>
      </c>
      <c r="M143" s="1">
        <v>0.4</v>
      </c>
      <c r="N143" s="1">
        <v>0.16</v>
      </c>
      <c r="O143" s="1">
        <v>0.15</v>
      </c>
      <c r="P143" s="1">
        <v>0</v>
      </c>
      <c r="Q143" s="1">
        <v>0</v>
      </c>
      <c r="R143" s="1">
        <v>280.5</v>
      </c>
      <c r="S143" s="1">
        <v>0</v>
      </c>
      <c r="T143" s="1">
        <v>0</v>
      </c>
      <c r="U143" s="1">
        <v>0</v>
      </c>
      <c r="V143" s="1" t="s">
        <v>2168</v>
      </c>
      <c r="W143" s="1" t="s">
        <v>2318</v>
      </c>
    </row>
    <row r="144" spans="1:23" ht="13.2">
      <c r="A144" s="1">
        <v>143</v>
      </c>
      <c r="B144" s="1" t="s">
        <v>2319</v>
      </c>
      <c r="C144" s="1" t="s">
        <v>2020</v>
      </c>
      <c r="D144" s="1">
        <v>45.56</v>
      </c>
      <c r="E144" s="1">
        <v>1.39</v>
      </c>
      <c r="F144" s="1">
        <v>21.23</v>
      </c>
      <c r="G144" s="1">
        <v>0.26</v>
      </c>
      <c r="H144" s="1">
        <v>0</v>
      </c>
      <c r="I144" s="2">
        <v>8.4499999999999993</v>
      </c>
      <c r="J144" s="1">
        <v>0.11</v>
      </c>
      <c r="K144" s="2">
        <v>9.73</v>
      </c>
      <c r="L144" s="2">
        <v>12.82</v>
      </c>
      <c r="M144" s="1">
        <v>0.39</v>
      </c>
      <c r="N144" s="1">
        <v>0.17</v>
      </c>
      <c r="O144" s="1">
        <v>0.15</v>
      </c>
      <c r="P144" s="1">
        <v>0</v>
      </c>
      <c r="Q144" s="1">
        <v>0</v>
      </c>
      <c r="R144" s="1">
        <v>280</v>
      </c>
      <c r="S144" s="1">
        <v>31</v>
      </c>
      <c r="T144" s="1">
        <v>0</v>
      </c>
      <c r="U144" s="1">
        <v>50</v>
      </c>
      <c r="V144" s="1" t="s">
        <v>2168</v>
      </c>
      <c r="W144" s="1" t="s">
        <v>2320</v>
      </c>
    </row>
    <row r="145" spans="1:23" ht="13.2">
      <c r="A145" s="1">
        <v>144</v>
      </c>
      <c r="B145" s="1" t="s">
        <v>2321</v>
      </c>
      <c r="C145" s="1" t="s">
        <v>2020</v>
      </c>
      <c r="D145" s="1">
        <v>45.35</v>
      </c>
      <c r="E145" s="1">
        <v>1.26</v>
      </c>
      <c r="F145" s="1">
        <v>21.56</v>
      </c>
      <c r="G145" s="1">
        <v>0.24</v>
      </c>
      <c r="H145" s="1">
        <v>0</v>
      </c>
      <c r="I145" s="2">
        <v>8.02</v>
      </c>
      <c r="J145" s="1">
        <v>0.11</v>
      </c>
      <c r="K145" s="2">
        <v>10.28</v>
      </c>
      <c r="L145" s="2">
        <v>12.91</v>
      </c>
      <c r="M145" s="1">
        <v>0.38</v>
      </c>
      <c r="N145" s="1">
        <v>0.14000000000000001</v>
      </c>
      <c r="O145" s="1">
        <v>0.12</v>
      </c>
      <c r="P145" s="1">
        <v>0</v>
      </c>
      <c r="Q145" s="1">
        <v>0</v>
      </c>
      <c r="R145" s="1">
        <v>240</v>
      </c>
      <c r="S145" s="1">
        <v>30</v>
      </c>
      <c r="T145" s="1">
        <v>0</v>
      </c>
      <c r="U145" s="1">
        <v>45</v>
      </c>
      <c r="V145" s="1" t="s">
        <v>2168</v>
      </c>
      <c r="W145" s="1" t="s">
        <v>2322</v>
      </c>
    </row>
    <row r="146" spans="1:23" ht="13.2">
      <c r="A146" s="1">
        <v>145</v>
      </c>
      <c r="B146" s="1" t="s">
        <v>2323</v>
      </c>
      <c r="C146" s="1" t="s">
        <v>2020</v>
      </c>
      <c r="D146" s="1">
        <v>45.2</v>
      </c>
      <c r="E146" s="1">
        <v>1.86</v>
      </c>
      <c r="F146" s="1">
        <v>21.03</v>
      </c>
      <c r="G146" s="1">
        <v>0.27</v>
      </c>
      <c r="H146" s="1">
        <v>0</v>
      </c>
      <c r="I146" s="2">
        <v>8.85</v>
      </c>
      <c r="J146" s="1">
        <v>0.11</v>
      </c>
      <c r="K146" s="2">
        <v>8.9700000000000006</v>
      </c>
      <c r="L146" s="2">
        <v>12.86</v>
      </c>
      <c r="M146" s="1">
        <v>0.41</v>
      </c>
      <c r="N146" s="1">
        <v>0.16</v>
      </c>
      <c r="O146" s="1">
        <v>0.15</v>
      </c>
      <c r="P146" s="1">
        <v>0</v>
      </c>
      <c r="Q146" s="1">
        <v>0</v>
      </c>
      <c r="R146" s="1">
        <v>250</v>
      </c>
      <c r="S146" s="1">
        <v>49</v>
      </c>
      <c r="T146" s="1">
        <v>0</v>
      </c>
      <c r="U146" s="1">
        <v>40</v>
      </c>
      <c r="V146" s="1" t="s">
        <v>2324</v>
      </c>
      <c r="W146" s="1" t="s">
        <v>2325</v>
      </c>
    </row>
    <row r="147" spans="1:23" ht="13.2">
      <c r="A147" s="1">
        <v>146</v>
      </c>
      <c r="B147" s="1" t="s">
        <v>2326</v>
      </c>
      <c r="C147" s="1" t="s">
        <v>2020</v>
      </c>
      <c r="D147" s="1">
        <v>44.55</v>
      </c>
      <c r="E147" s="1">
        <v>1.73</v>
      </c>
      <c r="F147" s="1">
        <v>20.2</v>
      </c>
      <c r="G147" s="1">
        <v>0.25</v>
      </c>
      <c r="H147" s="1">
        <v>0</v>
      </c>
      <c r="I147" s="2">
        <v>8.4499999999999993</v>
      </c>
      <c r="J147" s="1">
        <v>0.11</v>
      </c>
      <c r="K147" s="2">
        <v>11.11</v>
      </c>
      <c r="L147" s="2">
        <v>12.9</v>
      </c>
      <c r="M147" s="1">
        <v>0.46</v>
      </c>
      <c r="N147" s="1">
        <v>0.16</v>
      </c>
      <c r="O147" s="1">
        <v>0.15</v>
      </c>
      <c r="P147" s="1">
        <v>0</v>
      </c>
      <c r="Q147" s="1">
        <v>0</v>
      </c>
      <c r="R147" s="1">
        <v>320</v>
      </c>
      <c r="S147" s="1">
        <v>37</v>
      </c>
      <c r="T147" s="1">
        <v>0</v>
      </c>
      <c r="U147" s="1">
        <v>46</v>
      </c>
      <c r="V147" s="1" t="s">
        <v>2168</v>
      </c>
      <c r="W147" s="1" t="s">
        <v>2327</v>
      </c>
    </row>
    <row r="148" spans="1:23" ht="13.2">
      <c r="A148" s="1">
        <v>147</v>
      </c>
      <c r="B148" s="1" t="s">
        <v>2328</v>
      </c>
      <c r="C148" s="1" t="s">
        <v>2020</v>
      </c>
      <c r="D148" s="1">
        <v>45.31</v>
      </c>
      <c r="E148" s="1">
        <v>1.76</v>
      </c>
      <c r="F148" s="1">
        <v>20.23</v>
      </c>
      <c r="G148" s="1">
        <v>0.27</v>
      </c>
      <c r="H148" s="1">
        <v>0</v>
      </c>
      <c r="I148" s="2">
        <v>8.82</v>
      </c>
      <c r="J148" s="1">
        <v>0.11</v>
      </c>
      <c r="K148" s="2">
        <v>9.9499999999999993</v>
      </c>
      <c r="L148" s="2">
        <v>12.91</v>
      </c>
      <c r="M148" s="1">
        <v>0.41</v>
      </c>
      <c r="N148" s="1">
        <v>0.16</v>
      </c>
      <c r="O148" s="1">
        <v>0.14000000000000001</v>
      </c>
      <c r="P148" s="1">
        <v>0</v>
      </c>
      <c r="Q148" s="1">
        <v>0</v>
      </c>
      <c r="R148" s="1">
        <v>380</v>
      </c>
      <c r="S148" s="1">
        <v>46</v>
      </c>
      <c r="T148" s="1">
        <v>0</v>
      </c>
      <c r="U148" s="1">
        <v>42</v>
      </c>
      <c r="V148" s="1" t="s">
        <v>2125</v>
      </c>
      <c r="W148" s="1" t="s">
        <v>2329</v>
      </c>
    </row>
    <row r="149" spans="1:23" ht="13.2">
      <c r="A149" s="1">
        <v>148</v>
      </c>
      <c r="B149" s="1" t="s">
        <v>2330</v>
      </c>
      <c r="C149" s="1" t="s">
        <v>2020</v>
      </c>
      <c r="D149" s="1">
        <v>38.57</v>
      </c>
      <c r="E149" s="1">
        <v>8.81</v>
      </c>
      <c r="F149" s="1">
        <v>6.32</v>
      </c>
      <c r="G149" s="1">
        <v>0.75</v>
      </c>
      <c r="H149" s="1">
        <v>0</v>
      </c>
      <c r="I149" s="2">
        <v>22.04</v>
      </c>
      <c r="J149" s="1">
        <v>0.3</v>
      </c>
      <c r="K149" s="2">
        <v>14.44</v>
      </c>
      <c r="L149" s="2">
        <v>7.68</v>
      </c>
      <c r="M149" s="1">
        <v>0.36</v>
      </c>
      <c r="N149" s="1">
        <v>0.09</v>
      </c>
      <c r="O149" s="1">
        <v>0.04</v>
      </c>
      <c r="P149" s="1">
        <v>0</v>
      </c>
      <c r="Q149" s="1">
        <v>0</v>
      </c>
      <c r="R149" s="1">
        <v>83</v>
      </c>
      <c r="S149" s="1">
        <v>0</v>
      </c>
      <c r="T149" s="1">
        <v>0</v>
      </c>
      <c r="U149" s="1">
        <v>0</v>
      </c>
      <c r="V149" s="1" t="s">
        <v>2125</v>
      </c>
      <c r="W149" s="1" t="s">
        <v>2331</v>
      </c>
    </row>
    <row r="150" spans="1:23" ht="13.2">
      <c r="A150" s="1">
        <v>149</v>
      </c>
      <c r="B150" s="1" t="s">
        <v>2332</v>
      </c>
      <c r="C150" s="1" t="s">
        <v>2020</v>
      </c>
      <c r="D150" s="1">
        <v>40.78</v>
      </c>
      <c r="E150" s="1">
        <v>8.61</v>
      </c>
      <c r="F150" s="1">
        <v>12.54</v>
      </c>
      <c r="G150" s="1">
        <v>0.41</v>
      </c>
      <c r="H150" s="1">
        <v>0</v>
      </c>
      <c r="I150" s="2">
        <v>15.84</v>
      </c>
      <c r="J150" s="1">
        <v>0.24</v>
      </c>
      <c r="K150" s="2">
        <v>9.15</v>
      </c>
      <c r="L150" s="2">
        <v>11.36</v>
      </c>
      <c r="M150" s="1">
        <v>0.38</v>
      </c>
      <c r="N150" s="1">
        <v>0.12</v>
      </c>
      <c r="O150" s="1">
        <v>0.09</v>
      </c>
      <c r="P150" s="1">
        <v>0</v>
      </c>
      <c r="Q150" s="1">
        <v>0</v>
      </c>
      <c r="R150" s="1">
        <v>80</v>
      </c>
      <c r="S150" s="1">
        <v>0</v>
      </c>
      <c r="T150" s="1">
        <v>0</v>
      </c>
      <c r="U150" s="1">
        <v>0</v>
      </c>
      <c r="V150" s="1" t="s">
        <v>2168</v>
      </c>
      <c r="W150" s="1" t="s">
        <v>2333</v>
      </c>
    </row>
    <row r="151" spans="1:23" ht="13.2">
      <c r="A151" s="1">
        <v>150</v>
      </c>
      <c r="B151" s="1" t="s">
        <v>2334</v>
      </c>
      <c r="C151" s="1" t="s">
        <v>2020</v>
      </c>
      <c r="D151" s="1">
        <v>38.43</v>
      </c>
      <c r="E151" s="1">
        <v>12.7</v>
      </c>
      <c r="F151" s="1">
        <v>8.7200000000000006</v>
      </c>
      <c r="G151" s="1">
        <v>0.65</v>
      </c>
      <c r="H151" s="1">
        <v>0</v>
      </c>
      <c r="I151" s="2">
        <v>18.14</v>
      </c>
      <c r="J151" s="1">
        <v>0.26</v>
      </c>
      <c r="K151" s="2">
        <v>10.36</v>
      </c>
      <c r="L151" s="2">
        <v>10.32</v>
      </c>
      <c r="M151" s="1">
        <v>0.35</v>
      </c>
      <c r="N151" s="1">
        <v>7.0000000000000007E-2</v>
      </c>
      <c r="O151" s="1">
        <v>0.06</v>
      </c>
      <c r="P151" s="1">
        <v>0</v>
      </c>
      <c r="Q151" s="1">
        <v>3</v>
      </c>
      <c r="R151" s="1">
        <v>3</v>
      </c>
      <c r="S151" s="1">
        <v>23.5</v>
      </c>
      <c r="T151" s="1">
        <v>2</v>
      </c>
      <c r="U151" s="1">
        <v>79</v>
      </c>
      <c r="V151" s="1" t="s">
        <v>2294</v>
      </c>
      <c r="W151" s="1" t="s">
        <v>2335</v>
      </c>
    </row>
    <row r="152" spans="1:23" ht="26.4">
      <c r="A152" s="1">
        <v>151</v>
      </c>
      <c r="B152" s="1" t="s">
        <v>2336</v>
      </c>
      <c r="C152" s="1" t="s">
        <v>2020</v>
      </c>
      <c r="D152" s="1">
        <v>42.31</v>
      </c>
      <c r="E152" s="1">
        <v>8.9499999999999993</v>
      </c>
      <c r="F152" s="1">
        <v>10.3</v>
      </c>
      <c r="G152" s="1">
        <v>0.21</v>
      </c>
      <c r="H152" s="1">
        <v>0</v>
      </c>
      <c r="I152" s="2">
        <v>18.57</v>
      </c>
      <c r="J152" s="1">
        <v>0.26</v>
      </c>
      <c r="K152" s="2">
        <v>6.28</v>
      </c>
      <c r="L152" s="2">
        <v>12.15</v>
      </c>
      <c r="M152" s="1">
        <v>0.53</v>
      </c>
      <c r="N152" s="1">
        <v>0.06</v>
      </c>
      <c r="O152" s="1">
        <v>0.08</v>
      </c>
      <c r="P152" s="1">
        <v>0</v>
      </c>
      <c r="Q152" s="1">
        <v>2</v>
      </c>
      <c r="R152" s="1">
        <v>2</v>
      </c>
      <c r="S152" s="1">
        <v>16.600000000000001</v>
      </c>
      <c r="T152" s="1">
        <v>2</v>
      </c>
      <c r="U152" s="1">
        <v>19</v>
      </c>
      <c r="V152" s="1" t="s">
        <v>2337</v>
      </c>
      <c r="W152" s="1" t="s">
        <v>2338</v>
      </c>
    </row>
    <row r="153" spans="1:23" ht="13.2">
      <c r="A153" s="1">
        <v>152</v>
      </c>
      <c r="B153" s="1" t="s">
        <v>2339</v>
      </c>
      <c r="C153" s="1" t="s">
        <v>2020</v>
      </c>
      <c r="D153" s="1">
        <v>39.32</v>
      </c>
      <c r="E153" s="1">
        <v>10.31</v>
      </c>
      <c r="F153" s="1">
        <v>10.42</v>
      </c>
      <c r="G153" s="1">
        <v>0.48</v>
      </c>
      <c r="H153" s="1">
        <v>0</v>
      </c>
      <c r="I153" s="2">
        <v>18.190000000000001</v>
      </c>
      <c r="J153" s="1">
        <v>0.25</v>
      </c>
      <c r="K153" s="2">
        <v>9.5299999999999994</v>
      </c>
      <c r="L153" s="2">
        <v>10.72</v>
      </c>
      <c r="M153" s="1">
        <v>0.33</v>
      </c>
      <c r="N153" s="1">
        <v>0.08</v>
      </c>
      <c r="O153" s="1">
        <v>0.06</v>
      </c>
      <c r="P153" s="1">
        <v>0</v>
      </c>
      <c r="Q153" s="1">
        <v>0</v>
      </c>
      <c r="R153" s="1">
        <v>115</v>
      </c>
      <c r="S153" s="1">
        <v>0</v>
      </c>
      <c r="T153" s="1">
        <v>0</v>
      </c>
      <c r="U153" s="1">
        <v>0</v>
      </c>
      <c r="V153" s="1" t="s">
        <v>2340</v>
      </c>
      <c r="W153" s="1" t="s">
        <v>2341</v>
      </c>
    </row>
    <row r="154" spans="1:23" ht="13.2">
      <c r="A154" s="1">
        <v>153</v>
      </c>
      <c r="B154" s="1" t="s">
        <v>2342</v>
      </c>
      <c r="C154" s="1" t="s">
        <v>2020</v>
      </c>
      <c r="D154" s="1">
        <v>40.270000000000003</v>
      </c>
      <c r="E154" s="1">
        <v>9.41</v>
      </c>
      <c r="F154" s="1">
        <v>11.31</v>
      </c>
      <c r="G154" s="1">
        <v>0.46</v>
      </c>
      <c r="H154" s="1">
        <v>0</v>
      </c>
      <c r="I154" s="2">
        <v>17.2</v>
      </c>
      <c r="J154" s="1">
        <v>0.25</v>
      </c>
      <c r="K154" s="2">
        <v>9.59</v>
      </c>
      <c r="L154" s="2">
        <v>10.97</v>
      </c>
      <c r="M154" s="1">
        <v>0.33</v>
      </c>
      <c r="N154" s="1">
        <v>0.08</v>
      </c>
      <c r="O154" s="1">
        <v>7.0000000000000007E-2</v>
      </c>
      <c r="P154" s="1">
        <v>0</v>
      </c>
      <c r="Q154" s="1">
        <v>0</v>
      </c>
      <c r="R154" s="1">
        <v>100</v>
      </c>
      <c r="S154" s="1">
        <v>27</v>
      </c>
      <c r="T154" s="1">
        <v>0</v>
      </c>
      <c r="U154" s="1">
        <v>100</v>
      </c>
      <c r="V154" s="1" t="s">
        <v>2343</v>
      </c>
      <c r="W154" s="1" t="s">
        <v>2344</v>
      </c>
    </row>
    <row r="155" spans="1:23" ht="26.4">
      <c r="A155" s="1">
        <v>154</v>
      </c>
      <c r="B155" s="1" t="s">
        <v>2345</v>
      </c>
      <c r="C155" s="1" t="s">
        <v>2020</v>
      </c>
      <c r="D155" s="1">
        <v>20.2</v>
      </c>
      <c r="E155" s="1">
        <v>1.8</v>
      </c>
      <c r="F155" s="1">
        <v>9</v>
      </c>
      <c r="G155" s="1">
        <v>0</v>
      </c>
      <c r="H155" s="1">
        <v>0</v>
      </c>
      <c r="I155" s="2">
        <v>9.3000000000000007</v>
      </c>
      <c r="J155" s="1">
        <v>0.12</v>
      </c>
      <c r="K155" s="2">
        <v>6.8</v>
      </c>
      <c r="L155" s="2">
        <v>7.6</v>
      </c>
      <c r="M155" s="1">
        <v>0.28999999999999998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38</v>
      </c>
      <c r="T155" s="1">
        <v>0</v>
      </c>
      <c r="U155" s="1">
        <v>0</v>
      </c>
      <c r="V155" s="1" t="s">
        <v>2346</v>
      </c>
      <c r="W155" s="1" t="s">
        <v>2347</v>
      </c>
    </row>
    <row r="156" spans="1:23" ht="13.2">
      <c r="A156" s="1">
        <v>155</v>
      </c>
      <c r="B156" s="1" t="s">
        <v>2348</v>
      </c>
      <c r="C156" s="1" t="s">
        <v>2020</v>
      </c>
      <c r="D156" s="1">
        <v>42.67</v>
      </c>
      <c r="E156" s="1">
        <v>5.47</v>
      </c>
      <c r="F156" s="1">
        <v>15.73</v>
      </c>
      <c r="G156" s="1">
        <v>0.37</v>
      </c>
      <c r="H156" s="1">
        <v>0</v>
      </c>
      <c r="I156" s="2">
        <v>13.15</v>
      </c>
      <c r="J156" s="1">
        <v>0.18</v>
      </c>
      <c r="K156" s="2">
        <v>9.91</v>
      </c>
      <c r="L156" s="2">
        <v>11.77</v>
      </c>
      <c r="M156" s="1">
        <v>0.35</v>
      </c>
      <c r="N156" s="1">
        <v>0.09</v>
      </c>
      <c r="O156" s="1">
        <v>0.05</v>
      </c>
      <c r="P156" s="1">
        <v>0</v>
      </c>
      <c r="Q156" s="1">
        <v>0</v>
      </c>
      <c r="R156" s="1">
        <v>194</v>
      </c>
      <c r="S156" s="1">
        <v>0</v>
      </c>
      <c r="T156" s="1">
        <v>0</v>
      </c>
      <c r="U156" s="1">
        <v>0</v>
      </c>
      <c r="V156" s="1" t="s">
        <v>2346</v>
      </c>
      <c r="W156" s="1" t="s">
        <v>2349</v>
      </c>
    </row>
    <row r="157" spans="1:23" ht="13.2">
      <c r="A157" s="1">
        <v>156</v>
      </c>
      <c r="B157" s="1" t="s">
        <v>2350</v>
      </c>
      <c r="C157" s="1" t="s">
        <v>2020</v>
      </c>
      <c r="D157" s="1">
        <v>43.2</v>
      </c>
      <c r="E157" s="1">
        <v>3.31</v>
      </c>
      <c r="F157" s="1">
        <v>17.850000000000001</v>
      </c>
      <c r="G157" s="1">
        <v>0</v>
      </c>
      <c r="H157" s="1">
        <v>0</v>
      </c>
      <c r="I157" s="2">
        <v>10.92</v>
      </c>
      <c r="J157" s="1">
        <v>0.16</v>
      </c>
      <c r="K157" s="2">
        <v>11.05</v>
      </c>
      <c r="L157" s="2">
        <v>11.97</v>
      </c>
      <c r="M157" s="1">
        <v>0.43</v>
      </c>
      <c r="N157" s="1">
        <v>0.12</v>
      </c>
      <c r="O157" s="1">
        <v>0.09</v>
      </c>
      <c r="P157" s="1">
        <v>0</v>
      </c>
      <c r="Q157" s="1">
        <v>0</v>
      </c>
      <c r="R157" s="1">
        <v>0</v>
      </c>
      <c r="S157" s="1">
        <v>37</v>
      </c>
      <c r="T157" s="1">
        <v>0</v>
      </c>
      <c r="U157" s="1">
        <v>0</v>
      </c>
      <c r="V157" s="1" t="s">
        <v>2343</v>
      </c>
      <c r="W157" s="1" t="s">
        <v>2351</v>
      </c>
    </row>
    <row r="158" spans="1:23" ht="13.2">
      <c r="A158" s="1">
        <v>157</v>
      </c>
      <c r="B158" s="1" t="s">
        <v>2352</v>
      </c>
      <c r="C158" s="1" t="s">
        <v>2020</v>
      </c>
      <c r="D158" s="1">
        <v>43.64</v>
      </c>
      <c r="E158" s="1">
        <v>3.38</v>
      </c>
      <c r="F158" s="1">
        <v>17.96</v>
      </c>
      <c r="G158" s="1">
        <v>0.28000000000000003</v>
      </c>
      <c r="H158" s="1">
        <v>0</v>
      </c>
      <c r="I158" s="2">
        <v>10.93</v>
      </c>
      <c r="J158" s="1">
        <v>0.16</v>
      </c>
      <c r="K158" s="2">
        <v>10.75</v>
      </c>
      <c r="L158" s="2">
        <v>12.11</v>
      </c>
      <c r="M158" s="1">
        <v>0.43</v>
      </c>
      <c r="N158" s="1">
        <v>0.12</v>
      </c>
      <c r="O158" s="1">
        <v>0.11</v>
      </c>
      <c r="P158" s="1">
        <v>0</v>
      </c>
      <c r="Q158" s="1">
        <v>0</v>
      </c>
      <c r="R158" s="1">
        <v>0</v>
      </c>
      <c r="S158" s="1">
        <v>32</v>
      </c>
      <c r="T158" s="1">
        <v>0</v>
      </c>
      <c r="U158" s="1">
        <v>0</v>
      </c>
      <c r="V158" s="1" t="s">
        <v>2346</v>
      </c>
      <c r="W158" s="1" t="s">
        <v>2353</v>
      </c>
    </row>
    <row r="159" spans="1:23" ht="13.2">
      <c r="A159" s="1">
        <v>158</v>
      </c>
      <c r="B159" s="1" t="s">
        <v>2354</v>
      </c>
      <c r="C159" s="1" t="s">
        <v>2020</v>
      </c>
      <c r="D159" s="1">
        <v>44.09</v>
      </c>
      <c r="E159" s="1">
        <v>0.41</v>
      </c>
      <c r="F159" s="1">
        <v>26.59</v>
      </c>
      <c r="G159" s="1">
        <v>0.13</v>
      </c>
      <c r="H159" s="1">
        <v>0</v>
      </c>
      <c r="I159" s="2">
        <v>6.19</v>
      </c>
      <c r="J159" s="1">
        <v>0.08</v>
      </c>
      <c r="K159" s="2">
        <v>0</v>
      </c>
      <c r="L159" s="2">
        <v>15.43</v>
      </c>
      <c r="M159" s="1">
        <v>0.3</v>
      </c>
      <c r="N159" s="1">
        <v>0.06</v>
      </c>
      <c r="O159" s="1">
        <v>0.03</v>
      </c>
      <c r="P159" s="1">
        <v>0</v>
      </c>
      <c r="Q159" s="1">
        <v>0</v>
      </c>
      <c r="R159" s="1">
        <v>443</v>
      </c>
      <c r="S159" s="1">
        <v>0</v>
      </c>
      <c r="T159" s="1">
        <v>2.5</v>
      </c>
      <c r="U159" s="1">
        <v>0</v>
      </c>
      <c r="V159" s="1" t="s">
        <v>2355</v>
      </c>
      <c r="W159" s="1" t="s">
        <v>2356</v>
      </c>
    </row>
    <row r="160" spans="1:23" ht="13.2">
      <c r="A160" s="1">
        <v>159</v>
      </c>
      <c r="B160" s="1" t="s">
        <v>2357</v>
      </c>
      <c r="C160" s="1" t="s">
        <v>2020</v>
      </c>
      <c r="D160" s="1">
        <v>45.57</v>
      </c>
      <c r="E160" s="1">
        <v>0.27</v>
      </c>
      <c r="F160" s="1">
        <v>25.94</v>
      </c>
      <c r="G160" s="1">
        <v>0.14000000000000001</v>
      </c>
      <c r="H160" s="1">
        <v>0</v>
      </c>
      <c r="I160" s="2">
        <v>5.82</v>
      </c>
      <c r="J160" s="1">
        <v>0.1</v>
      </c>
      <c r="K160" s="2">
        <v>6.33</v>
      </c>
      <c r="L160" s="2">
        <v>15.18</v>
      </c>
      <c r="M160" s="1">
        <v>0.33</v>
      </c>
      <c r="N160" s="1">
        <v>0.08</v>
      </c>
      <c r="O160" s="1">
        <v>0.04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 t="s">
        <v>2358</v>
      </c>
      <c r="W160" s="1" t="s">
        <v>2359</v>
      </c>
    </row>
    <row r="161" spans="1:23" ht="13.2">
      <c r="A161" s="1">
        <v>160</v>
      </c>
      <c r="B161" s="1" t="s">
        <v>2360</v>
      </c>
      <c r="C161" s="1" t="s">
        <v>2020</v>
      </c>
      <c r="D161" s="1">
        <v>48.5</v>
      </c>
      <c r="E161" s="1">
        <v>0.7</v>
      </c>
      <c r="F161" s="1">
        <v>5.68</v>
      </c>
      <c r="G161" s="1">
        <v>0.57999999999999996</v>
      </c>
      <c r="H161" s="1">
        <v>0.7</v>
      </c>
      <c r="I161" s="2">
        <v>17.899999999999999</v>
      </c>
      <c r="J161" s="1">
        <v>0.52</v>
      </c>
      <c r="K161" s="2">
        <v>16.600000000000001</v>
      </c>
      <c r="L161" s="2">
        <v>7.1</v>
      </c>
      <c r="M161" s="1">
        <v>0.84</v>
      </c>
      <c r="N161" s="1">
        <v>0.05</v>
      </c>
      <c r="O161" s="1">
        <v>0.65</v>
      </c>
      <c r="P161" s="1">
        <v>0</v>
      </c>
      <c r="Q161" s="1">
        <v>0</v>
      </c>
      <c r="R161" s="1">
        <v>300</v>
      </c>
      <c r="S161" s="1">
        <v>100</v>
      </c>
      <c r="T161" s="1">
        <v>0</v>
      </c>
      <c r="U161" s="1">
        <v>0</v>
      </c>
      <c r="V161" s="1"/>
      <c r="W161" s="1" t="s">
        <v>2361</v>
      </c>
    </row>
    <row r="162" spans="1:23" ht="13.2">
      <c r="A162" s="1">
        <v>161</v>
      </c>
      <c r="B162" s="1" t="s">
        <v>2362</v>
      </c>
      <c r="C162" s="1" t="s">
        <v>2020</v>
      </c>
      <c r="D162" s="1">
        <v>49</v>
      </c>
      <c r="E162" s="1">
        <v>1.23</v>
      </c>
      <c r="F162" s="1">
        <v>9.93</v>
      </c>
      <c r="G162" s="1">
        <v>0.14000000000000001</v>
      </c>
      <c r="H162" s="1">
        <v>0.22</v>
      </c>
      <c r="I162" s="2">
        <v>16.899999999999999</v>
      </c>
      <c r="J162" s="1">
        <v>0.47</v>
      </c>
      <c r="K162" s="2">
        <v>7.32</v>
      </c>
      <c r="L162" s="2">
        <v>11</v>
      </c>
      <c r="M162" s="1">
        <v>1.68</v>
      </c>
      <c r="N162" s="1">
        <v>0.09</v>
      </c>
      <c r="O162" s="1">
        <v>1.25</v>
      </c>
      <c r="P162" s="1">
        <v>0</v>
      </c>
      <c r="Q162" s="1">
        <v>0</v>
      </c>
      <c r="R162" s="1">
        <v>100</v>
      </c>
      <c r="S162" s="1">
        <v>100</v>
      </c>
      <c r="T162" s="1">
        <v>0</v>
      </c>
      <c r="U162" s="1">
        <v>0</v>
      </c>
      <c r="V162" s="1"/>
      <c r="W162" s="1" t="s">
        <v>2363</v>
      </c>
    </row>
    <row r="163" spans="1:23" ht="13.2">
      <c r="A163" s="1">
        <v>162</v>
      </c>
      <c r="B163" s="1" t="s">
        <v>1725</v>
      </c>
      <c r="C163" s="1" t="s">
        <v>2026</v>
      </c>
      <c r="D163" s="1">
        <v>35.35</v>
      </c>
      <c r="E163" s="1">
        <v>0</v>
      </c>
      <c r="F163" s="1">
        <v>0.02</v>
      </c>
      <c r="G163" s="1">
        <v>0</v>
      </c>
      <c r="H163" s="1">
        <v>0</v>
      </c>
      <c r="I163" s="2">
        <v>41.15</v>
      </c>
      <c r="J163" s="1">
        <v>0.54</v>
      </c>
      <c r="K163" s="2">
        <v>23.5</v>
      </c>
      <c r="L163" s="2">
        <v>0.03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/>
      <c r="W163" s="1" t="s">
        <v>2364</v>
      </c>
    </row>
    <row r="164" spans="1:23" ht="13.2">
      <c r="A164" s="1">
        <v>163</v>
      </c>
      <c r="B164" s="1" t="s">
        <v>1848</v>
      </c>
      <c r="C164" s="1" t="s">
        <v>2026</v>
      </c>
      <c r="D164" s="1">
        <v>39.659999999999997</v>
      </c>
      <c r="E164" s="1">
        <v>0.01</v>
      </c>
      <c r="F164" s="1">
        <v>0</v>
      </c>
      <c r="G164" s="1">
        <v>0.06</v>
      </c>
      <c r="H164" s="1">
        <v>0</v>
      </c>
      <c r="I164" s="2">
        <v>19.600000000000001</v>
      </c>
      <c r="J164" s="1">
        <v>0.27</v>
      </c>
      <c r="K164" s="2">
        <v>40.950000000000003</v>
      </c>
      <c r="L164" s="2">
        <v>7.0000000000000007E-2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/>
      <c r="W164" s="1" t="s">
        <v>2365</v>
      </c>
    </row>
    <row r="165" spans="1:23" ht="13.2">
      <c r="A165" s="1">
        <v>164</v>
      </c>
      <c r="B165" s="1" t="s">
        <v>1852</v>
      </c>
      <c r="C165" s="1" t="s">
        <v>2026</v>
      </c>
      <c r="D165" s="1">
        <v>36.799999999999997</v>
      </c>
      <c r="E165" s="1">
        <v>0.03</v>
      </c>
      <c r="F165" s="1">
        <v>0.06</v>
      </c>
      <c r="G165" s="1">
        <v>0</v>
      </c>
      <c r="H165" s="1">
        <v>0</v>
      </c>
      <c r="I165" s="2">
        <v>34.380000000000003</v>
      </c>
      <c r="J165" s="1">
        <v>0.47</v>
      </c>
      <c r="K165" s="2">
        <v>28.8</v>
      </c>
      <c r="L165" s="2">
        <v>0.08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/>
      <c r="W165" s="1" t="s">
        <v>2366</v>
      </c>
    </row>
    <row r="166" spans="1:23" ht="13.2">
      <c r="A166" s="1">
        <v>165</v>
      </c>
      <c r="B166" s="1" t="s">
        <v>2367</v>
      </c>
      <c r="C166" s="1" t="s">
        <v>2026</v>
      </c>
      <c r="D166" s="1">
        <v>31.65</v>
      </c>
      <c r="E166" s="1">
        <v>7.0000000000000007E-2</v>
      </c>
      <c r="F166" s="1">
        <v>0.04</v>
      </c>
      <c r="G166" s="1">
        <v>0</v>
      </c>
      <c r="H166" s="1">
        <v>0</v>
      </c>
      <c r="I166" s="2">
        <v>59.15</v>
      </c>
      <c r="J166" s="1">
        <v>0.94</v>
      </c>
      <c r="K166" s="2">
        <v>8.39</v>
      </c>
      <c r="L166" s="2">
        <v>0.19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/>
      <c r="W166" s="1" t="s">
        <v>2368</v>
      </c>
    </row>
    <row r="167" spans="1:23" ht="13.2">
      <c r="A167" s="1">
        <v>166</v>
      </c>
      <c r="B167" s="1" t="s">
        <v>1856</v>
      </c>
      <c r="C167" s="1" t="s">
        <v>2026</v>
      </c>
      <c r="D167" s="1">
        <v>36.26</v>
      </c>
      <c r="E167" s="1">
        <v>0.02</v>
      </c>
      <c r="F167" s="1">
        <v>0.06</v>
      </c>
      <c r="G167" s="1">
        <v>0</v>
      </c>
      <c r="H167" s="1">
        <v>0</v>
      </c>
      <c r="I167" s="2">
        <v>34.369999999999997</v>
      </c>
      <c r="J167" s="1">
        <v>0.48</v>
      </c>
      <c r="K167" s="2">
        <v>28.05</v>
      </c>
      <c r="L167" s="2">
        <v>0.1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/>
      <c r="W167" s="1" t="s">
        <v>2369</v>
      </c>
    </row>
    <row r="168" spans="1:23" ht="13.2">
      <c r="A168" s="1">
        <v>167</v>
      </c>
      <c r="B168" s="1" t="s">
        <v>2370</v>
      </c>
      <c r="C168" s="1" t="s">
        <v>2026</v>
      </c>
      <c r="D168" s="1">
        <v>32.630000000000003</v>
      </c>
      <c r="E168" s="1">
        <v>0.05</v>
      </c>
      <c r="F168" s="1">
        <v>0.09</v>
      </c>
      <c r="G168" s="1">
        <v>0</v>
      </c>
      <c r="H168" s="1">
        <v>0</v>
      </c>
      <c r="I168" s="2">
        <v>55.5</v>
      </c>
      <c r="J168" s="1">
        <v>0.39</v>
      </c>
      <c r="K168" s="2">
        <v>11.9</v>
      </c>
      <c r="L168" s="2">
        <v>0.11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/>
      <c r="W168" s="1" t="s">
        <v>2371</v>
      </c>
    </row>
    <row r="169" spans="1:23" ht="26.4">
      <c r="A169" s="1">
        <v>168</v>
      </c>
      <c r="B169" s="1" t="s">
        <v>2372</v>
      </c>
      <c r="C169" s="1" t="s">
        <v>2020</v>
      </c>
      <c r="D169" s="1">
        <v>16.47</v>
      </c>
      <c r="E169" s="1">
        <v>0.04</v>
      </c>
      <c r="F169" s="1">
        <v>0.77</v>
      </c>
      <c r="G169" s="1">
        <v>0.23</v>
      </c>
      <c r="H169" s="1">
        <v>0</v>
      </c>
      <c r="I169" s="2">
        <v>33.15</v>
      </c>
      <c r="J169" s="1">
        <v>0.19</v>
      </c>
      <c r="K169" s="2">
        <v>10.54</v>
      </c>
      <c r="L169" s="2">
        <v>0.89</v>
      </c>
      <c r="M169" s="1">
        <v>0.75</v>
      </c>
      <c r="N169" s="1">
        <v>0.09</v>
      </c>
      <c r="O169" s="1">
        <v>0.22</v>
      </c>
      <c r="P169" s="1">
        <v>0</v>
      </c>
      <c r="Q169" s="1">
        <v>0</v>
      </c>
      <c r="R169" s="1">
        <v>1.89</v>
      </c>
      <c r="S169" s="1">
        <v>0.08</v>
      </c>
      <c r="T169" s="1">
        <v>0</v>
      </c>
      <c r="U169" s="1">
        <v>0</v>
      </c>
      <c r="V169" s="1"/>
      <c r="W169" s="1" t="s">
        <v>2373</v>
      </c>
    </row>
    <row r="170" spans="1:23" ht="26.4">
      <c r="A170" s="1">
        <v>169</v>
      </c>
      <c r="B170" s="1" t="s">
        <v>2374</v>
      </c>
      <c r="C170" s="1" t="s">
        <v>2020</v>
      </c>
      <c r="D170" s="1">
        <v>10.5</v>
      </c>
      <c r="E170" s="1">
        <v>0.08</v>
      </c>
      <c r="F170" s="1">
        <v>1.1399999999999999</v>
      </c>
      <c r="G170" s="1">
        <v>0.28999999999999998</v>
      </c>
      <c r="H170" s="1">
        <v>0</v>
      </c>
      <c r="I170" s="2">
        <v>22.05</v>
      </c>
      <c r="J170" s="1">
        <v>0.16</v>
      </c>
      <c r="K170" s="2">
        <v>12.62</v>
      </c>
      <c r="L170" s="2">
        <v>0.94</v>
      </c>
      <c r="M170" s="1">
        <v>7.0000000000000007E-2</v>
      </c>
      <c r="N170" s="1">
        <v>7.0000000000000007E-2</v>
      </c>
      <c r="O170" s="1">
        <v>0.09</v>
      </c>
      <c r="P170" s="1">
        <v>0</v>
      </c>
      <c r="Q170" s="1">
        <v>0</v>
      </c>
      <c r="R170" s="1">
        <v>1.68</v>
      </c>
      <c r="S170" s="1">
        <v>800</v>
      </c>
      <c r="T170" s="1">
        <v>0</v>
      </c>
      <c r="U170" s="1">
        <v>0</v>
      </c>
      <c r="V170" s="1"/>
      <c r="W170" s="1" t="s">
        <v>2375</v>
      </c>
    </row>
    <row r="171" spans="1:23" ht="13.2">
      <c r="A171" s="1">
        <v>170</v>
      </c>
      <c r="B171" s="1" t="s">
        <v>2376</v>
      </c>
      <c r="C171" s="1" t="s">
        <v>2020</v>
      </c>
      <c r="D171" s="1">
        <v>40.32</v>
      </c>
      <c r="E171" s="1">
        <v>0.12</v>
      </c>
      <c r="F171" s="1">
        <v>2.19</v>
      </c>
      <c r="G171" s="1">
        <v>0.52</v>
      </c>
      <c r="H171" s="1">
        <v>0</v>
      </c>
      <c r="I171" s="2">
        <v>12.43</v>
      </c>
      <c r="J171" s="1">
        <v>0.34</v>
      </c>
      <c r="K171" s="2">
        <v>24.94</v>
      </c>
      <c r="L171" s="2">
        <v>1.82</v>
      </c>
      <c r="M171" s="1">
        <v>1</v>
      </c>
      <c r="N171" s="1">
        <v>0.11</v>
      </c>
      <c r="O171" s="1">
        <v>0.18</v>
      </c>
      <c r="P171" s="1">
        <v>0</v>
      </c>
      <c r="Q171" s="1">
        <v>0</v>
      </c>
      <c r="R171" s="1">
        <v>1.21</v>
      </c>
      <c r="S171" s="1">
        <v>600</v>
      </c>
      <c r="T171" s="1">
        <v>0</v>
      </c>
      <c r="U171" s="1">
        <v>0</v>
      </c>
      <c r="V171" s="1" t="s">
        <v>2377</v>
      </c>
      <c r="W171" s="1" t="s">
        <v>2378</v>
      </c>
    </row>
    <row r="172" spans="1:23" ht="13.2">
      <c r="A172" s="1">
        <v>171</v>
      </c>
      <c r="B172" s="1" t="s">
        <v>2379</v>
      </c>
      <c r="C172" s="1" t="s">
        <v>2020</v>
      </c>
      <c r="D172" s="1">
        <v>25.07</v>
      </c>
      <c r="E172" s="1">
        <v>7.0000000000000007E-2</v>
      </c>
      <c r="F172" s="1">
        <v>0.65</v>
      </c>
      <c r="G172" s="1">
        <v>0.59</v>
      </c>
      <c r="H172" s="1">
        <v>0</v>
      </c>
      <c r="I172" s="2">
        <v>12.64</v>
      </c>
      <c r="J172" s="1">
        <v>0.39</v>
      </c>
      <c r="K172" s="2">
        <v>15.62</v>
      </c>
      <c r="L172" s="2">
        <v>1.04</v>
      </c>
      <c r="M172" s="1">
        <v>0.02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/>
      <c r="W172" s="1" t="s">
        <v>2380</v>
      </c>
    </row>
    <row r="173" spans="1:23" ht="13.2">
      <c r="A173" s="1">
        <v>172</v>
      </c>
      <c r="B173" s="1" t="s">
        <v>2381</v>
      </c>
      <c r="C173" s="1" t="s">
        <v>2020</v>
      </c>
      <c r="D173" s="1">
        <v>25.58</v>
      </c>
      <c r="E173" s="1">
        <v>0.04</v>
      </c>
      <c r="F173" s="1">
        <v>0.27</v>
      </c>
      <c r="G173" s="1">
        <v>0.5</v>
      </c>
      <c r="H173" s="1">
        <v>0</v>
      </c>
      <c r="I173" s="2">
        <v>11.77</v>
      </c>
      <c r="J173" s="1">
        <v>0.38</v>
      </c>
      <c r="K173" s="2">
        <v>17.03</v>
      </c>
      <c r="L173" s="2">
        <v>0.54</v>
      </c>
      <c r="M173" s="1">
        <v>0.02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/>
      <c r="W173" s="1" t="s">
        <v>2382</v>
      </c>
    </row>
    <row r="174" spans="1:23" ht="13.2">
      <c r="A174" s="1">
        <v>173</v>
      </c>
      <c r="B174" s="1" t="s">
        <v>2383</v>
      </c>
      <c r="C174" s="1" t="s">
        <v>2020</v>
      </c>
      <c r="D174" s="1">
        <v>24.11</v>
      </c>
      <c r="E174" s="1">
        <v>0.04</v>
      </c>
      <c r="F174" s="1">
        <v>0.32</v>
      </c>
      <c r="G174" s="1">
        <v>1.65</v>
      </c>
      <c r="H174" s="1">
        <v>0</v>
      </c>
      <c r="I174" s="2">
        <v>12.65</v>
      </c>
      <c r="J174" s="1">
        <v>0.43</v>
      </c>
      <c r="K174" s="2">
        <v>15.55</v>
      </c>
      <c r="L174" s="2">
        <v>0.52</v>
      </c>
      <c r="M174" s="1">
        <v>0.03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/>
      <c r="W174" s="1" t="s">
        <v>2384</v>
      </c>
    </row>
    <row r="175" spans="1:23" ht="13.2">
      <c r="A175" s="1">
        <v>174</v>
      </c>
      <c r="B175" s="1" t="s">
        <v>2385</v>
      </c>
      <c r="C175" s="1" t="s">
        <v>2020</v>
      </c>
      <c r="D175" s="1">
        <v>48.24</v>
      </c>
      <c r="E175" s="1">
        <v>0.28999999999999998</v>
      </c>
      <c r="F175" s="1">
        <v>1.45</v>
      </c>
      <c r="G175" s="1">
        <v>0.42</v>
      </c>
      <c r="H175" s="1">
        <v>0</v>
      </c>
      <c r="I175" s="2">
        <v>20.64</v>
      </c>
      <c r="J175" s="1">
        <v>0.54</v>
      </c>
      <c r="K175" s="2">
        <v>12.47</v>
      </c>
      <c r="L175" s="2">
        <v>15.08</v>
      </c>
      <c r="M175" s="1">
        <v>0.42</v>
      </c>
      <c r="N175" s="1">
        <v>0.1</v>
      </c>
      <c r="O175" s="1">
        <v>0.12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/>
      <c r="W175" s="1" t="s">
        <v>2386</v>
      </c>
    </row>
    <row r="176" spans="1:23" ht="13.2">
      <c r="A176" s="1">
        <v>175</v>
      </c>
      <c r="B176" s="1" t="s">
        <v>2387</v>
      </c>
      <c r="C176" s="1" t="s">
        <v>2020</v>
      </c>
      <c r="D176" s="1">
        <v>44.64</v>
      </c>
      <c r="E176" s="1">
        <v>2.2999999999999998</v>
      </c>
      <c r="F176" s="1">
        <v>9.85</v>
      </c>
      <c r="G176" s="1">
        <v>0.28999999999999998</v>
      </c>
      <c r="H176" s="1">
        <v>0</v>
      </c>
      <c r="I176" s="2">
        <v>8.1</v>
      </c>
      <c r="J176" s="1">
        <v>0.08</v>
      </c>
      <c r="K176" s="2">
        <v>11.4</v>
      </c>
      <c r="L176" s="2">
        <v>23.3</v>
      </c>
      <c r="M176" s="1">
        <v>0.04</v>
      </c>
      <c r="N176" s="1">
        <v>0.01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/>
      <c r="W176" s="1" t="s">
        <v>2388</v>
      </c>
    </row>
    <row r="177" spans="1:23" ht="13.2">
      <c r="A177" s="1">
        <v>176</v>
      </c>
      <c r="B177" s="1" t="s">
        <v>2389</v>
      </c>
      <c r="C177" s="1" t="s">
        <v>2020</v>
      </c>
      <c r="D177" s="1">
        <v>37</v>
      </c>
      <c r="E177" s="1">
        <v>7.0000000000000007E-2</v>
      </c>
      <c r="F177" s="1">
        <v>0.36</v>
      </c>
      <c r="G177" s="1">
        <v>0.83</v>
      </c>
      <c r="H177" s="1">
        <v>0</v>
      </c>
      <c r="I177" s="2">
        <v>27.44</v>
      </c>
      <c r="J177" s="1">
        <v>0.53</v>
      </c>
      <c r="K177" s="2">
        <v>32.83</v>
      </c>
      <c r="L177" s="2">
        <v>1.99</v>
      </c>
      <c r="M177" s="1">
        <v>0.15</v>
      </c>
      <c r="N177" s="1">
        <v>0.03</v>
      </c>
      <c r="O177" s="1">
        <v>0.04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/>
      <c r="W177" s="1" t="s">
        <v>2390</v>
      </c>
    </row>
    <row r="178" spans="1:23" ht="13.2">
      <c r="A178" s="1">
        <v>177</v>
      </c>
      <c r="B178" s="1" t="s">
        <v>2391</v>
      </c>
      <c r="C178" s="1" t="s">
        <v>2020</v>
      </c>
      <c r="D178" s="1">
        <v>10.55</v>
      </c>
      <c r="E178" s="1">
        <v>0.04</v>
      </c>
      <c r="F178" s="1">
        <v>0.87</v>
      </c>
      <c r="G178" s="1">
        <v>0.25</v>
      </c>
      <c r="H178" s="1">
        <v>0</v>
      </c>
      <c r="I178" s="2">
        <v>18.28</v>
      </c>
      <c r="J178" s="1">
        <v>0.15</v>
      </c>
      <c r="K178" s="2">
        <v>9.5399999999999991</v>
      </c>
      <c r="L178" s="2">
        <v>0.87</v>
      </c>
      <c r="M178" s="1">
        <v>0.05</v>
      </c>
      <c r="N178" s="1">
        <v>0.06</v>
      </c>
      <c r="O178" s="1">
        <v>0.12</v>
      </c>
      <c r="P178" s="1">
        <v>0</v>
      </c>
      <c r="Q178" s="1">
        <v>0</v>
      </c>
      <c r="R178" s="1">
        <v>0</v>
      </c>
      <c r="S178" s="1">
        <v>500</v>
      </c>
      <c r="T178" s="1">
        <v>0</v>
      </c>
      <c r="U178" s="1">
        <v>0</v>
      </c>
      <c r="V178" s="1"/>
      <c r="W178" s="1" t="s">
        <v>2392</v>
      </c>
    </row>
    <row r="179" spans="1:23" ht="13.2">
      <c r="A179" s="1">
        <v>178</v>
      </c>
      <c r="B179" s="1" t="s">
        <v>2393</v>
      </c>
      <c r="C179" s="1" t="s">
        <v>2020</v>
      </c>
      <c r="D179" s="1">
        <v>13</v>
      </c>
      <c r="E179" s="1">
        <v>0.05</v>
      </c>
      <c r="F179" s="1">
        <v>1.1399999999999999</v>
      </c>
      <c r="G179" s="1">
        <v>0.25</v>
      </c>
      <c r="H179" s="1">
        <v>0</v>
      </c>
      <c r="I179" s="2">
        <v>21.2</v>
      </c>
      <c r="J179" s="1">
        <v>0.16</v>
      </c>
      <c r="K179" s="2">
        <v>11.73</v>
      </c>
      <c r="L179" s="2">
        <v>1.18</v>
      </c>
      <c r="M179" s="1">
        <v>0.04</v>
      </c>
      <c r="N179" s="1">
        <v>0.04</v>
      </c>
      <c r="O179" s="1">
        <v>0.13</v>
      </c>
      <c r="P179" s="1">
        <v>0</v>
      </c>
      <c r="Q179" s="1">
        <v>0</v>
      </c>
      <c r="R179" s="1">
        <v>0</v>
      </c>
      <c r="S179" s="1">
        <v>600</v>
      </c>
      <c r="T179" s="1">
        <v>0</v>
      </c>
      <c r="U179" s="1">
        <v>0</v>
      </c>
      <c r="V179" s="1"/>
      <c r="W179" s="1" t="s">
        <v>2394</v>
      </c>
    </row>
    <row r="180" spans="1:23" ht="26.4">
      <c r="A180" s="1">
        <v>179</v>
      </c>
      <c r="B180" s="1" t="s">
        <v>2395</v>
      </c>
      <c r="C180" s="1" t="s">
        <v>2020</v>
      </c>
      <c r="D180" s="1">
        <v>15.6</v>
      </c>
      <c r="E180" s="1">
        <v>0.11</v>
      </c>
      <c r="F180" s="1">
        <v>1.35</v>
      </c>
      <c r="G180" s="1">
        <v>0.38</v>
      </c>
      <c r="H180" s="1">
        <v>0</v>
      </c>
      <c r="I180" s="2">
        <v>25.83</v>
      </c>
      <c r="J180" s="1">
        <v>0.18</v>
      </c>
      <c r="K180" s="2">
        <v>14.66</v>
      </c>
      <c r="L180" s="2">
        <v>1.4</v>
      </c>
      <c r="M180" s="1">
        <v>0.41</v>
      </c>
      <c r="N180" s="1">
        <v>0.14000000000000001</v>
      </c>
      <c r="O180" s="1">
        <v>0.15</v>
      </c>
      <c r="P180" s="1">
        <v>0</v>
      </c>
      <c r="Q180" s="1">
        <v>0</v>
      </c>
      <c r="R180" s="1">
        <v>1.36</v>
      </c>
      <c r="S180" s="1">
        <v>820</v>
      </c>
      <c r="T180" s="1">
        <v>0</v>
      </c>
      <c r="U180" s="1">
        <v>0</v>
      </c>
      <c r="V180" s="1"/>
      <c r="W180" s="1" t="s">
        <v>2396</v>
      </c>
    </row>
    <row r="181" spans="1:23" ht="13.2">
      <c r="A181" s="1">
        <v>180</v>
      </c>
      <c r="B181" s="1" t="s">
        <v>2397</v>
      </c>
      <c r="C181" s="1" t="s">
        <v>2020</v>
      </c>
      <c r="D181" s="1">
        <v>15.62</v>
      </c>
      <c r="E181" s="1">
        <v>0.06</v>
      </c>
      <c r="F181" s="1">
        <v>1.32</v>
      </c>
      <c r="G181" s="1">
        <v>0.36</v>
      </c>
      <c r="H181" s="1">
        <v>0</v>
      </c>
      <c r="I181" s="2">
        <v>19.62</v>
      </c>
      <c r="J181" s="1">
        <v>0.15</v>
      </c>
      <c r="K181" s="2">
        <v>14.4</v>
      </c>
      <c r="L181" s="2">
        <v>1.83</v>
      </c>
      <c r="M181" s="1">
        <v>0.03</v>
      </c>
      <c r="N181" s="1">
        <v>0.03</v>
      </c>
      <c r="O181" s="1">
        <v>0.16</v>
      </c>
      <c r="P181" s="1">
        <v>0</v>
      </c>
      <c r="Q181" s="1">
        <v>97</v>
      </c>
      <c r="R181" s="1">
        <v>0</v>
      </c>
      <c r="S181" s="1">
        <v>600</v>
      </c>
      <c r="T181" s="1">
        <v>80</v>
      </c>
      <c r="U181" s="1">
        <v>0</v>
      </c>
      <c r="V181" s="1"/>
      <c r="W181" s="1" t="s">
        <v>2398</v>
      </c>
    </row>
    <row r="182" spans="1:23" ht="13.2">
      <c r="A182" s="1">
        <v>181</v>
      </c>
      <c r="B182" s="1" t="s">
        <v>2399</v>
      </c>
      <c r="C182" s="1" t="s">
        <v>2020</v>
      </c>
      <c r="D182" s="1">
        <v>45.8</v>
      </c>
      <c r="E182" s="1">
        <v>0</v>
      </c>
      <c r="F182" s="1">
        <v>2.4300000000000002</v>
      </c>
      <c r="G182" s="1">
        <v>0</v>
      </c>
      <c r="H182" s="1">
        <v>0</v>
      </c>
      <c r="I182" s="2">
        <v>11.4</v>
      </c>
      <c r="J182" s="1">
        <v>0</v>
      </c>
      <c r="K182" s="2">
        <v>28.7</v>
      </c>
      <c r="L182" s="2">
        <v>2.06</v>
      </c>
      <c r="M182" s="1">
        <v>1.06</v>
      </c>
      <c r="N182" s="1">
        <v>0</v>
      </c>
      <c r="O182" s="1">
        <v>0</v>
      </c>
      <c r="P182" s="1">
        <v>0</v>
      </c>
      <c r="Q182" s="1">
        <v>96</v>
      </c>
      <c r="R182" s="1">
        <v>0</v>
      </c>
      <c r="S182" s="1">
        <v>830</v>
      </c>
      <c r="T182" s="1">
        <v>0</v>
      </c>
      <c r="U182" s="1">
        <v>0</v>
      </c>
      <c r="V182" s="1"/>
      <c r="W182" s="1" t="s">
        <v>2400</v>
      </c>
    </row>
    <row r="183" spans="1:23" ht="26.4">
      <c r="A183" s="1">
        <v>182</v>
      </c>
      <c r="B183" s="1" t="s">
        <v>2399</v>
      </c>
      <c r="C183" s="1" t="s">
        <v>2020</v>
      </c>
      <c r="D183" s="1">
        <v>36.01</v>
      </c>
      <c r="E183" s="1">
        <v>0.09</v>
      </c>
      <c r="F183" s="1">
        <v>2</v>
      </c>
      <c r="G183" s="1">
        <v>0.24</v>
      </c>
      <c r="H183" s="1">
        <v>0</v>
      </c>
      <c r="I183" s="2">
        <v>9.49</v>
      </c>
      <c r="J183" s="1">
        <v>0.28000000000000003</v>
      </c>
      <c r="K183" s="2">
        <v>23.05</v>
      </c>
      <c r="L183" s="2">
        <v>1.62</v>
      </c>
      <c r="M183" s="1">
        <v>0.92</v>
      </c>
      <c r="N183" s="1">
        <v>0.09</v>
      </c>
      <c r="O183" s="1">
        <v>0.16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/>
      <c r="W183" s="1" t="s">
        <v>2401</v>
      </c>
    </row>
    <row r="184" spans="1:23" ht="26.4">
      <c r="A184" s="1">
        <v>183</v>
      </c>
      <c r="B184" s="1" t="s">
        <v>2402</v>
      </c>
      <c r="C184" s="1" t="s">
        <v>2020</v>
      </c>
      <c r="D184" s="1">
        <v>31.62</v>
      </c>
      <c r="E184" s="1">
        <v>0.03</v>
      </c>
      <c r="F184" s="1">
        <v>1.54</v>
      </c>
      <c r="G184" s="1">
        <v>0.13</v>
      </c>
      <c r="H184" s="1">
        <v>0</v>
      </c>
      <c r="I184" s="2">
        <v>0.14000000000000001</v>
      </c>
      <c r="J184" s="1">
        <v>0.04</v>
      </c>
      <c r="K184" s="2">
        <v>20.9</v>
      </c>
      <c r="L184" s="2">
        <v>1</v>
      </c>
      <c r="M184" s="1">
        <v>0.44</v>
      </c>
      <c r="N184" s="1">
        <v>0.06</v>
      </c>
      <c r="O184" s="1">
        <v>0.01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/>
      <c r="W184" s="1" t="s">
        <v>2403</v>
      </c>
    </row>
    <row r="185" spans="1:23" ht="26.4">
      <c r="A185" s="1">
        <v>184</v>
      </c>
      <c r="B185" s="1" t="s">
        <v>2404</v>
      </c>
      <c r="C185" s="1" t="s">
        <v>2020</v>
      </c>
      <c r="D185" s="1">
        <v>37.450000000000003</v>
      </c>
      <c r="E185" s="1">
        <v>0.08</v>
      </c>
      <c r="F185" s="1">
        <v>2.2799999999999998</v>
      </c>
      <c r="G185" s="1">
        <v>0.55000000000000004</v>
      </c>
      <c r="H185" s="1">
        <v>0</v>
      </c>
      <c r="I185" s="2">
        <v>9.34</v>
      </c>
      <c r="J185" s="1">
        <v>0.3</v>
      </c>
      <c r="K185" s="2">
        <v>24.18</v>
      </c>
      <c r="L185" s="2">
        <v>1.79</v>
      </c>
      <c r="M185" s="1">
        <v>0.96</v>
      </c>
      <c r="N185" s="1">
        <v>0.08</v>
      </c>
      <c r="O185" s="1">
        <v>0.13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/>
      <c r="W185" s="1" t="s">
        <v>2405</v>
      </c>
    </row>
    <row r="186" spans="1:23" ht="13.2">
      <c r="A186" s="1">
        <v>185</v>
      </c>
      <c r="B186" s="1" t="s">
        <v>2406</v>
      </c>
      <c r="C186" s="1" t="s">
        <v>2020</v>
      </c>
      <c r="D186" s="1">
        <v>41.45</v>
      </c>
      <c r="E186" s="1">
        <v>0.1</v>
      </c>
      <c r="F186" s="1">
        <v>2.12</v>
      </c>
      <c r="G186" s="1">
        <v>0.36</v>
      </c>
      <c r="H186" s="1">
        <v>0</v>
      </c>
      <c r="I186" s="2">
        <v>17.73</v>
      </c>
      <c r="J186" s="1">
        <v>0.05</v>
      </c>
      <c r="K186" s="2">
        <v>25.63</v>
      </c>
      <c r="L186" s="2">
        <v>1.92</v>
      </c>
      <c r="M186" s="1">
        <v>0.85</v>
      </c>
      <c r="N186" s="1">
        <v>7.0000000000000007E-2</v>
      </c>
      <c r="O186" s="1">
        <v>0.24</v>
      </c>
      <c r="P186" s="1">
        <v>0</v>
      </c>
      <c r="Q186" s="1">
        <v>0</v>
      </c>
      <c r="R186" s="1">
        <v>1.06</v>
      </c>
      <c r="S186" s="1">
        <v>0.09</v>
      </c>
      <c r="T186" s="1">
        <v>0</v>
      </c>
      <c r="U186" s="1">
        <v>0</v>
      </c>
      <c r="V186" s="1" t="s">
        <v>2407</v>
      </c>
      <c r="W186" s="1" t="s">
        <v>2408</v>
      </c>
    </row>
    <row r="187" spans="1:23" ht="13.2">
      <c r="A187" s="1">
        <v>186</v>
      </c>
      <c r="B187" s="1" t="s">
        <v>2409</v>
      </c>
      <c r="C187" s="1" t="s">
        <v>2020</v>
      </c>
      <c r="D187" s="1">
        <v>39.78</v>
      </c>
      <c r="E187" s="1">
        <v>0.12</v>
      </c>
      <c r="F187" s="1">
        <v>2.2400000000000002</v>
      </c>
      <c r="G187" s="1">
        <v>0.55000000000000004</v>
      </c>
      <c r="H187" s="1">
        <v>0</v>
      </c>
      <c r="I187" s="2">
        <v>14.78</v>
      </c>
      <c r="J187" s="1">
        <v>0.34</v>
      </c>
      <c r="K187" s="2">
        <v>24.65</v>
      </c>
      <c r="L187" s="2">
        <v>1.87</v>
      </c>
      <c r="M187" s="1">
        <v>0.94</v>
      </c>
      <c r="N187" s="1">
        <v>0.12</v>
      </c>
      <c r="O187" s="1">
        <v>0.26</v>
      </c>
      <c r="P187" s="1">
        <v>0</v>
      </c>
      <c r="Q187" s="1">
        <v>0</v>
      </c>
      <c r="R187" s="1">
        <v>1.1599999999999999</v>
      </c>
      <c r="S187" s="1">
        <v>700</v>
      </c>
      <c r="T187" s="1">
        <v>0</v>
      </c>
      <c r="U187" s="1">
        <v>0</v>
      </c>
      <c r="V187" s="1"/>
      <c r="W187" s="1" t="s">
        <v>2410</v>
      </c>
    </row>
    <row r="188" spans="1:23" ht="26.4">
      <c r="A188" s="1">
        <v>187</v>
      </c>
      <c r="B188" s="1" t="s">
        <v>2411</v>
      </c>
      <c r="C188" s="1" t="s">
        <v>2020</v>
      </c>
      <c r="D188" s="1">
        <v>9.6999999999999993</v>
      </c>
      <c r="E188" s="1">
        <v>0</v>
      </c>
      <c r="F188" s="1">
        <v>0.8</v>
      </c>
      <c r="G188" s="1">
        <v>0.2</v>
      </c>
      <c r="H188" s="1">
        <v>0</v>
      </c>
      <c r="I188" s="2">
        <v>14.4</v>
      </c>
      <c r="J188" s="1">
        <v>0.22</v>
      </c>
      <c r="K188" s="2">
        <v>9.44</v>
      </c>
      <c r="L188" s="2">
        <v>0.96</v>
      </c>
      <c r="M188" s="1">
        <v>0.49</v>
      </c>
      <c r="N188" s="1">
        <v>0</v>
      </c>
      <c r="O188" s="1">
        <v>0</v>
      </c>
      <c r="P188" s="1">
        <v>0</v>
      </c>
      <c r="Q188" s="1">
        <v>130</v>
      </c>
      <c r="R188" s="1">
        <v>0</v>
      </c>
      <c r="S188" s="1">
        <v>550</v>
      </c>
      <c r="T188" s="1">
        <v>299</v>
      </c>
      <c r="U188" s="1">
        <v>0</v>
      </c>
      <c r="V188" s="1" t="s">
        <v>2412</v>
      </c>
      <c r="W188" s="1" t="s">
        <v>2413</v>
      </c>
    </row>
    <row r="189" spans="1:23" ht="13.2">
      <c r="A189" s="1">
        <v>188</v>
      </c>
      <c r="B189" s="1" t="s">
        <v>2414</v>
      </c>
      <c r="C189" s="1" t="s">
        <v>2020</v>
      </c>
      <c r="D189" s="1">
        <v>13.4</v>
      </c>
      <c r="E189" s="1">
        <v>0</v>
      </c>
      <c r="F189" s="1">
        <v>0.98</v>
      </c>
      <c r="G189" s="1">
        <v>0.28999999999999998</v>
      </c>
      <c r="H189" s="1">
        <v>0</v>
      </c>
      <c r="I189" s="2">
        <v>23.8</v>
      </c>
      <c r="J189" s="1">
        <v>0.17</v>
      </c>
      <c r="K189" s="2">
        <v>11.9</v>
      </c>
      <c r="L189" s="2">
        <v>1.36</v>
      </c>
      <c r="M189" s="1">
        <v>0.14000000000000001</v>
      </c>
      <c r="N189" s="1">
        <v>0.03</v>
      </c>
      <c r="O189" s="1">
        <v>0</v>
      </c>
      <c r="P189" s="1">
        <v>0</v>
      </c>
      <c r="Q189" s="1">
        <v>118</v>
      </c>
      <c r="R189" s="1">
        <v>0</v>
      </c>
      <c r="S189" s="1">
        <v>460</v>
      </c>
      <c r="T189" s="1">
        <v>150</v>
      </c>
      <c r="U189" s="1">
        <v>0</v>
      </c>
      <c r="V189" s="1" t="s">
        <v>2415</v>
      </c>
      <c r="W189" s="1" t="s">
        <v>2416</v>
      </c>
    </row>
    <row r="190" spans="1:23" ht="26.4">
      <c r="A190" s="1">
        <v>189</v>
      </c>
      <c r="B190" s="1" t="s">
        <v>2417</v>
      </c>
      <c r="C190" s="1" t="s">
        <v>2020</v>
      </c>
      <c r="D190" s="1">
        <v>15.9</v>
      </c>
      <c r="E190" s="1">
        <v>0</v>
      </c>
      <c r="F190" s="1">
        <v>1.28</v>
      </c>
      <c r="G190" s="1">
        <v>0.37</v>
      </c>
      <c r="H190" s="1">
        <v>0</v>
      </c>
      <c r="I190" s="2">
        <v>25.7</v>
      </c>
      <c r="J190" s="1">
        <v>0.16</v>
      </c>
      <c r="K190" s="2">
        <v>14.3</v>
      </c>
      <c r="L190" s="2">
        <v>1.56</v>
      </c>
      <c r="M190" s="1">
        <v>0.41</v>
      </c>
      <c r="N190" s="1">
        <v>0.04</v>
      </c>
      <c r="O190" s="1">
        <v>0</v>
      </c>
      <c r="P190" s="1">
        <v>0</v>
      </c>
      <c r="Q190" s="1">
        <v>118</v>
      </c>
      <c r="R190" s="1">
        <v>0</v>
      </c>
      <c r="S190" s="1">
        <v>650</v>
      </c>
      <c r="T190" s="1">
        <v>130</v>
      </c>
      <c r="U190" s="1">
        <v>0</v>
      </c>
      <c r="V190" s="1" t="s">
        <v>2412</v>
      </c>
      <c r="W190" s="1" t="s">
        <v>2418</v>
      </c>
    </row>
    <row r="191" spans="1:23" ht="26.4">
      <c r="A191" s="1">
        <v>190</v>
      </c>
      <c r="B191" s="1" t="s">
        <v>2419</v>
      </c>
      <c r="C191" s="1" t="s">
        <v>2020</v>
      </c>
      <c r="D191" s="1">
        <v>14.9</v>
      </c>
      <c r="E191" s="1">
        <v>0</v>
      </c>
      <c r="F191" s="1">
        <v>1.28</v>
      </c>
      <c r="G191" s="1">
        <v>0.35</v>
      </c>
      <c r="H191" s="1">
        <v>0</v>
      </c>
      <c r="I191" s="2">
        <v>20.5</v>
      </c>
      <c r="J191" s="1">
        <v>0.16</v>
      </c>
      <c r="K191" s="2">
        <v>13.3</v>
      </c>
      <c r="L191" s="2">
        <v>1.69</v>
      </c>
      <c r="M191" s="1">
        <v>0.32</v>
      </c>
      <c r="N191" s="1">
        <v>0</v>
      </c>
      <c r="O191" s="1">
        <v>0</v>
      </c>
      <c r="P191" s="1">
        <v>0</v>
      </c>
      <c r="Q191" s="1">
        <v>99</v>
      </c>
      <c r="R191" s="1">
        <v>0</v>
      </c>
      <c r="S191" s="1">
        <v>650</v>
      </c>
      <c r="T191" s="1">
        <v>86</v>
      </c>
      <c r="U191" s="1">
        <v>0</v>
      </c>
      <c r="V191" s="1" t="s">
        <v>2412</v>
      </c>
      <c r="W191" s="1" t="s">
        <v>2420</v>
      </c>
    </row>
    <row r="192" spans="1:23" ht="13.2">
      <c r="A192" s="1">
        <v>191</v>
      </c>
      <c r="B192" s="1" t="s">
        <v>2421</v>
      </c>
      <c r="C192" s="1" t="s">
        <v>2020</v>
      </c>
      <c r="D192" s="1">
        <v>33.950000000000003</v>
      </c>
      <c r="E192" s="1">
        <v>0.1</v>
      </c>
      <c r="F192" s="1">
        <v>2.91</v>
      </c>
      <c r="G192" s="1">
        <v>0.44</v>
      </c>
      <c r="H192" s="1">
        <v>0</v>
      </c>
      <c r="I192" s="2">
        <v>22.84</v>
      </c>
      <c r="J192" s="1">
        <v>0.24</v>
      </c>
      <c r="K192" s="2">
        <v>23.74</v>
      </c>
      <c r="L192" s="2">
        <v>2.2000000000000002</v>
      </c>
      <c r="M192" s="1">
        <v>0.59</v>
      </c>
      <c r="N192" s="1">
        <v>0.05</v>
      </c>
      <c r="O192" s="1">
        <v>0.34</v>
      </c>
      <c r="P192" s="1">
        <v>0</v>
      </c>
      <c r="Q192" s="1">
        <v>0</v>
      </c>
      <c r="R192" s="1">
        <v>1.36</v>
      </c>
      <c r="S192" s="1">
        <v>700</v>
      </c>
      <c r="T192" s="1">
        <v>0</v>
      </c>
      <c r="U192" s="1">
        <v>0</v>
      </c>
      <c r="V192" s="1" t="s">
        <v>2422</v>
      </c>
      <c r="W192" s="1" t="s">
        <v>2423</v>
      </c>
    </row>
    <row r="193" spans="1:23" ht="26.4">
      <c r="A193" s="1">
        <v>192</v>
      </c>
      <c r="B193" s="1" t="s">
        <v>2424</v>
      </c>
      <c r="C193" s="1" t="s">
        <v>2020</v>
      </c>
      <c r="D193" s="1">
        <v>15.2</v>
      </c>
      <c r="E193" s="1">
        <v>0</v>
      </c>
      <c r="F193" s="1">
        <v>2.0699999999999998</v>
      </c>
      <c r="G193" s="1">
        <v>0.35</v>
      </c>
      <c r="H193" s="1">
        <v>0</v>
      </c>
      <c r="I193" s="2">
        <v>21</v>
      </c>
      <c r="J193" s="1">
        <v>0.13</v>
      </c>
      <c r="K193" s="2">
        <v>14.4</v>
      </c>
      <c r="L193" s="2">
        <v>1.78</v>
      </c>
      <c r="M193" s="1">
        <v>0.18</v>
      </c>
      <c r="N193" s="1">
        <v>0.03</v>
      </c>
      <c r="O193" s="1">
        <v>0</v>
      </c>
      <c r="P193" s="1">
        <v>0</v>
      </c>
      <c r="Q193" s="1">
        <v>97</v>
      </c>
      <c r="R193" s="1">
        <v>0</v>
      </c>
      <c r="S193" s="1">
        <v>610</v>
      </c>
      <c r="T193" s="1">
        <v>98</v>
      </c>
      <c r="U193" s="1">
        <v>0</v>
      </c>
      <c r="V193" s="1" t="s">
        <v>2412</v>
      </c>
      <c r="W193" s="1" t="s">
        <v>2425</v>
      </c>
    </row>
    <row r="194" spans="1:23" ht="13.2">
      <c r="A194" s="1">
        <v>193</v>
      </c>
      <c r="B194" s="1" t="s">
        <v>2426</v>
      </c>
      <c r="C194" s="1" t="s">
        <v>2020</v>
      </c>
      <c r="D194" s="1">
        <v>34.82</v>
      </c>
      <c r="E194" s="1">
        <v>0.15</v>
      </c>
      <c r="F194" s="1">
        <v>2.1800000000000002</v>
      </c>
      <c r="G194" s="1">
        <v>0.57999999999999996</v>
      </c>
      <c r="H194" s="1">
        <v>0</v>
      </c>
      <c r="I194" s="2">
        <v>24.34</v>
      </c>
      <c r="J194" s="1">
        <v>0.2</v>
      </c>
      <c r="K194" s="2">
        <v>23.57</v>
      </c>
      <c r="L194" s="2">
        <v>2.17</v>
      </c>
      <c r="M194" s="1">
        <v>0.69</v>
      </c>
      <c r="N194" s="1">
        <v>0.23</v>
      </c>
      <c r="O194" s="1">
        <v>0.2</v>
      </c>
      <c r="P194" s="1">
        <v>0</v>
      </c>
      <c r="Q194" s="1">
        <v>0</v>
      </c>
      <c r="R194" s="1">
        <v>1.43</v>
      </c>
      <c r="S194" s="1">
        <v>900</v>
      </c>
      <c r="T194" s="1">
        <v>0</v>
      </c>
      <c r="U194" s="1">
        <v>0</v>
      </c>
      <c r="V194" s="1" t="s">
        <v>2422</v>
      </c>
      <c r="W194" s="1" t="s">
        <v>2427</v>
      </c>
    </row>
    <row r="195" spans="1:23" ht="26.4">
      <c r="A195" s="1">
        <v>194</v>
      </c>
      <c r="B195" s="1" t="s">
        <v>2428</v>
      </c>
      <c r="C195" s="1" t="s">
        <v>2020</v>
      </c>
      <c r="D195" s="1">
        <v>34.229999999999997</v>
      </c>
      <c r="E195" s="1">
        <v>0.15</v>
      </c>
      <c r="F195" s="1">
        <v>3.27</v>
      </c>
      <c r="G195" s="1">
        <v>0.52</v>
      </c>
      <c r="H195" s="1">
        <v>0</v>
      </c>
      <c r="I195" s="2">
        <v>27.15</v>
      </c>
      <c r="J195" s="1">
        <v>0.18</v>
      </c>
      <c r="K195" s="2">
        <v>24.62</v>
      </c>
      <c r="L195" s="2">
        <v>2.61</v>
      </c>
      <c r="M195" s="1">
        <v>0.45</v>
      </c>
      <c r="N195" s="1">
        <v>0.03</v>
      </c>
      <c r="O195" s="1">
        <v>0.23</v>
      </c>
      <c r="P195" s="1">
        <v>0</v>
      </c>
      <c r="Q195" s="1">
        <v>0</v>
      </c>
      <c r="R195" s="1">
        <v>0.36</v>
      </c>
      <c r="S195" s="1">
        <v>100</v>
      </c>
      <c r="T195" s="1">
        <v>111</v>
      </c>
      <c r="U195" s="1">
        <v>0</v>
      </c>
      <c r="V195" s="1" t="s">
        <v>2429</v>
      </c>
      <c r="W195" s="1" t="s">
        <v>2430</v>
      </c>
    </row>
    <row r="196" spans="1:23" ht="26.4">
      <c r="A196" s="1">
        <v>195</v>
      </c>
      <c r="B196" s="1" t="s">
        <v>2431</v>
      </c>
      <c r="C196" s="1" t="s">
        <v>2020</v>
      </c>
      <c r="D196" s="1">
        <v>40.630000000000003</v>
      </c>
      <c r="E196" s="1">
        <v>0.09</v>
      </c>
      <c r="F196" s="1">
        <v>2.63</v>
      </c>
      <c r="G196" s="1">
        <v>0.7</v>
      </c>
      <c r="H196" s="1">
        <v>0</v>
      </c>
      <c r="I196" s="2">
        <v>16.29</v>
      </c>
      <c r="J196" s="1">
        <v>0.32</v>
      </c>
      <c r="K196" s="2">
        <v>25.14</v>
      </c>
      <c r="L196" s="2">
        <v>1.55</v>
      </c>
      <c r="M196" s="1">
        <v>0.75</v>
      </c>
      <c r="N196" s="1">
        <v>0.12</v>
      </c>
      <c r="O196" s="1">
        <v>0.36</v>
      </c>
      <c r="P196" s="1">
        <v>0</v>
      </c>
      <c r="Q196" s="1">
        <v>76</v>
      </c>
      <c r="R196" s="1">
        <v>0.96</v>
      </c>
      <c r="S196" s="1">
        <v>0.04</v>
      </c>
      <c r="T196" s="1">
        <v>39</v>
      </c>
      <c r="U196" s="1">
        <v>0</v>
      </c>
      <c r="V196" s="1" t="s">
        <v>2432</v>
      </c>
      <c r="W196" s="1" t="s">
        <v>2433</v>
      </c>
    </row>
    <row r="197" spans="1:23" ht="13.2">
      <c r="A197" s="1">
        <v>196</v>
      </c>
      <c r="B197" s="1" t="s">
        <v>2434</v>
      </c>
      <c r="C197" s="1" t="s">
        <v>2020</v>
      </c>
      <c r="D197" s="1">
        <v>41.03</v>
      </c>
      <c r="E197" s="1">
        <v>0.21</v>
      </c>
      <c r="F197" s="1">
        <v>2.64</v>
      </c>
      <c r="G197" s="1">
        <v>0.59</v>
      </c>
      <c r="H197" s="1">
        <v>0</v>
      </c>
      <c r="I197" s="2">
        <v>15.78</v>
      </c>
      <c r="J197" s="1">
        <v>0.35</v>
      </c>
      <c r="K197" s="2">
        <v>26.34</v>
      </c>
      <c r="L197" s="2">
        <v>1.58</v>
      </c>
      <c r="M197" s="1">
        <v>0.91</v>
      </c>
      <c r="N197" s="1">
        <v>0.11</v>
      </c>
      <c r="O197" s="1">
        <v>0.23</v>
      </c>
      <c r="P197" s="1">
        <v>0</v>
      </c>
      <c r="Q197" s="1">
        <v>0</v>
      </c>
      <c r="R197" s="1">
        <v>0.88</v>
      </c>
      <c r="S197" s="1">
        <v>0.09</v>
      </c>
      <c r="T197" s="1">
        <v>30</v>
      </c>
      <c r="U197" s="1">
        <v>0</v>
      </c>
      <c r="V197" s="1" t="s">
        <v>2435</v>
      </c>
      <c r="W197" s="1" t="s">
        <v>2436</v>
      </c>
    </row>
    <row r="198" spans="1:23" ht="26.4">
      <c r="A198" s="1">
        <v>197</v>
      </c>
      <c r="B198" s="1" t="s">
        <v>2437</v>
      </c>
      <c r="C198" s="1" t="s">
        <v>2020</v>
      </c>
      <c r="D198" s="1">
        <v>16.399999999999999</v>
      </c>
      <c r="E198" s="1">
        <v>0</v>
      </c>
      <c r="F198" s="1">
        <v>1.06</v>
      </c>
      <c r="G198" s="1">
        <v>0.31</v>
      </c>
      <c r="H198" s="1">
        <v>0</v>
      </c>
      <c r="I198" s="2">
        <v>29.2</v>
      </c>
      <c r="J198" s="1">
        <v>0.24</v>
      </c>
      <c r="K198" s="2">
        <v>13.9</v>
      </c>
      <c r="L198" s="2">
        <v>1.18</v>
      </c>
      <c r="M198" s="1">
        <v>0.52</v>
      </c>
      <c r="N198" s="1">
        <v>0.08</v>
      </c>
      <c r="O198" s="1">
        <v>0</v>
      </c>
      <c r="P198" s="1">
        <v>0</v>
      </c>
      <c r="Q198" s="1">
        <v>87</v>
      </c>
      <c r="R198" s="1">
        <v>0</v>
      </c>
      <c r="S198" s="1">
        <v>930</v>
      </c>
      <c r="T198" s="1">
        <v>52</v>
      </c>
      <c r="U198" s="1">
        <v>0</v>
      </c>
      <c r="V198" s="1" t="s">
        <v>2412</v>
      </c>
      <c r="W198" s="1" t="s">
        <v>2438</v>
      </c>
    </row>
    <row r="199" spans="1:23" ht="26.4">
      <c r="A199" s="1">
        <v>198</v>
      </c>
      <c r="B199" s="1" t="s">
        <v>2439</v>
      </c>
      <c r="C199" s="1" t="s">
        <v>2020</v>
      </c>
      <c r="D199" s="1">
        <v>16.3</v>
      </c>
      <c r="E199" s="1">
        <v>0</v>
      </c>
      <c r="F199" s="1">
        <v>0.84</v>
      </c>
      <c r="G199" s="1">
        <v>0.32</v>
      </c>
      <c r="H199" s="1">
        <v>0</v>
      </c>
      <c r="I199" s="2">
        <v>36.9</v>
      </c>
      <c r="J199" s="1">
        <v>0.38</v>
      </c>
      <c r="K199" s="2">
        <v>10.4</v>
      </c>
      <c r="L199" s="2">
        <v>0.74</v>
      </c>
      <c r="M199" s="1">
        <v>0.86</v>
      </c>
      <c r="N199" s="1">
        <v>0.1</v>
      </c>
      <c r="O199" s="1">
        <v>0</v>
      </c>
      <c r="P199" s="1">
        <v>0</v>
      </c>
      <c r="Q199" s="1">
        <v>190</v>
      </c>
      <c r="R199" s="1">
        <v>0</v>
      </c>
      <c r="S199" s="1">
        <v>870</v>
      </c>
      <c r="T199" s="1">
        <v>290</v>
      </c>
      <c r="U199" s="1">
        <v>0</v>
      </c>
      <c r="V199" s="1" t="s">
        <v>2412</v>
      </c>
      <c r="W199" s="1" t="s">
        <v>2440</v>
      </c>
    </row>
    <row r="200" spans="1:23" ht="13.2">
      <c r="A200" s="1">
        <v>199</v>
      </c>
      <c r="B200" s="1" t="s">
        <v>2441</v>
      </c>
      <c r="C200" s="1" t="s">
        <v>2020</v>
      </c>
      <c r="D200" s="1">
        <v>17.63</v>
      </c>
      <c r="E200" s="1">
        <v>0.06</v>
      </c>
      <c r="F200" s="1">
        <v>0.99</v>
      </c>
      <c r="G200" s="1">
        <v>0</v>
      </c>
      <c r="H200" s="1">
        <v>0</v>
      </c>
      <c r="I200" s="2">
        <v>24.81</v>
      </c>
      <c r="J200" s="1">
        <v>0.19</v>
      </c>
      <c r="K200" s="2">
        <v>12.73</v>
      </c>
      <c r="L200" s="2">
        <v>0.37</v>
      </c>
      <c r="M200" s="1">
        <v>0</v>
      </c>
      <c r="N200" s="1">
        <v>0.06</v>
      </c>
      <c r="O200" s="1">
        <v>0.11</v>
      </c>
      <c r="P200" s="1">
        <v>0</v>
      </c>
      <c r="Q200" s="1">
        <v>87</v>
      </c>
      <c r="R200" s="1">
        <v>0</v>
      </c>
      <c r="S200" s="1">
        <v>830</v>
      </c>
      <c r="T200" s="1">
        <v>7.5</v>
      </c>
      <c r="U200" s="1">
        <v>0</v>
      </c>
      <c r="V200" s="1" t="s">
        <v>2442</v>
      </c>
      <c r="W200" s="1" t="s">
        <v>2443</v>
      </c>
    </row>
    <row r="201" spans="1:23" ht="13.2">
      <c r="A201" s="1">
        <v>200</v>
      </c>
      <c r="B201" s="1" t="s">
        <v>2444</v>
      </c>
      <c r="C201" s="1" t="s">
        <v>2020</v>
      </c>
      <c r="D201" s="1">
        <v>41.53</v>
      </c>
      <c r="E201" s="1">
        <v>0</v>
      </c>
      <c r="F201" s="1">
        <v>1.55</v>
      </c>
      <c r="G201" s="1">
        <v>0.56000000000000005</v>
      </c>
      <c r="H201" s="1">
        <v>0</v>
      </c>
      <c r="I201" s="2">
        <v>6.34</v>
      </c>
      <c r="J201" s="1">
        <v>0</v>
      </c>
      <c r="K201" s="2">
        <v>23.23</v>
      </c>
      <c r="L201" s="2">
        <v>0.74</v>
      </c>
      <c r="M201" s="1">
        <v>1.26</v>
      </c>
      <c r="N201" s="1">
        <v>0.32</v>
      </c>
      <c r="O201" s="1">
        <v>0.08</v>
      </c>
      <c r="P201" s="1">
        <v>0</v>
      </c>
      <c r="Q201" s="1">
        <v>0</v>
      </c>
      <c r="R201" s="1">
        <v>1.96</v>
      </c>
      <c r="S201" s="1">
        <v>700</v>
      </c>
      <c r="T201" s="1">
        <v>0</v>
      </c>
      <c r="U201" s="1">
        <v>0</v>
      </c>
      <c r="V201" s="1" t="s">
        <v>2422</v>
      </c>
      <c r="W201" s="1" t="s">
        <v>2445</v>
      </c>
    </row>
    <row r="202" spans="1:23" ht="26.4">
      <c r="A202" s="1">
        <v>201</v>
      </c>
      <c r="B202" s="1" t="s">
        <v>2446</v>
      </c>
      <c r="C202" s="1" t="s">
        <v>2020</v>
      </c>
      <c r="D202" s="1">
        <v>0</v>
      </c>
      <c r="E202" s="1">
        <v>0</v>
      </c>
      <c r="F202" s="1">
        <v>0.93</v>
      </c>
      <c r="G202" s="1">
        <v>0.36</v>
      </c>
      <c r="H202" s="1">
        <v>0</v>
      </c>
      <c r="I202" s="2">
        <v>25.6</v>
      </c>
      <c r="J202" s="1">
        <v>0.25</v>
      </c>
      <c r="K202" s="2">
        <v>0</v>
      </c>
      <c r="L202" s="2">
        <v>0</v>
      </c>
      <c r="M202" s="1">
        <v>0.59</v>
      </c>
      <c r="N202" s="1">
        <v>7.0000000000000007E-2</v>
      </c>
      <c r="O202" s="1">
        <v>0</v>
      </c>
      <c r="P202" s="1">
        <v>0</v>
      </c>
      <c r="Q202" s="1">
        <v>98</v>
      </c>
      <c r="R202" s="1">
        <v>0</v>
      </c>
      <c r="S202" s="1">
        <v>999.99</v>
      </c>
      <c r="T202" s="1">
        <v>10</v>
      </c>
      <c r="U202" s="1">
        <v>0</v>
      </c>
      <c r="V202" s="1" t="s">
        <v>2415</v>
      </c>
      <c r="W202" s="1" t="s">
        <v>2447</v>
      </c>
    </row>
    <row r="203" spans="1:23" ht="26.4">
      <c r="A203" s="1">
        <v>202</v>
      </c>
      <c r="B203" s="1" t="s">
        <v>2448</v>
      </c>
      <c r="C203" s="1" t="s">
        <v>2020</v>
      </c>
      <c r="D203" s="1">
        <v>48.59</v>
      </c>
      <c r="E203" s="1">
        <v>0.65</v>
      </c>
      <c r="F203" s="1">
        <v>12.7</v>
      </c>
      <c r="G203" s="1">
        <v>0.33</v>
      </c>
      <c r="H203" s="1">
        <v>0</v>
      </c>
      <c r="I203" s="2">
        <v>19.579999999999998</v>
      </c>
      <c r="J203" s="1">
        <v>0.56000000000000005</v>
      </c>
      <c r="K203" s="2">
        <v>6.77</v>
      </c>
      <c r="L203" s="2">
        <v>10.25</v>
      </c>
      <c r="M203" s="1">
        <v>0.45</v>
      </c>
      <c r="N203" s="1">
        <v>0.05</v>
      </c>
      <c r="O203" s="1">
        <v>0.1</v>
      </c>
      <c r="P203" s="1">
        <v>0</v>
      </c>
      <c r="Q203" s="1">
        <v>4</v>
      </c>
      <c r="R203" s="1">
        <v>0</v>
      </c>
      <c r="S203" s="1">
        <v>6</v>
      </c>
      <c r="T203" s="1">
        <v>0</v>
      </c>
      <c r="U203" s="1">
        <v>0</v>
      </c>
      <c r="V203" s="1" t="s">
        <v>2449</v>
      </c>
      <c r="W203" s="1" t="s">
        <v>2450</v>
      </c>
    </row>
    <row r="204" spans="1:23" ht="26.4">
      <c r="A204" s="1">
        <v>203</v>
      </c>
      <c r="B204" s="1" t="s">
        <v>2451</v>
      </c>
      <c r="C204" s="1" t="s">
        <v>2020</v>
      </c>
      <c r="D204" s="1">
        <v>49.29</v>
      </c>
      <c r="E204" s="1">
        <v>0.6</v>
      </c>
      <c r="F204" s="1">
        <v>12.84</v>
      </c>
      <c r="G204" s="1">
        <v>0.31</v>
      </c>
      <c r="H204" s="1">
        <v>0</v>
      </c>
      <c r="I204" s="2">
        <v>18.25</v>
      </c>
      <c r="J204" s="1">
        <v>0.53</v>
      </c>
      <c r="K204" s="2">
        <v>7.08</v>
      </c>
      <c r="L204" s="2">
        <v>10.39</v>
      </c>
      <c r="M204" s="1">
        <v>0.42</v>
      </c>
      <c r="N204" s="1">
        <v>0.04</v>
      </c>
      <c r="O204" s="1">
        <v>0.09</v>
      </c>
      <c r="P204" s="1">
        <v>0</v>
      </c>
      <c r="Q204" s="1">
        <v>3</v>
      </c>
      <c r="R204" s="1">
        <v>0</v>
      </c>
      <c r="S204" s="1">
        <v>3</v>
      </c>
      <c r="T204" s="1">
        <v>1.3</v>
      </c>
      <c r="U204" s="1">
        <v>0</v>
      </c>
      <c r="V204" s="1" t="s">
        <v>2452</v>
      </c>
      <c r="W204" s="1" t="s">
        <v>2453</v>
      </c>
    </row>
    <row r="205" spans="1:23" ht="26.4">
      <c r="A205" s="1">
        <v>204</v>
      </c>
      <c r="B205" s="1" t="s">
        <v>2454</v>
      </c>
      <c r="C205" s="1" t="s">
        <v>2020</v>
      </c>
      <c r="D205" s="1">
        <v>49.33</v>
      </c>
      <c r="E205" s="1">
        <v>0.96</v>
      </c>
      <c r="F205" s="1">
        <v>12.34</v>
      </c>
      <c r="G205" s="1">
        <v>0.28000000000000003</v>
      </c>
      <c r="H205" s="1">
        <v>0</v>
      </c>
      <c r="I205" s="2">
        <v>17.920000000000002</v>
      </c>
      <c r="J205" s="1">
        <v>0.5</v>
      </c>
      <c r="K205" s="2">
        <v>6.36</v>
      </c>
      <c r="L205" s="2">
        <v>10.58</v>
      </c>
      <c r="M205" s="1">
        <v>0.6</v>
      </c>
      <c r="N205" s="1">
        <v>0.08</v>
      </c>
      <c r="O205" s="1">
        <v>0.13</v>
      </c>
      <c r="P205" s="1">
        <v>0</v>
      </c>
      <c r="Q205" s="1">
        <v>20</v>
      </c>
      <c r="R205" s="1">
        <v>0</v>
      </c>
      <c r="S205" s="1">
        <v>4</v>
      </c>
      <c r="T205" s="1">
        <v>40</v>
      </c>
      <c r="U205" s="1">
        <v>0</v>
      </c>
      <c r="V205" s="1" t="s">
        <v>2452</v>
      </c>
      <c r="W205" s="1" t="s">
        <v>2455</v>
      </c>
    </row>
    <row r="206" spans="1:23" ht="13.2">
      <c r="A206" s="1">
        <v>205</v>
      </c>
      <c r="B206" s="1" t="s">
        <v>2456</v>
      </c>
      <c r="C206" s="1" t="s">
        <v>2020</v>
      </c>
      <c r="D206" s="1">
        <v>49.48</v>
      </c>
      <c r="E206" s="1">
        <v>0.46</v>
      </c>
      <c r="F206" s="1">
        <v>5.0999999999999996</v>
      </c>
      <c r="G206" s="1">
        <v>1.34</v>
      </c>
      <c r="H206" s="1">
        <v>0</v>
      </c>
      <c r="I206" s="2">
        <v>17.39</v>
      </c>
      <c r="J206" s="1">
        <v>0.53</v>
      </c>
      <c r="K206" s="2">
        <v>20.5</v>
      </c>
      <c r="L206" s="2">
        <v>4.0199999999999996</v>
      </c>
      <c r="M206" s="1">
        <v>0.17</v>
      </c>
      <c r="N206" s="1">
        <v>0.02</v>
      </c>
      <c r="O206" s="1">
        <v>0</v>
      </c>
      <c r="P206" s="1">
        <v>0</v>
      </c>
      <c r="Q206" s="1">
        <v>18</v>
      </c>
      <c r="R206" s="1">
        <v>0</v>
      </c>
      <c r="S206" s="1">
        <v>26</v>
      </c>
      <c r="T206" s="1">
        <v>1.6</v>
      </c>
      <c r="U206" s="1">
        <v>0</v>
      </c>
      <c r="V206" s="1" t="s">
        <v>2457</v>
      </c>
      <c r="W206" s="1" t="s">
        <v>2458</v>
      </c>
    </row>
    <row r="207" spans="1:23" ht="13.2">
      <c r="A207" s="1">
        <v>206</v>
      </c>
      <c r="B207" s="1" t="s">
        <v>2459</v>
      </c>
      <c r="C207" s="1" t="s">
        <v>2020</v>
      </c>
      <c r="D207" s="1">
        <v>39.94</v>
      </c>
      <c r="E207" s="1">
        <v>0.12</v>
      </c>
      <c r="F207" s="1">
        <v>2.31</v>
      </c>
      <c r="G207" s="1">
        <v>0.5</v>
      </c>
      <c r="H207" s="1">
        <v>0</v>
      </c>
      <c r="I207" s="2">
        <v>13.51</v>
      </c>
      <c r="J207" s="1">
        <v>0.3</v>
      </c>
      <c r="K207" s="2">
        <v>24.92</v>
      </c>
      <c r="L207" s="2">
        <v>1.87</v>
      </c>
      <c r="M207" s="1">
        <v>0.98</v>
      </c>
      <c r="N207" s="1">
        <v>0.11</v>
      </c>
      <c r="O207" s="1">
        <v>0.26</v>
      </c>
      <c r="P207" s="1">
        <v>0</v>
      </c>
      <c r="Q207" s="1">
        <v>0</v>
      </c>
      <c r="R207" s="1">
        <v>1.26</v>
      </c>
      <c r="S207" s="1">
        <v>700</v>
      </c>
      <c r="T207" s="1">
        <v>0</v>
      </c>
      <c r="U207" s="1">
        <v>0</v>
      </c>
      <c r="V207" s="1" t="s">
        <v>2460</v>
      </c>
      <c r="W207" s="1" t="s">
        <v>2461</v>
      </c>
    </row>
    <row r="208" spans="1:23" ht="13.2">
      <c r="A208" s="1">
        <v>207</v>
      </c>
      <c r="B208" s="1" t="s">
        <v>2462</v>
      </c>
      <c r="C208" s="1" t="s">
        <v>2020</v>
      </c>
      <c r="D208" s="1">
        <v>40.17</v>
      </c>
      <c r="E208" s="1">
        <v>0.11</v>
      </c>
      <c r="F208" s="1">
        <v>2.0699999999999998</v>
      </c>
      <c r="G208" s="1">
        <v>0.49</v>
      </c>
      <c r="H208" s="1">
        <v>0</v>
      </c>
      <c r="I208" s="2">
        <v>13.15</v>
      </c>
      <c r="J208" s="1">
        <v>0.36</v>
      </c>
      <c r="K208" s="2">
        <v>24.95</v>
      </c>
      <c r="L208" s="2">
        <v>1.83</v>
      </c>
      <c r="M208" s="1">
        <v>0.92</v>
      </c>
      <c r="N208" s="1">
        <v>0.11</v>
      </c>
      <c r="O208" s="1">
        <v>0.24</v>
      </c>
      <c r="P208" s="1">
        <v>0</v>
      </c>
      <c r="Q208" s="1">
        <v>0</v>
      </c>
      <c r="R208" s="1">
        <v>1.1200000000000001</v>
      </c>
      <c r="S208" s="1">
        <v>400</v>
      </c>
      <c r="T208" s="1">
        <v>0</v>
      </c>
      <c r="U208" s="1">
        <v>0</v>
      </c>
      <c r="V208" s="1" t="s">
        <v>2460</v>
      </c>
      <c r="W208" s="1" t="s">
        <v>2463</v>
      </c>
    </row>
    <row r="209" spans="1:23" ht="26.4">
      <c r="A209" s="1">
        <v>208</v>
      </c>
      <c r="B209" s="1" t="s">
        <v>2464</v>
      </c>
      <c r="C209" s="1" t="s">
        <v>2020</v>
      </c>
      <c r="D209" s="1">
        <v>39.58</v>
      </c>
      <c r="E209" s="1">
        <v>0.13</v>
      </c>
      <c r="F209" s="1">
        <v>1.94</v>
      </c>
      <c r="G209" s="1">
        <v>0.52</v>
      </c>
      <c r="H209" s="1">
        <v>0</v>
      </c>
      <c r="I209" s="2">
        <v>14.46</v>
      </c>
      <c r="J209" s="1">
        <v>0.36</v>
      </c>
      <c r="K209" s="2">
        <v>24.61</v>
      </c>
      <c r="L209" s="2">
        <v>2.0099999999999998</v>
      </c>
      <c r="M209" s="1">
        <v>0.99</v>
      </c>
      <c r="N209" s="1">
        <v>0.11</v>
      </c>
      <c r="O209" s="1">
        <v>0.27</v>
      </c>
      <c r="P209" s="1">
        <v>0</v>
      </c>
      <c r="Q209" s="1">
        <v>0</v>
      </c>
      <c r="R209" s="1">
        <v>1.24</v>
      </c>
      <c r="S209" s="1">
        <v>600</v>
      </c>
      <c r="T209" s="1">
        <v>0</v>
      </c>
      <c r="U209" s="1">
        <v>0</v>
      </c>
      <c r="V209" s="1" t="s">
        <v>2465</v>
      </c>
      <c r="W209" s="1" t="s">
        <v>2466</v>
      </c>
    </row>
    <row r="210" spans="1:23" ht="26.4">
      <c r="A210" s="1">
        <v>209</v>
      </c>
      <c r="B210" s="1" t="s">
        <v>2467</v>
      </c>
      <c r="C210" s="1" t="s">
        <v>2020</v>
      </c>
      <c r="D210" s="1">
        <v>49.32</v>
      </c>
      <c r="E210" s="1">
        <v>0.68</v>
      </c>
      <c r="F210" s="1">
        <v>12.64</v>
      </c>
      <c r="G210" s="1">
        <v>0.3</v>
      </c>
      <c r="H210" s="1">
        <v>0</v>
      </c>
      <c r="I210" s="2">
        <v>18.489999999999998</v>
      </c>
      <c r="J210" s="1">
        <v>0.53</v>
      </c>
      <c r="K210" s="2">
        <v>6.83</v>
      </c>
      <c r="L210" s="2">
        <v>10.32</v>
      </c>
      <c r="M210" s="1">
        <v>0.42</v>
      </c>
      <c r="N210" s="1">
        <v>0.05</v>
      </c>
      <c r="O210" s="1">
        <v>0.09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 t="s">
        <v>2468</v>
      </c>
      <c r="W210" s="1" t="s">
        <v>2469</v>
      </c>
    </row>
    <row r="211" spans="1:23" ht="26.4">
      <c r="A211" s="1">
        <v>210</v>
      </c>
      <c r="B211" s="1" t="s">
        <v>2470</v>
      </c>
      <c r="C211" s="1" t="s">
        <v>2020</v>
      </c>
      <c r="D211" s="1">
        <v>34.42</v>
      </c>
      <c r="E211" s="1">
        <v>0.17</v>
      </c>
      <c r="F211" s="1">
        <v>3.31</v>
      </c>
      <c r="G211" s="1">
        <v>0.52</v>
      </c>
      <c r="H211" s="1">
        <v>11.1</v>
      </c>
      <c r="I211" s="2">
        <v>7.26</v>
      </c>
      <c r="J211" s="1">
        <v>0.24</v>
      </c>
      <c r="K211" s="2">
        <v>24.99</v>
      </c>
      <c r="L211" s="2">
        <v>2.66</v>
      </c>
      <c r="M211" s="1">
        <v>0.27</v>
      </c>
      <c r="N211" s="1">
        <v>0.03</v>
      </c>
      <c r="O211" s="1">
        <v>0.38</v>
      </c>
      <c r="P211" s="1">
        <v>0</v>
      </c>
      <c r="Q211" s="1">
        <v>0</v>
      </c>
      <c r="R211" s="1">
        <v>1.35</v>
      </c>
      <c r="S211" s="1">
        <v>800</v>
      </c>
      <c r="T211" s="1">
        <v>0</v>
      </c>
      <c r="U211" s="1">
        <v>0</v>
      </c>
      <c r="V211" s="1" t="s">
        <v>2471</v>
      </c>
      <c r="W211" s="1" t="s">
        <v>2472</v>
      </c>
    </row>
    <row r="212" spans="1:23" ht="13.2">
      <c r="A212" s="1">
        <v>211</v>
      </c>
      <c r="B212" s="1" t="s">
        <v>2473</v>
      </c>
      <c r="C212" s="1" t="s">
        <v>2020</v>
      </c>
      <c r="D212" s="1">
        <v>49.9</v>
      </c>
      <c r="E212" s="1">
        <v>0.28999999999999998</v>
      </c>
      <c r="F212" s="1">
        <v>6</v>
      </c>
      <c r="G212" s="1">
        <v>0.86</v>
      </c>
      <c r="H212" s="1">
        <v>0</v>
      </c>
      <c r="I212" s="2">
        <v>18.100000000000001</v>
      </c>
      <c r="J212" s="1">
        <v>0.52</v>
      </c>
      <c r="K212" s="2">
        <v>17.8</v>
      </c>
      <c r="L212" s="2">
        <v>5.3</v>
      </c>
      <c r="M212" s="1">
        <v>0.17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 t="s">
        <v>2457</v>
      </c>
      <c r="W212" s="1" t="s">
        <v>2474</v>
      </c>
    </row>
    <row r="213" spans="1:23" ht="13.2">
      <c r="A213" s="1">
        <v>212</v>
      </c>
      <c r="B213" s="1" t="s">
        <v>2475</v>
      </c>
      <c r="C213" s="1" t="s">
        <v>2020</v>
      </c>
      <c r="D213" s="1">
        <v>50.1</v>
      </c>
      <c r="E213" s="1">
        <v>0.42</v>
      </c>
      <c r="F213" s="1">
        <v>7.4</v>
      </c>
      <c r="G213" s="1">
        <v>0.72</v>
      </c>
      <c r="H213" s="1">
        <v>0</v>
      </c>
      <c r="I213" s="2">
        <v>17.600000000000001</v>
      </c>
      <c r="J213" s="1">
        <v>0.46</v>
      </c>
      <c r="K213" s="2">
        <v>15</v>
      </c>
      <c r="L213" s="2">
        <v>6.44</v>
      </c>
      <c r="M213" s="1">
        <v>0.17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 t="s">
        <v>2476</v>
      </c>
      <c r="W213" s="1" t="s">
        <v>2477</v>
      </c>
    </row>
    <row r="214" spans="1:23" ht="13.2">
      <c r="A214" s="1">
        <v>213</v>
      </c>
      <c r="B214" s="1" t="s">
        <v>2478</v>
      </c>
      <c r="C214" s="1" t="s">
        <v>2020</v>
      </c>
      <c r="D214" s="1">
        <v>49.18</v>
      </c>
      <c r="E214" s="1">
        <v>0.56999999999999995</v>
      </c>
      <c r="F214" s="1">
        <v>10.82</v>
      </c>
      <c r="G214" s="1">
        <v>0.56000000000000005</v>
      </c>
      <c r="H214" s="1">
        <v>0</v>
      </c>
      <c r="I214" s="2">
        <v>17</v>
      </c>
      <c r="J214" s="1">
        <v>0.52</v>
      </c>
      <c r="K214" s="2">
        <v>11.24</v>
      </c>
      <c r="L214" s="2">
        <v>8.49</v>
      </c>
      <c r="M214" s="1">
        <v>0.35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 t="s">
        <v>2457</v>
      </c>
      <c r="W214" s="1" t="s">
        <v>2479</v>
      </c>
    </row>
    <row r="215" spans="1:23" ht="13.2">
      <c r="A215" s="1">
        <v>214</v>
      </c>
      <c r="B215" s="1" t="s">
        <v>2480</v>
      </c>
      <c r="C215" s="1" t="s">
        <v>2020</v>
      </c>
      <c r="D215" s="1">
        <v>48.47</v>
      </c>
      <c r="E215" s="1">
        <v>0.37</v>
      </c>
      <c r="F215" s="1">
        <v>9.4600000000000009</v>
      </c>
      <c r="G215" s="1">
        <v>0.63</v>
      </c>
      <c r="H215" s="1">
        <v>0</v>
      </c>
      <c r="I215" s="2">
        <v>17.16</v>
      </c>
      <c r="J215" s="1">
        <v>0.53</v>
      </c>
      <c r="K215" s="2">
        <v>12</v>
      </c>
      <c r="L215" s="2">
        <v>8.08</v>
      </c>
      <c r="M215" s="1">
        <v>0.46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 t="s">
        <v>2457</v>
      </c>
      <c r="W215" s="1" t="s">
        <v>2481</v>
      </c>
    </row>
    <row r="216" spans="1:23" ht="13.2">
      <c r="A216" s="1">
        <v>215</v>
      </c>
      <c r="B216" s="1" t="s">
        <v>2482</v>
      </c>
      <c r="C216" s="1" t="s">
        <v>2020</v>
      </c>
      <c r="D216" s="1">
        <v>50.1</v>
      </c>
      <c r="E216" s="1">
        <v>0.92</v>
      </c>
      <c r="F216" s="1">
        <v>6.68</v>
      </c>
      <c r="G216" s="1">
        <v>0.18</v>
      </c>
      <c r="H216" s="1">
        <v>0</v>
      </c>
      <c r="I216" s="2">
        <v>18.66</v>
      </c>
      <c r="J216" s="1">
        <v>0.5</v>
      </c>
      <c r="K216" s="2">
        <v>9.4</v>
      </c>
      <c r="L216" s="2">
        <v>10.3</v>
      </c>
      <c r="M216" s="1">
        <v>1.28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 t="s">
        <v>2457</v>
      </c>
      <c r="W216" s="1" t="s">
        <v>2483</v>
      </c>
    </row>
    <row r="217" spans="1:23" ht="13.2">
      <c r="A217" s="1">
        <v>216</v>
      </c>
      <c r="B217" s="1" t="s">
        <v>2484</v>
      </c>
      <c r="C217" s="1" t="s">
        <v>2020</v>
      </c>
      <c r="D217" s="1">
        <v>50</v>
      </c>
      <c r="E217" s="1">
        <v>0.78</v>
      </c>
      <c r="F217" s="1">
        <v>12.5</v>
      </c>
      <c r="G217" s="1">
        <v>0.4</v>
      </c>
      <c r="H217" s="1">
        <v>0</v>
      </c>
      <c r="I217" s="2">
        <v>18.5</v>
      </c>
      <c r="J217" s="1">
        <v>0.46</v>
      </c>
      <c r="K217" s="2">
        <v>7.1</v>
      </c>
      <c r="L217" s="2">
        <v>10</v>
      </c>
      <c r="M217" s="1">
        <v>0.46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 t="s">
        <v>2457</v>
      </c>
      <c r="W217" s="1" t="s">
        <v>2485</v>
      </c>
    </row>
    <row r="218" spans="1:23" ht="13.2">
      <c r="A218" s="1">
        <v>217</v>
      </c>
      <c r="B218" s="1" t="s">
        <v>2486</v>
      </c>
      <c r="C218" s="1" t="s">
        <v>2020</v>
      </c>
      <c r="D218" s="1">
        <v>50.7</v>
      </c>
      <c r="E218" s="1">
        <v>0.98</v>
      </c>
      <c r="F218" s="1">
        <v>11.7</v>
      </c>
      <c r="G218" s="1">
        <v>0.33</v>
      </c>
      <c r="H218" s="1">
        <v>0</v>
      </c>
      <c r="I218" s="2">
        <v>17.600000000000001</v>
      </c>
      <c r="J218" s="1">
        <v>0.47</v>
      </c>
      <c r="K218" s="2">
        <v>6.9</v>
      </c>
      <c r="L218" s="2">
        <v>10.4</v>
      </c>
      <c r="M218" s="1">
        <v>0.38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 t="s">
        <v>2457</v>
      </c>
      <c r="W218" s="1" t="s">
        <v>2487</v>
      </c>
    </row>
    <row r="219" spans="1:23" ht="13.2">
      <c r="A219" s="1">
        <v>218</v>
      </c>
      <c r="B219" s="1" t="s">
        <v>2488</v>
      </c>
      <c r="C219" s="1" t="s">
        <v>2020</v>
      </c>
      <c r="D219" s="1">
        <v>48.3</v>
      </c>
      <c r="E219" s="1">
        <v>0.56999999999999995</v>
      </c>
      <c r="F219" s="1">
        <v>11.92</v>
      </c>
      <c r="G219" s="1">
        <v>0.33</v>
      </c>
      <c r="H219" s="1">
        <v>0</v>
      </c>
      <c r="I219" s="2">
        <v>19.95</v>
      </c>
      <c r="J219" s="1">
        <v>0.43</v>
      </c>
      <c r="K219" s="2">
        <v>6.96</v>
      </c>
      <c r="L219" s="2">
        <v>9.67</v>
      </c>
      <c r="M219" s="1">
        <v>0.37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 t="s">
        <v>2457</v>
      </c>
      <c r="W219" s="1" t="s">
        <v>2489</v>
      </c>
    </row>
    <row r="220" spans="1:23" ht="13.2">
      <c r="A220" s="1">
        <v>219</v>
      </c>
      <c r="B220" s="1" t="s">
        <v>2490</v>
      </c>
      <c r="C220" s="1" t="s">
        <v>2020</v>
      </c>
      <c r="D220" s="1">
        <v>49.13</v>
      </c>
      <c r="E220" s="1">
        <v>0.7</v>
      </c>
      <c r="F220" s="1">
        <v>12.75</v>
      </c>
      <c r="G220" s="1">
        <v>0.32</v>
      </c>
      <c r="H220" s="1">
        <v>0</v>
      </c>
      <c r="I220" s="2">
        <v>19.829999999999998</v>
      </c>
      <c r="J220" s="1">
        <v>0.55000000000000004</v>
      </c>
      <c r="K220" s="2">
        <v>6.8</v>
      </c>
      <c r="L220" s="2">
        <v>10.48</v>
      </c>
      <c r="M220" s="1">
        <v>0.47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 t="s">
        <v>2457</v>
      </c>
      <c r="W220" s="1" t="s">
        <v>2491</v>
      </c>
    </row>
    <row r="221" spans="1:23" ht="26.4">
      <c r="A221" s="1">
        <v>220</v>
      </c>
      <c r="B221" s="1" t="s">
        <v>2492</v>
      </c>
      <c r="C221" s="1" t="s">
        <v>2020</v>
      </c>
      <c r="D221" s="1">
        <v>36.25</v>
      </c>
      <c r="E221" s="1">
        <v>0.08</v>
      </c>
      <c r="F221" s="1">
        <v>1.94</v>
      </c>
      <c r="G221" s="1">
        <v>0.43</v>
      </c>
      <c r="H221" s="1">
        <v>0</v>
      </c>
      <c r="I221" s="2">
        <v>12.59</v>
      </c>
      <c r="J221" s="1">
        <v>0.3</v>
      </c>
      <c r="K221" s="2">
        <v>23.7</v>
      </c>
      <c r="L221" s="2">
        <v>2.73</v>
      </c>
      <c r="M221" s="1">
        <v>0.9</v>
      </c>
      <c r="N221" s="1">
        <v>0.14000000000000001</v>
      </c>
      <c r="O221" s="1">
        <v>0.28999999999999998</v>
      </c>
      <c r="P221" s="1">
        <v>0</v>
      </c>
      <c r="Q221" s="1">
        <v>0</v>
      </c>
      <c r="R221" s="1">
        <v>1.78</v>
      </c>
      <c r="S221" s="1">
        <v>0.1</v>
      </c>
      <c r="T221" s="1">
        <v>0</v>
      </c>
      <c r="U221" s="1">
        <v>0</v>
      </c>
      <c r="V221" s="1" t="s">
        <v>2435</v>
      </c>
      <c r="W221" s="1" t="s">
        <v>2493</v>
      </c>
    </row>
    <row r="222" spans="1:23" ht="26.4">
      <c r="A222" s="1">
        <v>221</v>
      </c>
      <c r="B222" s="1" t="s">
        <v>2494</v>
      </c>
      <c r="C222" s="1" t="s">
        <v>2020</v>
      </c>
      <c r="D222" s="1">
        <v>39.72</v>
      </c>
      <c r="E222" s="1">
        <v>0</v>
      </c>
      <c r="F222" s="1">
        <v>1.88</v>
      </c>
      <c r="G222" s="1">
        <v>0.49</v>
      </c>
      <c r="H222" s="1">
        <v>0</v>
      </c>
      <c r="I222" s="2">
        <v>21.53</v>
      </c>
      <c r="J222" s="1">
        <v>0.21</v>
      </c>
      <c r="K222" s="2">
        <v>25.34</v>
      </c>
      <c r="L222" s="2">
        <v>1.23</v>
      </c>
      <c r="M222" s="1">
        <v>0.12</v>
      </c>
      <c r="N222" s="1">
        <v>0</v>
      </c>
      <c r="O222" s="1">
        <v>0</v>
      </c>
      <c r="P222" s="1">
        <v>0</v>
      </c>
      <c r="Q222" s="1">
        <v>0</v>
      </c>
      <c r="R222" s="1">
        <v>0.83</v>
      </c>
      <c r="S222" s="1">
        <v>500</v>
      </c>
      <c r="T222" s="1">
        <v>0</v>
      </c>
      <c r="U222" s="1">
        <v>0</v>
      </c>
      <c r="V222" s="1" t="s">
        <v>2495</v>
      </c>
      <c r="W222" s="1" t="s">
        <v>2496</v>
      </c>
    </row>
    <row r="223" spans="1:23" ht="26.4">
      <c r="A223" s="1">
        <v>222</v>
      </c>
      <c r="B223" s="1" t="s">
        <v>2497</v>
      </c>
      <c r="C223" s="1" t="s">
        <v>2020</v>
      </c>
      <c r="D223" s="1">
        <v>40.729999999999997</v>
      </c>
      <c r="E223" s="1">
        <v>0</v>
      </c>
      <c r="F223" s="1">
        <v>2.2999999999999998</v>
      </c>
      <c r="G223" s="1">
        <v>0.14000000000000001</v>
      </c>
      <c r="H223" s="1">
        <v>0</v>
      </c>
      <c r="I223" s="2">
        <v>20.74</v>
      </c>
      <c r="J223" s="1">
        <v>0.15</v>
      </c>
      <c r="K223" s="2">
        <v>25.16</v>
      </c>
      <c r="L223" s="2">
        <v>2.09</v>
      </c>
      <c r="M223" s="1">
        <v>0.92</v>
      </c>
      <c r="N223" s="1">
        <v>0.33</v>
      </c>
      <c r="O223" s="1">
        <v>0.19</v>
      </c>
      <c r="P223" s="1">
        <v>0</v>
      </c>
      <c r="Q223" s="1">
        <v>0</v>
      </c>
      <c r="R223" s="1">
        <v>0.41</v>
      </c>
      <c r="S223" s="1">
        <v>0.02</v>
      </c>
      <c r="T223" s="1">
        <v>0</v>
      </c>
      <c r="U223" s="1">
        <v>0</v>
      </c>
      <c r="V223" s="1" t="s">
        <v>2495</v>
      </c>
      <c r="W223" s="1" t="s">
        <v>2498</v>
      </c>
    </row>
    <row r="224" spans="1:23" ht="26.4">
      <c r="A224" s="1">
        <v>223</v>
      </c>
      <c r="B224" s="1" t="s">
        <v>2499</v>
      </c>
      <c r="C224" s="1" t="s">
        <v>2020</v>
      </c>
      <c r="D224" s="1">
        <v>40.520000000000003</v>
      </c>
      <c r="E224" s="1">
        <v>0.09</v>
      </c>
      <c r="F224" s="1">
        <v>3</v>
      </c>
      <c r="G224" s="1">
        <v>0.64</v>
      </c>
      <c r="H224" s="1">
        <v>0</v>
      </c>
      <c r="I224" s="2">
        <v>19.45</v>
      </c>
      <c r="J224" s="1">
        <v>0.32</v>
      </c>
      <c r="K224" s="2">
        <v>25.65</v>
      </c>
      <c r="L224" s="2">
        <v>1.51</v>
      </c>
      <c r="M224" s="1">
        <v>1.07</v>
      </c>
      <c r="N224" s="1">
        <v>0.13</v>
      </c>
      <c r="O224" s="1">
        <v>0.35</v>
      </c>
      <c r="P224" s="1">
        <v>0</v>
      </c>
      <c r="Q224" s="1">
        <v>0</v>
      </c>
      <c r="R224" s="1">
        <v>0.81</v>
      </c>
      <c r="S224" s="1">
        <v>0.04</v>
      </c>
      <c r="T224" s="1">
        <v>0</v>
      </c>
      <c r="U224" s="1">
        <v>0</v>
      </c>
      <c r="V224" s="1" t="s">
        <v>2495</v>
      </c>
      <c r="W224" s="1" t="s">
        <v>2500</v>
      </c>
    </row>
    <row r="225" spans="1:23" ht="26.4">
      <c r="A225" s="1">
        <v>224</v>
      </c>
      <c r="B225" s="1" t="s">
        <v>2501</v>
      </c>
      <c r="C225" s="1" t="s">
        <v>2020</v>
      </c>
      <c r="D225" s="1">
        <v>39.86</v>
      </c>
      <c r="E225" s="1">
        <v>0.42</v>
      </c>
      <c r="F225" s="1">
        <v>3.31</v>
      </c>
      <c r="G225" s="1">
        <v>0.42</v>
      </c>
      <c r="H225" s="1">
        <v>0</v>
      </c>
      <c r="I225" s="2">
        <v>18.670000000000002</v>
      </c>
      <c r="J225" s="1">
        <v>0.5</v>
      </c>
      <c r="K225" s="2">
        <v>25.69</v>
      </c>
      <c r="L225" s="2">
        <v>1.81</v>
      </c>
      <c r="M225" s="1">
        <v>1.36</v>
      </c>
      <c r="N225" s="1">
        <v>0.18</v>
      </c>
      <c r="O225" s="1">
        <v>0.3</v>
      </c>
      <c r="P225" s="1">
        <v>0</v>
      </c>
      <c r="Q225" s="1">
        <v>0</v>
      </c>
      <c r="R225" s="1">
        <v>1.05</v>
      </c>
      <c r="S225" s="1">
        <v>0</v>
      </c>
      <c r="T225" s="1">
        <v>0</v>
      </c>
      <c r="U225" s="1">
        <v>0</v>
      </c>
      <c r="V225" s="1" t="s">
        <v>2495</v>
      </c>
      <c r="W225" s="1" t="s">
        <v>2502</v>
      </c>
    </row>
    <row r="226" spans="1:23" ht="26.4">
      <c r="A226" s="1">
        <v>225</v>
      </c>
      <c r="B226" s="1" t="s">
        <v>2503</v>
      </c>
      <c r="C226" s="1" t="s">
        <v>2020</v>
      </c>
      <c r="D226" s="1">
        <v>23.4</v>
      </c>
      <c r="E226" s="1">
        <v>0</v>
      </c>
      <c r="F226" s="1">
        <v>3.1</v>
      </c>
      <c r="G226" s="1">
        <v>0.3</v>
      </c>
      <c r="H226" s="1">
        <v>0</v>
      </c>
      <c r="I226" s="2">
        <v>34.1</v>
      </c>
      <c r="J226" s="1">
        <v>0.2</v>
      </c>
      <c r="K226" s="2">
        <v>15.1</v>
      </c>
      <c r="L226" s="2">
        <v>0.9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0.08</v>
      </c>
      <c r="S226" s="1">
        <v>0</v>
      </c>
      <c r="T226" s="1">
        <v>0</v>
      </c>
      <c r="U226" s="1">
        <v>0</v>
      </c>
      <c r="V226" s="1" t="s">
        <v>2504</v>
      </c>
      <c r="W226" s="1" t="s">
        <v>2505</v>
      </c>
    </row>
    <row r="227" spans="1:23" ht="13.2">
      <c r="A227" s="1">
        <v>226</v>
      </c>
      <c r="B227" s="1" t="s">
        <v>2506</v>
      </c>
      <c r="C227" s="1" t="s">
        <v>2020</v>
      </c>
      <c r="D227" s="1">
        <v>17.010000000000002</v>
      </c>
      <c r="E227" s="1">
        <v>0.04</v>
      </c>
      <c r="F227" s="1">
        <v>0.82</v>
      </c>
      <c r="G227" s="1">
        <v>0</v>
      </c>
      <c r="H227" s="1">
        <v>0</v>
      </c>
      <c r="I227" s="2">
        <v>31.42</v>
      </c>
      <c r="J227" s="1">
        <v>0.2</v>
      </c>
      <c r="K227" s="2">
        <v>11.06</v>
      </c>
      <c r="L227" s="2">
        <v>0.85</v>
      </c>
      <c r="M227" s="1">
        <v>0</v>
      </c>
      <c r="N227" s="1">
        <v>7.0000000000000007E-2</v>
      </c>
      <c r="O227" s="1">
        <v>0.19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 t="s">
        <v>2507</v>
      </c>
      <c r="W227" s="1" t="s">
        <v>2508</v>
      </c>
    </row>
    <row r="228" spans="1:23" ht="26.4">
      <c r="A228" s="1">
        <v>227</v>
      </c>
      <c r="B228" s="1" t="s">
        <v>2509</v>
      </c>
      <c r="C228" s="1" t="s">
        <v>2020</v>
      </c>
      <c r="D228" s="1">
        <v>12.24</v>
      </c>
      <c r="E228" s="1">
        <v>0.06</v>
      </c>
      <c r="F228" s="1">
        <v>1.0900000000000001</v>
      </c>
      <c r="G228" s="1">
        <v>0</v>
      </c>
      <c r="H228" s="1">
        <v>0</v>
      </c>
      <c r="I228" s="2">
        <v>19.489999999999998</v>
      </c>
      <c r="J228" s="1">
        <v>0.16</v>
      </c>
      <c r="K228" s="2">
        <v>10.95</v>
      </c>
      <c r="L228" s="2">
        <v>1.19</v>
      </c>
      <c r="M228" s="1">
        <v>0</v>
      </c>
      <c r="N228" s="1">
        <v>0.05</v>
      </c>
      <c r="O228" s="1">
        <v>0.09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 t="s">
        <v>2510</v>
      </c>
      <c r="W228" s="1" t="s">
        <v>2511</v>
      </c>
    </row>
    <row r="229" spans="1:23" ht="26.4">
      <c r="A229" s="1">
        <v>228</v>
      </c>
      <c r="B229" s="1" t="s">
        <v>2512</v>
      </c>
      <c r="C229" s="1" t="s">
        <v>2020</v>
      </c>
      <c r="D229" s="1">
        <v>18.079999999999998</v>
      </c>
      <c r="E229" s="1">
        <v>0.06</v>
      </c>
      <c r="F229" s="1">
        <v>1.1200000000000001</v>
      </c>
      <c r="G229" s="1">
        <v>0</v>
      </c>
      <c r="H229" s="1">
        <v>0</v>
      </c>
      <c r="I229" s="2">
        <v>24.38</v>
      </c>
      <c r="J229" s="1">
        <v>0.25</v>
      </c>
      <c r="K229" s="2">
        <v>14.4</v>
      </c>
      <c r="L229" s="2">
        <v>1.22</v>
      </c>
      <c r="M229" s="1">
        <v>0</v>
      </c>
      <c r="N229" s="1">
        <v>0.09</v>
      </c>
      <c r="O229" s="1">
        <v>0.09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 t="s">
        <v>2510</v>
      </c>
      <c r="W229" s="1" t="s">
        <v>2513</v>
      </c>
    </row>
    <row r="230" spans="1:23" ht="13.2">
      <c r="A230" s="1">
        <v>229</v>
      </c>
      <c r="B230" s="1" t="s">
        <v>2514</v>
      </c>
      <c r="C230" s="1" t="s">
        <v>2020</v>
      </c>
      <c r="D230" s="1">
        <v>18.88</v>
      </c>
      <c r="E230" s="1">
        <v>7.0000000000000007E-2</v>
      </c>
      <c r="F230" s="1">
        <v>1.19</v>
      </c>
      <c r="G230" s="1">
        <v>0</v>
      </c>
      <c r="H230" s="1">
        <v>0</v>
      </c>
      <c r="I230" s="2">
        <v>21.25</v>
      </c>
      <c r="J230" s="1">
        <v>0.26</v>
      </c>
      <c r="K230" s="2">
        <v>15.16</v>
      </c>
      <c r="L230" s="2">
        <v>1.31</v>
      </c>
      <c r="M230" s="1">
        <v>0</v>
      </c>
      <c r="N230" s="1">
        <v>0.09</v>
      </c>
      <c r="O230" s="1">
        <v>0.1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 t="s">
        <v>2507</v>
      </c>
      <c r="W230" s="1" t="s">
        <v>2515</v>
      </c>
    </row>
    <row r="231" spans="1:23" ht="13.2">
      <c r="A231" s="1">
        <v>230</v>
      </c>
      <c r="B231" s="1" t="s">
        <v>2516</v>
      </c>
      <c r="C231" s="1" t="s">
        <v>2020</v>
      </c>
      <c r="D231" s="1">
        <v>18.52</v>
      </c>
      <c r="E231" s="1">
        <v>0.06</v>
      </c>
      <c r="F231" s="1">
        <v>1.1499999999999999</v>
      </c>
      <c r="G231" s="1">
        <v>0</v>
      </c>
      <c r="H231" s="1">
        <v>0</v>
      </c>
      <c r="I231" s="2">
        <v>21.85</v>
      </c>
      <c r="J231" s="1">
        <v>0.26</v>
      </c>
      <c r="K231" s="2">
        <v>15.05</v>
      </c>
      <c r="L231" s="2">
        <v>1.29</v>
      </c>
      <c r="M231" s="1">
        <v>0</v>
      </c>
      <c r="N231" s="1">
        <v>0.09</v>
      </c>
      <c r="O231" s="1">
        <v>0.1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 t="s">
        <v>2510</v>
      </c>
      <c r="W231" s="1" t="s">
        <v>2517</v>
      </c>
    </row>
    <row r="232" spans="1:23" ht="13.2">
      <c r="A232" s="1">
        <v>231</v>
      </c>
      <c r="B232" s="1" t="s">
        <v>2518</v>
      </c>
      <c r="C232" s="1" t="s">
        <v>2020</v>
      </c>
      <c r="D232" s="1">
        <v>18.059999999999999</v>
      </c>
      <c r="E232" s="1">
        <v>0.06</v>
      </c>
      <c r="F232" s="1">
        <v>1.21</v>
      </c>
      <c r="G232" s="1">
        <v>0</v>
      </c>
      <c r="H232" s="1">
        <v>0</v>
      </c>
      <c r="I232" s="2">
        <v>21.71</v>
      </c>
      <c r="J232" s="1">
        <v>0.25</v>
      </c>
      <c r="K232" s="2">
        <v>14.84</v>
      </c>
      <c r="L232" s="2">
        <v>1.26</v>
      </c>
      <c r="M232" s="1">
        <v>0</v>
      </c>
      <c r="N232" s="1">
        <v>0.09</v>
      </c>
      <c r="O232" s="1">
        <v>0.1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 t="s">
        <v>2510</v>
      </c>
      <c r="W232" s="1" t="s">
        <v>2519</v>
      </c>
    </row>
    <row r="233" spans="1:23" ht="13.2">
      <c r="A233" s="1">
        <v>232</v>
      </c>
      <c r="B233" s="1" t="s">
        <v>2520</v>
      </c>
      <c r="C233" s="1" t="s">
        <v>2020</v>
      </c>
      <c r="D233" s="1">
        <v>18.96</v>
      </c>
      <c r="E233" s="1">
        <v>0.06</v>
      </c>
      <c r="F233" s="1">
        <v>1.18</v>
      </c>
      <c r="G233" s="1">
        <v>0</v>
      </c>
      <c r="H233" s="1">
        <v>0</v>
      </c>
      <c r="I233" s="2">
        <v>20.350000000000001</v>
      </c>
      <c r="J233" s="1">
        <v>0.26</v>
      </c>
      <c r="K233" s="2">
        <v>15.15</v>
      </c>
      <c r="L233" s="2">
        <v>1.32</v>
      </c>
      <c r="M233" s="1">
        <v>0</v>
      </c>
      <c r="N233" s="1">
        <v>0.08</v>
      </c>
      <c r="O233" s="1">
        <v>0.09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 t="s">
        <v>2510</v>
      </c>
      <c r="W233" s="1" t="s">
        <v>2521</v>
      </c>
    </row>
    <row r="234" spans="1:23" ht="13.2">
      <c r="A234" s="1">
        <v>233</v>
      </c>
      <c r="B234" s="1" t="s">
        <v>2522</v>
      </c>
      <c r="C234" s="1" t="s">
        <v>2020</v>
      </c>
      <c r="D234" s="1">
        <v>16.64</v>
      </c>
      <c r="E234" s="1">
        <v>0.06</v>
      </c>
      <c r="F234" s="1">
        <v>1.06</v>
      </c>
      <c r="G234" s="1">
        <v>0</v>
      </c>
      <c r="H234" s="1">
        <v>0</v>
      </c>
      <c r="I234" s="2">
        <v>27.17</v>
      </c>
      <c r="J234" s="1">
        <v>0.23</v>
      </c>
      <c r="K234" s="2">
        <v>13.7</v>
      </c>
      <c r="L234" s="2">
        <v>1.17</v>
      </c>
      <c r="M234" s="1">
        <v>0</v>
      </c>
      <c r="N234" s="1">
        <v>0.08</v>
      </c>
      <c r="O234" s="1">
        <v>0.11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 t="s">
        <v>2510</v>
      </c>
      <c r="W234" s="1" t="s">
        <v>2523</v>
      </c>
    </row>
    <row r="235" spans="1:23" ht="13.2">
      <c r="A235" s="1">
        <v>234</v>
      </c>
      <c r="B235" s="1" t="s">
        <v>2524</v>
      </c>
      <c r="C235" s="1" t="s">
        <v>2020</v>
      </c>
      <c r="D235" s="1">
        <v>41.61</v>
      </c>
      <c r="E235" s="1">
        <v>0.13</v>
      </c>
      <c r="F235" s="1">
        <v>2.36</v>
      </c>
      <c r="G235" s="1">
        <v>0.57999999999999996</v>
      </c>
      <c r="H235" s="1">
        <v>0</v>
      </c>
      <c r="I235" s="2">
        <v>14.89</v>
      </c>
      <c r="J235" s="1">
        <v>0.35</v>
      </c>
      <c r="K235" s="2">
        <v>25.74</v>
      </c>
      <c r="L235" s="2">
        <v>1.96</v>
      </c>
      <c r="M235" s="1">
        <v>1.02</v>
      </c>
      <c r="N235" s="1">
        <v>0.1</v>
      </c>
      <c r="O235" s="1">
        <v>0.25</v>
      </c>
      <c r="P235" s="1">
        <v>0</v>
      </c>
      <c r="Q235" s="1">
        <v>0</v>
      </c>
      <c r="R235" s="1">
        <v>1.01</v>
      </c>
      <c r="S235" s="1">
        <v>0.03</v>
      </c>
      <c r="T235" s="1">
        <v>0</v>
      </c>
      <c r="U235" s="1">
        <v>0</v>
      </c>
      <c r="V235" s="1" t="s">
        <v>2525</v>
      </c>
      <c r="W235" s="1" t="s">
        <v>2526</v>
      </c>
    </row>
    <row r="236" spans="1:23" ht="13.2">
      <c r="A236" s="1">
        <v>235</v>
      </c>
      <c r="B236" s="1" t="s">
        <v>2527</v>
      </c>
      <c r="C236" s="1" t="s">
        <v>2020</v>
      </c>
      <c r="D236" s="1">
        <v>41.05</v>
      </c>
      <c r="E236" s="1">
        <v>0.14000000000000001</v>
      </c>
      <c r="F236" s="1">
        <v>2.64</v>
      </c>
      <c r="G236" s="1">
        <v>0.56000000000000005</v>
      </c>
      <c r="H236" s="1">
        <v>0</v>
      </c>
      <c r="I236" s="2">
        <v>17.43</v>
      </c>
      <c r="J236" s="1">
        <v>0.28000000000000003</v>
      </c>
      <c r="K236" s="2">
        <v>25.25</v>
      </c>
      <c r="L236" s="2">
        <v>2.12</v>
      </c>
      <c r="M236" s="1">
        <v>1.02</v>
      </c>
      <c r="N236" s="1">
        <v>7.0000000000000007E-2</v>
      </c>
      <c r="O236" s="1">
        <v>0.28000000000000003</v>
      </c>
      <c r="P236" s="1">
        <v>0</v>
      </c>
      <c r="Q236" s="1">
        <v>0</v>
      </c>
      <c r="R236" s="1">
        <v>0.9</v>
      </c>
      <c r="S236" s="1">
        <v>0.06</v>
      </c>
      <c r="T236" s="1">
        <v>0</v>
      </c>
      <c r="U236" s="1">
        <v>0</v>
      </c>
      <c r="V236" s="1" t="s">
        <v>2435</v>
      </c>
      <c r="W236" s="1" t="s">
        <v>2528</v>
      </c>
    </row>
    <row r="237" spans="1:23" ht="13.2">
      <c r="A237" s="1">
        <v>236</v>
      </c>
      <c r="B237" s="1" t="s">
        <v>2529</v>
      </c>
      <c r="C237" s="1" t="s">
        <v>2020</v>
      </c>
      <c r="D237" s="1">
        <v>36.840000000000003</v>
      </c>
      <c r="E237" s="1">
        <v>0.08</v>
      </c>
      <c r="F237" s="1">
        <v>2.4</v>
      </c>
      <c r="G237" s="1">
        <v>0.73</v>
      </c>
      <c r="H237" s="1">
        <v>0</v>
      </c>
      <c r="I237" s="2">
        <v>17.54</v>
      </c>
      <c r="J237" s="1">
        <v>0.34</v>
      </c>
      <c r="K237" s="2">
        <v>23.79</v>
      </c>
      <c r="L237" s="2">
        <v>1.61</v>
      </c>
      <c r="M237" s="1">
        <v>0.95</v>
      </c>
      <c r="N237" s="1">
        <v>0.04</v>
      </c>
      <c r="O237" s="1">
        <v>0.21</v>
      </c>
      <c r="P237" s="1">
        <v>0</v>
      </c>
      <c r="Q237" s="1">
        <v>0</v>
      </c>
      <c r="R237" s="1">
        <v>1.71</v>
      </c>
      <c r="S237" s="1">
        <v>0.1</v>
      </c>
      <c r="T237" s="1">
        <v>0</v>
      </c>
      <c r="U237" s="1">
        <v>0</v>
      </c>
      <c r="V237" s="1" t="s">
        <v>2435</v>
      </c>
      <c r="W237" s="1" t="s">
        <v>2530</v>
      </c>
    </row>
    <row r="238" spans="1:23" ht="13.2">
      <c r="A238" s="1">
        <v>237</v>
      </c>
      <c r="B238" s="1" t="s">
        <v>2531</v>
      </c>
      <c r="C238" s="1" t="s">
        <v>2020</v>
      </c>
      <c r="D238" s="1">
        <v>27.18</v>
      </c>
      <c r="E238" s="1">
        <v>0</v>
      </c>
      <c r="F238" s="1">
        <v>2.35</v>
      </c>
      <c r="G238" s="1">
        <v>0.35</v>
      </c>
      <c r="H238" s="1">
        <v>0</v>
      </c>
      <c r="I238" s="2">
        <v>20.28</v>
      </c>
      <c r="J238" s="1">
        <v>7.0000000000000007E-2</v>
      </c>
      <c r="K238" s="2">
        <v>19.05</v>
      </c>
      <c r="L238" s="2">
        <v>2.52</v>
      </c>
      <c r="M238" s="1">
        <v>0.18</v>
      </c>
      <c r="N238" s="1">
        <v>0</v>
      </c>
      <c r="O238" s="1">
        <v>0.15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 t="s">
        <v>2422</v>
      </c>
      <c r="W238" s="1" t="s">
        <v>2532</v>
      </c>
    </row>
    <row r="239" spans="1:23" ht="13.2">
      <c r="A239" s="1">
        <v>238</v>
      </c>
      <c r="B239" s="1" t="s">
        <v>2533</v>
      </c>
      <c r="C239" s="1" t="s">
        <v>2020</v>
      </c>
      <c r="D239" s="1">
        <v>36.21</v>
      </c>
      <c r="E239" s="1">
        <v>0.18</v>
      </c>
      <c r="F239" s="1">
        <v>3.67</v>
      </c>
      <c r="G239" s="1">
        <v>0.6</v>
      </c>
      <c r="H239" s="1">
        <v>0</v>
      </c>
      <c r="I239" s="2">
        <v>5.94</v>
      </c>
      <c r="J239" s="1">
        <v>0.31</v>
      </c>
      <c r="K239" s="2">
        <v>23.42</v>
      </c>
      <c r="L239" s="2">
        <v>1.18</v>
      </c>
      <c r="M239" s="1">
        <v>1.31</v>
      </c>
      <c r="N239" s="1">
        <v>0.24</v>
      </c>
      <c r="O239" s="1">
        <v>0</v>
      </c>
      <c r="P239" s="1">
        <v>0</v>
      </c>
      <c r="Q239" s="1">
        <v>0</v>
      </c>
      <c r="R239" s="1">
        <v>1.56</v>
      </c>
      <c r="S239" s="1">
        <v>0.1</v>
      </c>
      <c r="T239" s="1">
        <v>0</v>
      </c>
      <c r="U239" s="1">
        <v>0</v>
      </c>
      <c r="V239" s="1" t="s">
        <v>2422</v>
      </c>
      <c r="W239" s="1" t="s">
        <v>2534</v>
      </c>
    </row>
    <row r="240" spans="1:23" ht="13.2">
      <c r="A240" s="1">
        <v>239</v>
      </c>
      <c r="B240" s="1" t="s">
        <v>2535</v>
      </c>
      <c r="C240" s="1" t="s">
        <v>2020</v>
      </c>
      <c r="D240" s="1">
        <v>39.270000000000003</v>
      </c>
      <c r="E240" s="1">
        <v>0</v>
      </c>
      <c r="F240" s="1">
        <v>2.1</v>
      </c>
      <c r="G240" s="1">
        <v>0.32</v>
      </c>
      <c r="H240" s="1">
        <v>0.4</v>
      </c>
      <c r="I240" s="2">
        <v>12.06</v>
      </c>
      <c r="J240" s="1">
        <v>0.08</v>
      </c>
      <c r="K240" s="2">
        <v>24.88</v>
      </c>
      <c r="L240" s="2">
        <v>1.78</v>
      </c>
      <c r="M240" s="1">
        <v>0.92</v>
      </c>
      <c r="N240" s="1">
        <v>0.13</v>
      </c>
      <c r="O240" s="1">
        <v>0.26</v>
      </c>
      <c r="P240" s="1">
        <v>0</v>
      </c>
      <c r="Q240" s="1">
        <v>0</v>
      </c>
      <c r="R240" s="1">
        <v>1.19</v>
      </c>
      <c r="S240" s="1">
        <v>0.09</v>
      </c>
      <c r="T240" s="1">
        <v>0</v>
      </c>
      <c r="U240" s="1">
        <v>0</v>
      </c>
      <c r="V240" s="1" t="s">
        <v>2536</v>
      </c>
      <c r="W240" s="1" t="s">
        <v>2537</v>
      </c>
    </row>
    <row r="241" spans="1:23" ht="26.4">
      <c r="A241" s="1">
        <v>240</v>
      </c>
      <c r="B241" s="1" t="s">
        <v>2538</v>
      </c>
      <c r="C241" s="1" t="s">
        <v>2020</v>
      </c>
      <c r="D241" s="1">
        <v>53.98</v>
      </c>
      <c r="E241" s="1">
        <v>0</v>
      </c>
      <c r="F241" s="1">
        <v>4.78</v>
      </c>
      <c r="G241" s="1">
        <v>0.36</v>
      </c>
      <c r="H241" s="1">
        <v>0</v>
      </c>
      <c r="I241" s="2">
        <v>9.2799999999999994</v>
      </c>
      <c r="J241" s="1">
        <v>0</v>
      </c>
      <c r="K241" s="2">
        <v>25.19</v>
      </c>
      <c r="L241" s="2">
        <v>2.0299999999999998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1.35</v>
      </c>
      <c r="S241" s="1">
        <v>0</v>
      </c>
      <c r="T241" s="1">
        <v>0</v>
      </c>
      <c r="U241" s="1">
        <v>0</v>
      </c>
      <c r="V241" s="1" t="s">
        <v>2539</v>
      </c>
      <c r="W241" s="1" t="s">
        <v>2540</v>
      </c>
    </row>
    <row r="242" spans="1:23" ht="13.2">
      <c r="A242" s="1">
        <v>241</v>
      </c>
      <c r="B242" s="1" t="s">
        <v>2541</v>
      </c>
      <c r="C242" s="1" t="s">
        <v>2020</v>
      </c>
      <c r="D242" s="1">
        <v>39.15</v>
      </c>
      <c r="E242" s="1">
        <v>0.12</v>
      </c>
      <c r="F242" s="1">
        <v>2.2200000000000002</v>
      </c>
      <c r="G242" s="1">
        <v>0.49</v>
      </c>
      <c r="H242" s="1">
        <v>0</v>
      </c>
      <c r="I242" s="2">
        <v>16.21</v>
      </c>
      <c r="J242" s="1">
        <v>0.35</v>
      </c>
      <c r="K242" s="2">
        <v>23.86</v>
      </c>
      <c r="L242" s="2">
        <v>1.82</v>
      </c>
      <c r="M242" s="1">
        <v>0.9</v>
      </c>
      <c r="N242" s="1">
        <v>0.1</v>
      </c>
      <c r="O242" s="1">
        <v>0.24</v>
      </c>
      <c r="P242" s="1">
        <v>0</v>
      </c>
      <c r="Q242" s="1">
        <v>0</v>
      </c>
      <c r="R242" s="1">
        <v>1.17</v>
      </c>
      <c r="S242" s="1">
        <v>7.0000000000000007E-2</v>
      </c>
      <c r="T242" s="1">
        <v>0</v>
      </c>
      <c r="U242" s="1">
        <v>0</v>
      </c>
      <c r="V242" s="1" t="s">
        <v>2542</v>
      </c>
      <c r="W242" s="1" t="s">
        <v>2543</v>
      </c>
    </row>
    <row r="243" spans="1:23" ht="13.2">
      <c r="A243" s="1">
        <v>242</v>
      </c>
      <c r="B243" s="1" t="s">
        <v>2544</v>
      </c>
      <c r="C243" s="1" t="s">
        <v>2020</v>
      </c>
      <c r="D243" s="1">
        <v>39.94</v>
      </c>
      <c r="E243" s="1">
        <v>0.12</v>
      </c>
      <c r="F243" s="1">
        <v>1.86</v>
      </c>
      <c r="G243" s="1">
        <v>0.6</v>
      </c>
      <c r="H243" s="1">
        <v>0</v>
      </c>
      <c r="I243" s="2">
        <v>12.94</v>
      </c>
      <c r="J243" s="1">
        <v>0.33</v>
      </c>
      <c r="K243" s="2">
        <v>24.95</v>
      </c>
      <c r="L243" s="2">
        <v>1.74</v>
      </c>
      <c r="M243" s="1">
        <v>1.01</v>
      </c>
      <c r="N243" s="1">
        <v>0.13</v>
      </c>
      <c r="O243" s="1">
        <v>0.28999999999999998</v>
      </c>
      <c r="P243" s="1">
        <v>0</v>
      </c>
      <c r="Q243" s="1">
        <v>0</v>
      </c>
      <c r="R243" s="1">
        <v>1.3</v>
      </c>
      <c r="S243" s="1">
        <v>0.05</v>
      </c>
      <c r="T243" s="1">
        <v>0</v>
      </c>
      <c r="U243" s="1">
        <v>0</v>
      </c>
      <c r="V243" s="1" t="s">
        <v>2545</v>
      </c>
      <c r="W243" s="1" t="s">
        <v>2546</v>
      </c>
    </row>
    <row r="244" spans="1:23" ht="13.2">
      <c r="A244" s="1">
        <v>243</v>
      </c>
      <c r="B244" s="1" t="s">
        <v>2547</v>
      </c>
      <c r="C244" s="1" t="s">
        <v>2020</v>
      </c>
      <c r="D244" s="1">
        <v>36.4</v>
      </c>
      <c r="E244" s="1">
        <v>0.13</v>
      </c>
      <c r="F244" s="1">
        <v>2.7</v>
      </c>
      <c r="G244" s="1">
        <v>0.52</v>
      </c>
      <c r="H244" s="1">
        <v>0</v>
      </c>
      <c r="I244" s="2">
        <v>8.93</v>
      </c>
      <c r="J244" s="1">
        <v>0.31</v>
      </c>
      <c r="K244" s="2">
        <v>23.39</v>
      </c>
      <c r="L244" s="2">
        <v>1.66</v>
      </c>
      <c r="M244" s="1">
        <v>0.96</v>
      </c>
      <c r="N244" s="1">
        <v>0.08</v>
      </c>
      <c r="O244" s="1">
        <v>0.08</v>
      </c>
      <c r="P244" s="1">
        <v>0</v>
      </c>
      <c r="Q244" s="1">
        <v>0</v>
      </c>
      <c r="R244" s="1">
        <v>1.25</v>
      </c>
      <c r="S244" s="1">
        <v>0.08</v>
      </c>
      <c r="T244" s="1">
        <v>0</v>
      </c>
      <c r="U244" s="1">
        <v>0</v>
      </c>
      <c r="V244" s="1" t="s">
        <v>2548</v>
      </c>
      <c r="W244" s="1" t="s">
        <v>2549</v>
      </c>
    </row>
    <row r="245" spans="1:23" ht="13.2">
      <c r="A245" s="1">
        <v>244</v>
      </c>
      <c r="B245" s="1" t="s">
        <v>2550</v>
      </c>
      <c r="C245" s="1" t="s">
        <v>2020</v>
      </c>
      <c r="D245" s="1">
        <v>15.55</v>
      </c>
      <c r="E245" s="1">
        <v>0.09</v>
      </c>
      <c r="F245" s="1">
        <v>1.83</v>
      </c>
      <c r="G245" s="1">
        <v>0</v>
      </c>
      <c r="H245" s="1">
        <v>0</v>
      </c>
      <c r="I245" s="2">
        <v>22.02</v>
      </c>
      <c r="J245" s="1">
        <v>0.15</v>
      </c>
      <c r="K245" s="2">
        <v>14.86</v>
      </c>
      <c r="L245" s="2">
        <v>1.8</v>
      </c>
      <c r="M245" s="1">
        <v>0.11</v>
      </c>
      <c r="N245" s="1">
        <v>0.01</v>
      </c>
      <c r="O245" s="1">
        <v>0.1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 t="s">
        <v>2551</v>
      </c>
      <c r="W245" s="1" t="s">
        <v>2552</v>
      </c>
    </row>
    <row r="246" spans="1:23" ht="13.2">
      <c r="A246" s="1">
        <v>245</v>
      </c>
      <c r="B246" s="1" t="s">
        <v>2553</v>
      </c>
      <c r="C246" s="1" t="s">
        <v>2020</v>
      </c>
      <c r="D246" s="1">
        <v>33.28</v>
      </c>
      <c r="E246" s="1">
        <v>0.22</v>
      </c>
      <c r="F246" s="1">
        <v>2.77</v>
      </c>
      <c r="G246" s="1">
        <v>0.62</v>
      </c>
      <c r="H246" s="1">
        <v>0</v>
      </c>
      <c r="I246" s="2">
        <v>29.33</v>
      </c>
      <c r="J246" s="1">
        <v>0.19</v>
      </c>
      <c r="K246" s="2">
        <v>25.27</v>
      </c>
      <c r="L246" s="2">
        <v>2.1</v>
      </c>
      <c r="M246" s="1">
        <v>0.72</v>
      </c>
      <c r="N246" s="1">
        <v>0.03</v>
      </c>
      <c r="O246" s="1">
        <v>0.1</v>
      </c>
      <c r="P246" s="1">
        <v>0</v>
      </c>
      <c r="Q246" s="1">
        <v>0</v>
      </c>
      <c r="R246" s="1">
        <v>1.4</v>
      </c>
      <c r="S246" s="1">
        <v>0.06</v>
      </c>
      <c r="T246" s="1">
        <v>0</v>
      </c>
      <c r="U246" s="1">
        <v>0</v>
      </c>
      <c r="V246" s="1" t="s">
        <v>2554</v>
      </c>
      <c r="W246" s="1" t="s">
        <v>2555</v>
      </c>
    </row>
    <row r="247" spans="1:23" ht="13.2">
      <c r="A247" s="1">
        <v>246</v>
      </c>
      <c r="B247" s="1" t="s">
        <v>2556</v>
      </c>
      <c r="C247" s="1" t="s">
        <v>2020</v>
      </c>
      <c r="D247" s="1">
        <v>30.08</v>
      </c>
      <c r="E247" s="1">
        <v>0.13</v>
      </c>
      <c r="F247" s="1">
        <v>2.78</v>
      </c>
      <c r="G247" s="1">
        <v>0.5</v>
      </c>
      <c r="H247" s="1">
        <v>0</v>
      </c>
      <c r="I247" s="2">
        <v>5.25</v>
      </c>
      <c r="J247" s="1">
        <v>0.22</v>
      </c>
      <c r="K247" s="2">
        <v>19.77</v>
      </c>
      <c r="L247" s="2">
        <v>1.2</v>
      </c>
      <c r="M247" s="1">
        <v>0.69</v>
      </c>
      <c r="N247" s="1">
        <v>0.13</v>
      </c>
      <c r="O247" s="1">
        <v>0.36</v>
      </c>
      <c r="P247" s="1">
        <v>0</v>
      </c>
      <c r="Q247" s="1">
        <v>0</v>
      </c>
      <c r="R247" s="1">
        <v>2.2400000000000002</v>
      </c>
      <c r="S247" s="1">
        <v>0.13</v>
      </c>
      <c r="T247" s="1">
        <v>0</v>
      </c>
      <c r="U247" s="1">
        <v>0</v>
      </c>
      <c r="V247" s="1" t="s">
        <v>2557</v>
      </c>
      <c r="W247" s="1" t="s">
        <v>2558</v>
      </c>
    </row>
    <row r="248" spans="1:23" ht="13.2">
      <c r="A248" s="1">
        <v>247</v>
      </c>
      <c r="B248" s="1" t="s">
        <v>2559</v>
      </c>
      <c r="C248" s="1" t="s">
        <v>2020</v>
      </c>
      <c r="D248" s="1">
        <v>34.86</v>
      </c>
      <c r="E248" s="1">
        <v>0.13</v>
      </c>
      <c r="F248" s="1">
        <v>2.7</v>
      </c>
      <c r="G248" s="1">
        <v>0.56000000000000005</v>
      </c>
      <c r="H248" s="1">
        <v>0</v>
      </c>
      <c r="I248" s="2">
        <v>32.880000000000003</v>
      </c>
      <c r="J248" s="1">
        <v>0.22</v>
      </c>
      <c r="K248" s="2">
        <v>24.17</v>
      </c>
      <c r="L248" s="2">
        <v>2.1800000000000002</v>
      </c>
      <c r="M248" s="1">
        <v>0.57999999999999996</v>
      </c>
      <c r="N248" s="1">
        <v>0.05</v>
      </c>
      <c r="O248" s="1">
        <v>0.27</v>
      </c>
      <c r="P248" s="1">
        <v>0</v>
      </c>
      <c r="Q248" s="1">
        <v>0</v>
      </c>
      <c r="R248" s="1">
        <v>1.88</v>
      </c>
      <c r="S248" s="1">
        <v>0</v>
      </c>
      <c r="T248" s="1">
        <v>0</v>
      </c>
      <c r="U248" s="1">
        <v>0</v>
      </c>
      <c r="V248" s="1" t="s">
        <v>2560</v>
      </c>
      <c r="W248" s="1" t="s">
        <v>2561</v>
      </c>
    </row>
    <row r="249" spans="1:23" ht="13.2">
      <c r="A249" s="1">
        <v>248</v>
      </c>
      <c r="B249" s="1" t="s">
        <v>2562</v>
      </c>
      <c r="C249" s="1" t="s">
        <v>2020</v>
      </c>
      <c r="D249" s="1">
        <v>45.3</v>
      </c>
      <c r="E249" s="1">
        <v>0.35</v>
      </c>
      <c r="F249" s="1">
        <v>26.3</v>
      </c>
      <c r="G249" s="1">
        <v>0.1</v>
      </c>
      <c r="H249" s="1">
        <v>0</v>
      </c>
      <c r="I249" s="2">
        <v>5.3</v>
      </c>
      <c r="J249" s="1">
        <v>0.06</v>
      </c>
      <c r="K249" s="2">
        <v>6.7</v>
      </c>
      <c r="L249" s="2">
        <v>14.9</v>
      </c>
      <c r="M249" s="1">
        <v>0.46</v>
      </c>
      <c r="N249" s="1">
        <v>0.14000000000000001</v>
      </c>
      <c r="O249" s="1">
        <v>0.19</v>
      </c>
      <c r="P249" s="1">
        <v>0</v>
      </c>
      <c r="Q249" s="1">
        <v>7.8</v>
      </c>
      <c r="R249" s="1">
        <v>795</v>
      </c>
      <c r="S249" s="1">
        <v>49</v>
      </c>
      <c r="T249" s="1">
        <v>13</v>
      </c>
      <c r="U249" s="1">
        <v>0</v>
      </c>
      <c r="V249" s="1" t="s">
        <v>2563</v>
      </c>
      <c r="W249" s="1" t="s">
        <v>2564</v>
      </c>
    </row>
    <row r="250" spans="1:23" ht="26.4">
      <c r="A250" s="1">
        <v>249</v>
      </c>
      <c r="B250" s="1" t="s">
        <v>875</v>
      </c>
      <c r="C250" s="1" t="s">
        <v>2020</v>
      </c>
      <c r="D250" s="1">
        <v>42.88</v>
      </c>
      <c r="E250" s="1">
        <v>0.05</v>
      </c>
      <c r="F250" s="1">
        <v>20.73</v>
      </c>
      <c r="G250" s="1">
        <v>0.11</v>
      </c>
      <c r="H250" s="1">
        <v>0</v>
      </c>
      <c r="I250" s="2">
        <v>4.99</v>
      </c>
      <c r="J250" s="1">
        <v>7.0000000000000007E-2</v>
      </c>
      <c r="K250" s="2">
        <v>19.09</v>
      </c>
      <c r="L250" s="2">
        <v>11.41</v>
      </c>
      <c r="M250" s="1">
        <v>0.23</v>
      </c>
      <c r="N250" s="1">
        <v>0.03</v>
      </c>
      <c r="O250" s="1">
        <v>0.03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 t="s">
        <v>2565</v>
      </c>
      <c r="W250" s="1" t="s">
        <v>2566</v>
      </c>
    </row>
    <row r="251" spans="1:23" ht="13.2">
      <c r="A251" s="1">
        <v>250</v>
      </c>
      <c r="B251" s="1" t="s">
        <v>2567</v>
      </c>
      <c r="C251" s="1" t="s">
        <v>2020</v>
      </c>
      <c r="D251" s="1">
        <v>39.93</v>
      </c>
      <c r="E251" s="1">
        <v>0.03</v>
      </c>
      <c r="F251" s="1">
        <v>1.53</v>
      </c>
      <c r="G251" s="1">
        <v>0.34</v>
      </c>
      <c r="H251" s="1">
        <v>0</v>
      </c>
      <c r="I251" s="2">
        <v>11.34</v>
      </c>
      <c r="J251" s="1">
        <v>0.13</v>
      </c>
      <c r="K251" s="2">
        <v>43.61</v>
      </c>
      <c r="L251" s="2">
        <v>1.1399999999999999</v>
      </c>
      <c r="M251" s="1">
        <v>0.02</v>
      </c>
      <c r="N251" s="1">
        <v>0</v>
      </c>
      <c r="O251" s="1">
        <v>0.04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 t="s">
        <v>2568</v>
      </c>
      <c r="W251" s="1" t="s">
        <v>2569</v>
      </c>
    </row>
    <row r="252" spans="1:23" ht="13.2">
      <c r="A252" s="1">
        <v>251</v>
      </c>
      <c r="B252" s="1" t="s">
        <v>2570</v>
      </c>
      <c r="C252" s="1" t="s">
        <v>2034</v>
      </c>
      <c r="D252" s="1">
        <v>53.9</v>
      </c>
      <c r="E252" s="1">
        <v>0.32</v>
      </c>
      <c r="F252" s="1">
        <v>3.44</v>
      </c>
      <c r="G252" s="1">
        <v>0.52</v>
      </c>
      <c r="H252" s="1">
        <v>0</v>
      </c>
      <c r="I252" s="2">
        <v>11.16</v>
      </c>
      <c r="J252" s="1">
        <v>0.2</v>
      </c>
      <c r="K252" s="2">
        <v>27.52</v>
      </c>
      <c r="L252" s="2">
        <v>3.26</v>
      </c>
      <c r="M252" s="1">
        <v>0.05</v>
      </c>
      <c r="N252" s="1">
        <v>0.01</v>
      </c>
      <c r="O252" s="1">
        <v>0.04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 t="s">
        <v>2571</v>
      </c>
      <c r="W252" s="1" t="s">
        <v>2572</v>
      </c>
    </row>
    <row r="253" spans="1:23" ht="26.4">
      <c r="A253" s="1">
        <v>252</v>
      </c>
      <c r="B253" s="1" t="s">
        <v>2573</v>
      </c>
      <c r="C253" s="1" t="s">
        <v>2574</v>
      </c>
      <c r="D253" s="1">
        <v>44.08</v>
      </c>
      <c r="E253" s="1">
        <v>0.02</v>
      </c>
      <c r="F253" s="1">
        <v>35.49</v>
      </c>
      <c r="G253" s="1">
        <v>0</v>
      </c>
      <c r="H253" s="1">
        <v>0</v>
      </c>
      <c r="I253" s="2">
        <v>0.23</v>
      </c>
      <c r="J253" s="1">
        <v>0</v>
      </c>
      <c r="K253" s="2">
        <v>0.09</v>
      </c>
      <c r="L253" s="2">
        <v>19.68</v>
      </c>
      <c r="M253" s="1">
        <v>0.34</v>
      </c>
      <c r="N253" s="1">
        <v>0.01</v>
      </c>
      <c r="O253" s="1">
        <v>0.01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 t="s">
        <v>2575</v>
      </c>
      <c r="W253" s="1" t="s">
        <v>2576</v>
      </c>
    </row>
    <row r="254" spans="1:23" ht="13.2">
      <c r="A254" s="1">
        <v>253</v>
      </c>
      <c r="B254" s="1" t="s">
        <v>2577</v>
      </c>
      <c r="C254" s="1" t="s">
        <v>2578</v>
      </c>
      <c r="D254" s="1">
        <v>45.24</v>
      </c>
      <c r="E254" s="1">
        <v>0.34</v>
      </c>
      <c r="F254" s="1">
        <v>7.53</v>
      </c>
      <c r="G254" s="1">
        <v>0.45</v>
      </c>
      <c r="H254" s="1">
        <v>0</v>
      </c>
      <c r="I254" s="2">
        <v>19.510000000000002</v>
      </c>
      <c r="J254" s="1">
        <v>0</v>
      </c>
      <c r="K254" s="2">
        <v>17.55</v>
      </c>
      <c r="L254" s="2">
        <v>8.23</v>
      </c>
      <c r="M254" s="1">
        <v>0.13</v>
      </c>
      <c r="N254" s="1">
        <v>0.01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/>
      <c r="W254" s="1" t="s">
        <v>2579</v>
      </c>
    </row>
    <row r="255" spans="1:23" ht="26.4">
      <c r="A255" s="1">
        <v>254</v>
      </c>
      <c r="B255" s="1" t="s">
        <v>2580</v>
      </c>
      <c r="C255" s="1" t="s">
        <v>2020</v>
      </c>
      <c r="D255" s="1">
        <v>45.6</v>
      </c>
      <c r="E255" s="1">
        <v>0.28999999999999998</v>
      </c>
      <c r="F255" s="1">
        <v>7.67</v>
      </c>
      <c r="G255" s="1">
        <v>0</v>
      </c>
      <c r="H255" s="1">
        <v>0</v>
      </c>
      <c r="I255" s="2">
        <v>19.7</v>
      </c>
      <c r="J255" s="1">
        <v>0</v>
      </c>
      <c r="K255" s="2">
        <v>16.600000000000001</v>
      </c>
      <c r="L255" s="2">
        <v>8.7200000000000006</v>
      </c>
      <c r="M255" s="1">
        <v>0.12</v>
      </c>
      <c r="N255" s="1">
        <v>0.06</v>
      </c>
      <c r="O255" s="1">
        <v>0</v>
      </c>
      <c r="P255" s="1">
        <v>0</v>
      </c>
      <c r="Q255" s="1">
        <v>0</v>
      </c>
      <c r="R255" s="1">
        <v>170</v>
      </c>
      <c r="S255" s="1">
        <v>72</v>
      </c>
      <c r="T255" s="1">
        <v>0</v>
      </c>
      <c r="U255" s="1">
        <v>150</v>
      </c>
      <c r="V255" s="1" t="s">
        <v>2575</v>
      </c>
      <c r="W255" s="1" t="s">
        <v>2581</v>
      </c>
    </row>
    <row r="256" spans="1:23" ht="26.4">
      <c r="A256" s="1">
        <v>255</v>
      </c>
      <c r="B256" s="1" t="s">
        <v>2582</v>
      </c>
      <c r="C256" s="1" t="s">
        <v>2020</v>
      </c>
      <c r="D256" s="1">
        <v>45</v>
      </c>
      <c r="E256" s="1">
        <v>0.8</v>
      </c>
      <c r="F256" s="1">
        <v>20.9</v>
      </c>
      <c r="G256" s="1">
        <v>0.25</v>
      </c>
      <c r="H256" s="1">
        <v>0</v>
      </c>
      <c r="I256" s="2">
        <v>8.4499999999999993</v>
      </c>
      <c r="J256" s="1">
        <v>0.12</v>
      </c>
      <c r="K256" s="2">
        <v>11</v>
      </c>
      <c r="L256" s="2">
        <v>12.2</v>
      </c>
      <c r="M256" s="1">
        <v>0.51</v>
      </c>
      <c r="N256" s="1">
        <v>0.25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 t="s">
        <v>2583</v>
      </c>
      <c r="W256" s="1" t="s">
        <v>2584</v>
      </c>
    </row>
    <row r="257" spans="1:23" ht="26.4">
      <c r="A257" s="1">
        <v>256</v>
      </c>
      <c r="B257" s="1" t="s">
        <v>2585</v>
      </c>
      <c r="C257" s="1" t="s">
        <v>2020</v>
      </c>
      <c r="D257" s="1">
        <v>43.5</v>
      </c>
      <c r="E257" s="1">
        <v>0.4</v>
      </c>
      <c r="F257" s="1">
        <v>28.7</v>
      </c>
      <c r="G257" s="1">
        <v>0.09</v>
      </c>
      <c r="H257" s="1">
        <v>0</v>
      </c>
      <c r="I257" s="2">
        <v>3.2</v>
      </c>
      <c r="J257" s="1">
        <v>0.03</v>
      </c>
      <c r="K257" s="2">
        <v>4.0999999999999996</v>
      </c>
      <c r="L257" s="2">
        <v>15.4</v>
      </c>
      <c r="M257" s="1">
        <v>0.44</v>
      </c>
      <c r="N257" s="1">
        <v>0.12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 t="s">
        <v>2586</v>
      </c>
      <c r="W257" s="1" t="s">
        <v>2587</v>
      </c>
    </row>
    <row r="258" spans="1:23" ht="26.4">
      <c r="A258" s="1">
        <v>257</v>
      </c>
      <c r="B258" s="1" t="s">
        <v>2588</v>
      </c>
      <c r="C258" s="1" t="s">
        <v>2020</v>
      </c>
      <c r="D258" s="1">
        <v>45</v>
      </c>
      <c r="E258" s="1">
        <v>0.54</v>
      </c>
      <c r="F258" s="1">
        <v>25.2</v>
      </c>
      <c r="G258" s="1">
        <v>0.13</v>
      </c>
      <c r="H258" s="1">
        <v>0</v>
      </c>
      <c r="I258" s="2">
        <v>4.8</v>
      </c>
      <c r="J258" s="1">
        <v>0.04</v>
      </c>
      <c r="K258" s="2">
        <v>7</v>
      </c>
      <c r="L258" s="2">
        <v>13.2</v>
      </c>
      <c r="M258" s="1">
        <v>0.43</v>
      </c>
      <c r="N258" s="1">
        <v>0.2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 t="s">
        <v>2589</v>
      </c>
      <c r="W258" s="1" t="s">
        <v>2590</v>
      </c>
    </row>
    <row r="259" spans="1:23" ht="26.4">
      <c r="A259" s="1">
        <v>258</v>
      </c>
      <c r="B259" s="1" t="s">
        <v>2591</v>
      </c>
      <c r="C259" s="1" t="s">
        <v>2020</v>
      </c>
      <c r="D259" s="1">
        <v>45</v>
      </c>
      <c r="E259" s="1">
        <v>0.69</v>
      </c>
      <c r="F259" s="1">
        <v>27.7</v>
      </c>
      <c r="G259" s="1">
        <v>0.11</v>
      </c>
      <c r="H259" s="1">
        <v>0</v>
      </c>
      <c r="I259" s="2">
        <v>4.0999999999999996</v>
      </c>
      <c r="J259" s="1">
        <v>0.03</v>
      </c>
      <c r="K259" s="2">
        <v>4.8</v>
      </c>
      <c r="L259" s="2">
        <v>14.4</v>
      </c>
      <c r="M259" s="1">
        <v>0.33</v>
      </c>
      <c r="N259" s="1">
        <v>0.1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 t="s">
        <v>2592</v>
      </c>
      <c r="W259" s="1" t="s">
        <v>2593</v>
      </c>
    </row>
    <row r="260" spans="1:23" ht="26.4">
      <c r="A260" s="1">
        <v>259</v>
      </c>
      <c r="B260" s="1" t="s">
        <v>2594</v>
      </c>
      <c r="C260" s="1" t="s">
        <v>2020</v>
      </c>
      <c r="D260" s="1">
        <v>45.2</v>
      </c>
      <c r="E260" s="1">
        <v>0.72</v>
      </c>
      <c r="F260" s="1">
        <v>25</v>
      </c>
      <c r="G260" s="1">
        <v>0.13</v>
      </c>
      <c r="H260" s="1">
        <v>0</v>
      </c>
      <c r="I260" s="2">
        <v>5.3</v>
      </c>
      <c r="J260" s="1">
        <v>0.04</v>
      </c>
      <c r="K260" s="2">
        <v>7.7</v>
      </c>
      <c r="L260" s="2">
        <v>13.7</v>
      </c>
      <c r="M260" s="1">
        <v>0.51</v>
      </c>
      <c r="N260" s="1">
        <v>0.2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 t="s">
        <v>2589</v>
      </c>
      <c r="W260" s="1" t="s">
        <v>2595</v>
      </c>
    </row>
    <row r="261" spans="1:23" ht="13.2">
      <c r="A261" s="1">
        <v>260</v>
      </c>
      <c r="B261" s="1" t="s">
        <v>2596</v>
      </c>
      <c r="C261" s="1" t="s">
        <v>2020</v>
      </c>
      <c r="D261" s="1">
        <v>26.73</v>
      </c>
      <c r="E261" s="1">
        <v>0.15</v>
      </c>
      <c r="F261" s="1">
        <v>3.11</v>
      </c>
      <c r="G261" s="1">
        <v>0.3</v>
      </c>
      <c r="H261" s="1">
        <v>0</v>
      </c>
      <c r="I261" s="2">
        <v>24.54</v>
      </c>
      <c r="J261" s="1">
        <v>0.15</v>
      </c>
      <c r="K261" s="2">
        <v>19.350000000000001</v>
      </c>
      <c r="L261" s="2">
        <v>2.2200000000000002</v>
      </c>
      <c r="M261" s="1">
        <v>1.07</v>
      </c>
      <c r="N261" s="1">
        <v>0.2</v>
      </c>
      <c r="O261" s="1">
        <v>0</v>
      </c>
      <c r="P261" s="1">
        <v>0</v>
      </c>
      <c r="Q261" s="1">
        <v>0</v>
      </c>
      <c r="R261" s="1">
        <v>1.1499999999999999</v>
      </c>
      <c r="S261" s="1">
        <v>0.03</v>
      </c>
      <c r="T261" s="1">
        <v>0</v>
      </c>
      <c r="U261" s="1">
        <v>0</v>
      </c>
      <c r="V261" s="1" t="s">
        <v>2597</v>
      </c>
      <c r="W261" s="1" t="s">
        <v>2598</v>
      </c>
    </row>
    <row r="262" spans="1:23" ht="13.2">
      <c r="A262" s="1">
        <v>261</v>
      </c>
      <c r="B262" s="1" t="s">
        <v>2599</v>
      </c>
      <c r="C262" s="1" t="s">
        <v>2020</v>
      </c>
      <c r="D262" s="1">
        <v>39.770000000000003</v>
      </c>
      <c r="E262" s="1">
        <v>0.14000000000000001</v>
      </c>
      <c r="F262" s="1">
        <v>3.42</v>
      </c>
      <c r="G262" s="1">
        <v>0.51</v>
      </c>
      <c r="H262" s="1">
        <v>0</v>
      </c>
      <c r="I262" s="2">
        <v>12.82</v>
      </c>
      <c r="J262" s="1">
        <v>0.31</v>
      </c>
      <c r="K262" s="2">
        <v>23.82</v>
      </c>
      <c r="L262" s="2">
        <v>1.79</v>
      </c>
      <c r="M262" s="1">
        <v>0.75</v>
      </c>
      <c r="N262" s="1">
        <v>0.22</v>
      </c>
      <c r="O262" s="1">
        <v>0.27</v>
      </c>
      <c r="P262" s="1">
        <v>0</v>
      </c>
      <c r="Q262" s="1">
        <v>0</v>
      </c>
      <c r="R262" s="1">
        <v>0.79</v>
      </c>
      <c r="S262" s="1">
        <v>0.04</v>
      </c>
      <c r="T262" s="1">
        <v>0</v>
      </c>
      <c r="U262" s="1">
        <v>0</v>
      </c>
      <c r="V262" s="1" t="s">
        <v>2422</v>
      </c>
      <c r="W262" s="1" t="s">
        <v>2600</v>
      </c>
    </row>
    <row r="263" spans="1:23" ht="13.2">
      <c r="A263" s="1">
        <v>262</v>
      </c>
      <c r="B263" s="1" t="s">
        <v>2601</v>
      </c>
      <c r="C263" s="1" t="s">
        <v>2020</v>
      </c>
      <c r="D263" s="1">
        <v>48.16</v>
      </c>
      <c r="E263" s="1">
        <v>0.32</v>
      </c>
      <c r="F263" s="1">
        <v>15.57</v>
      </c>
      <c r="G263" s="1">
        <v>0.44</v>
      </c>
      <c r="H263" s="1">
        <v>0</v>
      </c>
      <c r="I263" s="2">
        <v>15.02</v>
      </c>
      <c r="J263" s="1">
        <v>0.31</v>
      </c>
      <c r="K263" s="2">
        <v>8.41</v>
      </c>
      <c r="L263" s="2">
        <v>11.08</v>
      </c>
      <c r="M263" s="1">
        <v>0.45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 t="s">
        <v>2602</v>
      </c>
      <c r="W263" s="1" t="s">
        <v>2603</v>
      </c>
    </row>
    <row r="264" spans="1:23" ht="26.4">
      <c r="A264" s="1">
        <v>263</v>
      </c>
      <c r="B264" s="1" t="s">
        <v>2604</v>
      </c>
      <c r="C264" s="1" t="s">
        <v>2020</v>
      </c>
      <c r="D264" s="1">
        <v>40.61</v>
      </c>
      <c r="E264" s="1">
        <v>0.12</v>
      </c>
      <c r="F264" s="1">
        <v>2.63</v>
      </c>
      <c r="G264" s="1">
        <v>0.46</v>
      </c>
      <c r="H264" s="1">
        <v>0</v>
      </c>
      <c r="I264" s="2">
        <v>15.63</v>
      </c>
      <c r="J264" s="1">
        <v>0.33</v>
      </c>
      <c r="K264" s="2">
        <v>25.32</v>
      </c>
      <c r="L264" s="2">
        <v>1.56</v>
      </c>
      <c r="M264" s="1">
        <v>0.95</v>
      </c>
      <c r="N264" s="1">
        <v>0.11</v>
      </c>
      <c r="O264" s="1">
        <v>0.26</v>
      </c>
      <c r="P264" s="1">
        <v>0</v>
      </c>
      <c r="Q264" s="1">
        <v>0</v>
      </c>
      <c r="R264" s="1">
        <v>1.2</v>
      </c>
      <c r="S264" s="1">
        <v>0.08</v>
      </c>
      <c r="T264" s="1">
        <v>0</v>
      </c>
      <c r="U264" s="1">
        <v>0</v>
      </c>
      <c r="V264" s="1" t="s">
        <v>2605</v>
      </c>
      <c r="W264" s="1" t="s">
        <v>2606</v>
      </c>
    </row>
    <row r="265" spans="1:23" ht="26.4">
      <c r="A265" s="1">
        <v>264</v>
      </c>
      <c r="B265" s="1" t="s">
        <v>2607</v>
      </c>
      <c r="C265" s="1" t="s">
        <v>2020</v>
      </c>
      <c r="D265" s="1">
        <v>39.67</v>
      </c>
      <c r="E265" s="1">
        <v>0.15</v>
      </c>
      <c r="F265" s="1">
        <v>2.27</v>
      </c>
      <c r="G265" s="1">
        <v>0.52</v>
      </c>
      <c r="H265" s="1">
        <v>0</v>
      </c>
      <c r="I265" s="2">
        <v>14.61</v>
      </c>
      <c r="J265" s="1">
        <v>0.52</v>
      </c>
      <c r="K265" s="2">
        <v>24.67</v>
      </c>
      <c r="L265" s="2">
        <v>1.86</v>
      </c>
      <c r="M265" s="1">
        <v>0.77</v>
      </c>
      <c r="N265" s="1">
        <v>0.08</v>
      </c>
      <c r="O265" s="1">
        <v>0.24</v>
      </c>
      <c r="P265" s="1">
        <v>0</v>
      </c>
      <c r="Q265" s="1">
        <v>0</v>
      </c>
      <c r="R265" s="1">
        <v>1.25</v>
      </c>
      <c r="S265" s="1">
        <v>0.05</v>
      </c>
      <c r="T265" s="1">
        <v>0</v>
      </c>
      <c r="U265" s="1">
        <v>0</v>
      </c>
      <c r="V265" s="1" t="s">
        <v>2605</v>
      </c>
      <c r="W265" s="1" t="s">
        <v>2608</v>
      </c>
    </row>
    <row r="266" spans="1:23" ht="26.4">
      <c r="A266" s="1">
        <v>265</v>
      </c>
      <c r="B266" s="1" t="s">
        <v>2609</v>
      </c>
      <c r="C266" s="1" t="s">
        <v>2020</v>
      </c>
      <c r="D266" s="1">
        <v>40.1</v>
      </c>
      <c r="E266" s="1">
        <v>0.14000000000000001</v>
      </c>
      <c r="F266" s="1">
        <v>2.93</v>
      </c>
      <c r="G266" s="1">
        <v>0.52</v>
      </c>
      <c r="H266" s="1">
        <v>0</v>
      </c>
      <c r="I266" s="2">
        <v>14.29</v>
      </c>
      <c r="J266" s="1">
        <v>0.34</v>
      </c>
      <c r="K266" s="2">
        <v>25.01</v>
      </c>
      <c r="L266" s="2">
        <v>1.88</v>
      </c>
      <c r="M266" s="1">
        <v>0.84</v>
      </c>
      <c r="N266" s="1">
        <v>7.0000000000000007E-2</v>
      </c>
      <c r="O266" s="1">
        <v>0.2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 t="s">
        <v>2610</v>
      </c>
      <c r="W266" s="1" t="s">
        <v>2611</v>
      </c>
    </row>
    <row r="267" spans="1:23" ht="13.2">
      <c r="A267" s="1">
        <v>266</v>
      </c>
      <c r="B267" s="1" t="s">
        <v>2064</v>
      </c>
      <c r="C267" s="1" t="s">
        <v>2020</v>
      </c>
      <c r="D267" s="1">
        <v>38.58</v>
      </c>
      <c r="E267" s="1">
        <v>0.1</v>
      </c>
      <c r="F267" s="1">
        <v>2.2400000000000002</v>
      </c>
      <c r="G267" s="1">
        <v>0.24</v>
      </c>
      <c r="H267" s="1">
        <v>26.64</v>
      </c>
      <c r="I267" s="2">
        <v>0.5</v>
      </c>
      <c r="J267" s="1">
        <v>7.0000000000000007E-2</v>
      </c>
      <c r="K267" s="2">
        <v>20.69</v>
      </c>
      <c r="L267" s="2">
        <v>1.01</v>
      </c>
      <c r="M267" s="1">
        <v>0.66</v>
      </c>
      <c r="N267" s="1">
        <v>0.05</v>
      </c>
      <c r="O267" s="1">
        <v>0.13</v>
      </c>
      <c r="P267" s="1">
        <v>0</v>
      </c>
      <c r="Q267" s="1">
        <v>0</v>
      </c>
      <c r="R267" s="1">
        <v>0.1</v>
      </c>
      <c r="S267" s="1">
        <v>100</v>
      </c>
      <c r="T267" s="1">
        <v>0</v>
      </c>
      <c r="U267" s="1">
        <v>0</v>
      </c>
      <c r="V267" s="1" t="s">
        <v>2612</v>
      </c>
      <c r="W267" s="1" t="s">
        <v>2613</v>
      </c>
    </row>
    <row r="268" spans="1:23" ht="13.2">
      <c r="A268" s="1">
        <v>267</v>
      </c>
      <c r="B268" s="1" t="s">
        <v>2614</v>
      </c>
      <c r="C268" s="1" t="s">
        <v>2020</v>
      </c>
      <c r="D268" s="1">
        <v>23.94</v>
      </c>
      <c r="E268" s="1">
        <v>0</v>
      </c>
      <c r="F268" s="1">
        <v>1.1200000000000001</v>
      </c>
      <c r="G268" s="1">
        <v>0</v>
      </c>
      <c r="H268" s="1">
        <v>25.68</v>
      </c>
      <c r="I268" s="2">
        <v>5.92</v>
      </c>
      <c r="J268" s="1">
        <v>1.64</v>
      </c>
      <c r="K268" s="2">
        <v>24.52</v>
      </c>
      <c r="L268" s="2">
        <v>1.26</v>
      </c>
      <c r="M268" s="1">
        <v>0</v>
      </c>
      <c r="N268" s="1">
        <v>0</v>
      </c>
      <c r="O268" s="1">
        <v>0.46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 t="s">
        <v>2615</v>
      </c>
      <c r="W268" s="1" t="s">
        <v>2616</v>
      </c>
    </row>
    <row r="269" spans="1:23" ht="13.2">
      <c r="A269" s="1">
        <v>268</v>
      </c>
      <c r="B269" s="1" t="s">
        <v>2617</v>
      </c>
      <c r="C269" s="1" t="s">
        <v>2020</v>
      </c>
      <c r="D269" s="1">
        <v>44.3</v>
      </c>
      <c r="E269" s="1">
        <v>0.28999999999999998</v>
      </c>
      <c r="F269" s="1">
        <v>29.4</v>
      </c>
      <c r="G269" s="1">
        <v>0.12</v>
      </c>
      <c r="H269" s="1">
        <v>0</v>
      </c>
      <c r="I269" s="2">
        <v>5.0999999999999996</v>
      </c>
      <c r="J269" s="1">
        <v>0.04</v>
      </c>
      <c r="K269" s="2">
        <v>5.7</v>
      </c>
      <c r="L269" s="2">
        <v>15.8</v>
      </c>
      <c r="M269" s="1">
        <v>0.25</v>
      </c>
      <c r="N269" s="1">
        <v>0.06</v>
      </c>
      <c r="O269" s="1">
        <v>0.01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 t="s">
        <v>2618</v>
      </c>
      <c r="W269" s="1" t="s">
        <v>2619</v>
      </c>
    </row>
    <row r="270" spans="1:23" ht="13.2">
      <c r="A270" s="1">
        <v>269</v>
      </c>
      <c r="B270" s="1" t="s">
        <v>2620</v>
      </c>
      <c r="C270" s="1" t="s">
        <v>2020</v>
      </c>
      <c r="D270" s="1">
        <v>0</v>
      </c>
      <c r="E270" s="1">
        <v>1.91</v>
      </c>
      <c r="F270" s="1">
        <v>13.3</v>
      </c>
      <c r="G270" s="1">
        <v>0</v>
      </c>
      <c r="H270" s="1">
        <v>0</v>
      </c>
      <c r="I270" s="2">
        <v>13.5</v>
      </c>
      <c r="J270" s="1">
        <v>0</v>
      </c>
      <c r="K270" s="2">
        <v>9.1999999999999993</v>
      </c>
      <c r="L270" s="2">
        <v>10.5</v>
      </c>
      <c r="M270" s="1">
        <v>0.57999999999999996</v>
      </c>
      <c r="N270" s="1">
        <v>0</v>
      </c>
      <c r="O270" s="1">
        <v>0</v>
      </c>
      <c r="P270" s="1">
        <v>0</v>
      </c>
      <c r="Q270" s="1">
        <v>0</v>
      </c>
      <c r="R270" s="1">
        <v>95</v>
      </c>
      <c r="S270" s="1">
        <v>32.700000000000003</v>
      </c>
      <c r="T270" s="1">
        <v>0</v>
      </c>
      <c r="U270" s="1">
        <v>0</v>
      </c>
      <c r="V270" s="1" t="s">
        <v>2621</v>
      </c>
      <c r="W270" s="1" t="s">
        <v>2622</v>
      </c>
    </row>
    <row r="271" spans="1:23" ht="26.4">
      <c r="A271" s="1">
        <v>270</v>
      </c>
      <c r="B271" s="1" t="s">
        <v>2623</v>
      </c>
      <c r="C271" s="1" t="s">
        <v>2020</v>
      </c>
      <c r="D271" s="1">
        <v>40.11</v>
      </c>
      <c r="E271" s="1">
        <v>0.14000000000000001</v>
      </c>
      <c r="F271" s="1">
        <v>1.9</v>
      </c>
      <c r="G271" s="1">
        <v>0.45</v>
      </c>
      <c r="H271" s="1">
        <v>0</v>
      </c>
      <c r="I271" s="2">
        <v>12.01</v>
      </c>
      <c r="J271" s="1">
        <v>0.37</v>
      </c>
      <c r="K271" s="2">
        <v>25.18</v>
      </c>
      <c r="L271" s="2">
        <v>1.74</v>
      </c>
      <c r="M271" s="1">
        <v>0.93</v>
      </c>
      <c r="N271" s="1">
        <v>0.1</v>
      </c>
      <c r="O271" s="1">
        <v>0.4</v>
      </c>
      <c r="P271" s="1">
        <v>0</v>
      </c>
      <c r="Q271" s="1">
        <v>96</v>
      </c>
      <c r="R271" s="1">
        <v>0</v>
      </c>
      <c r="S271" s="1">
        <v>0</v>
      </c>
      <c r="T271" s="1">
        <v>0</v>
      </c>
      <c r="U271" s="1">
        <v>98</v>
      </c>
      <c r="V271" s="1" t="s">
        <v>2624</v>
      </c>
      <c r="W271" s="1" t="s">
        <v>2625</v>
      </c>
    </row>
    <row r="272" spans="1:23" ht="13.2">
      <c r="A272" s="1">
        <v>271</v>
      </c>
      <c r="B272" s="1" t="s">
        <v>2626</v>
      </c>
      <c r="C272" s="1" t="s">
        <v>2020</v>
      </c>
      <c r="D272" s="1">
        <v>36.090000000000003</v>
      </c>
      <c r="E272" s="1">
        <v>0.1</v>
      </c>
      <c r="F272" s="1">
        <v>2.16</v>
      </c>
      <c r="G272" s="1">
        <v>0.39</v>
      </c>
      <c r="H272" s="1">
        <v>0</v>
      </c>
      <c r="I272" s="2">
        <v>1.89</v>
      </c>
      <c r="J272" s="1">
        <v>0.28999999999999998</v>
      </c>
      <c r="K272" s="2">
        <v>23.62</v>
      </c>
      <c r="L272" s="2">
        <v>1.66</v>
      </c>
      <c r="M272" s="1">
        <v>0.9</v>
      </c>
      <c r="N272" s="1">
        <v>0.11</v>
      </c>
      <c r="O272" s="1">
        <v>0.3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 t="s">
        <v>2627</v>
      </c>
      <c r="W272" s="1" t="s">
        <v>2628</v>
      </c>
    </row>
    <row r="273" spans="1:23" ht="13.2">
      <c r="A273" s="1">
        <v>272</v>
      </c>
      <c r="B273" s="1" t="s">
        <v>2629</v>
      </c>
      <c r="C273" s="1" t="s">
        <v>2020</v>
      </c>
      <c r="D273" s="1">
        <v>30.98</v>
      </c>
      <c r="E273" s="1">
        <v>0.1</v>
      </c>
      <c r="F273" s="1">
        <v>2.4700000000000002</v>
      </c>
      <c r="G273" s="1">
        <v>0.14000000000000001</v>
      </c>
      <c r="H273" s="1">
        <v>0</v>
      </c>
      <c r="I273" s="2">
        <v>0.87</v>
      </c>
      <c r="J273" s="1">
        <v>0.06</v>
      </c>
      <c r="K273" s="2">
        <v>19.77</v>
      </c>
      <c r="L273" s="2">
        <v>1.39</v>
      </c>
      <c r="M273" s="1">
        <v>0.89</v>
      </c>
      <c r="N273" s="1">
        <v>0.09</v>
      </c>
      <c r="O273" s="1">
        <v>0.09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 t="s">
        <v>2630</v>
      </c>
      <c r="W273" s="1" t="s">
        <v>2631</v>
      </c>
    </row>
    <row r="274" spans="1:23" ht="13.2">
      <c r="A274" s="1">
        <v>273</v>
      </c>
      <c r="B274" s="1" t="s">
        <v>2632</v>
      </c>
      <c r="C274" s="1" t="s">
        <v>2020</v>
      </c>
      <c r="D274" s="1">
        <v>34.97</v>
      </c>
      <c r="E274" s="1">
        <v>0.11</v>
      </c>
      <c r="F274" s="1">
        <v>2.8</v>
      </c>
      <c r="G274" s="1">
        <v>0.38</v>
      </c>
      <c r="H274" s="1">
        <v>0</v>
      </c>
      <c r="I274" s="2">
        <v>10.130000000000001</v>
      </c>
      <c r="J274" s="1">
        <v>0.27</v>
      </c>
      <c r="K274" s="2">
        <v>21.75</v>
      </c>
      <c r="L274" s="2">
        <v>1.41</v>
      </c>
      <c r="M274" s="1">
        <v>0.66</v>
      </c>
      <c r="N274" s="1">
        <v>0.13</v>
      </c>
      <c r="O274" s="1">
        <v>0.41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 t="s">
        <v>2633</v>
      </c>
      <c r="W274" s="1" t="s">
        <v>2634</v>
      </c>
    </row>
    <row r="275" spans="1:23" ht="13.2">
      <c r="A275" s="1">
        <v>274</v>
      </c>
      <c r="B275" s="1" t="s">
        <v>2635</v>
      </c>
      <c r="C275" s="1" t="s">
        <v>2020</v>
      </c>
      <c r="D275" s="1">
        <v>36.630000000000003</v>
      </c>
      <c r="E275" s="1">
        <v>0.1</v>
      </c>
      <c r="F275" s="1">
        <v>2.46</v>
      </c>
      <c r="G275" s="1">
        <v>0.6</v>
      </c>
      <c r="H275" s="1">
        <v>0</v>
      </c>
      <c r="I275" s="2">
        <v>8.66</v>
      </c>
      <c r="J275" s="1">
        <v>0.28999999999999998</v>
      </c>
      <c r="K275" s="2">
        <v>23.39</v>
      </c>
      <c r="L275" s="2">
        <v>1.83</v>
      </c>
      <c r="M275" s="1">
        <v>0.91</v>
      </c>
      <c r="N275" s="1">
        <v>0.12</v>
      </c>
      <c r="O275" s="1">
        <v>0.38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 t="s">
        <v>2636</v>
      </c>
      <c r="W275" s="1" t="s">
        <v>2637</v>
      </c>
    </row>
    <row r="276" spans="1:23" ht="13.2">
      <c r="A276" s="1">
        <v>275</v>
      </c>
      <c r="B276" s="1" t="s">
        <v>2638</v>
      </c>
      <c r="C276" s="1" t="s">
        <v>2020</v>
      </c>
      <c r="D276" s="1">
        <v>40.17</v>
      </c>
      <c r="E276" s="1">
        <v>0.11</v>
      </c>
      <c r="F276" s="1">
        <v>2.4700000000000002</v>
      </c>
      <c r="G276" s="1">
        <v>0.72</v>
      </c>
      <c r="H276" s="1">
        <v>0</v>
      </c>
      <c r="I276" s="2">
        <v>15.41</v>
      </c>
      <c r="J276" s="1">
        <v>0.36</v>
      </c>
      <c r="K276" s="2">
        <v>26.29</v>
      </c>
      <c r="L276" s="2">
        <v>1.41</v>
      </c>
      <c r="M276" s="1">
        <v>0.95</v>
      </c>
      <c r="N276" s="1">
        <v>0.11</v>
      </c>
      <c r="O276" s="1">
        <v>0.36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 t="s">
        <v>2639</v>
      </c>
      <c r="W276" s="1" t="s">
        <v>2640</v>
      </c>
    </row>
    <row r="277" spans="1:23" ht="13.2">
      <c r="A277" s="1">
        <v>276</v>
      </c>
      <c r="B277" s="1" t="s">
        <v>2641</v>
      </c>
      <c r="C277" s="1" t="s">
        <v>2642</v>
      </c>
      <c r="D277" s="1">
        <v>56</v>
      </c>
      <c r="E277" s="1">
        <v>0.08</v>
      </c>
      <c r="F277" s="1">
        <v>2.2999999999999998</v>
      </c>
      <c r="G277" s="1">
        <v>0</v>
      </c>
      <c r="H277" s="1">
        <v>1.4</v>
      </c>
      <c r="I277" s="2">
        <v>4.22</v>
      </c>
      <c r="J277" s="1">
        <v>0.11</v>
      </c>
      <c r="K277" s="2">
        <v>20</v>
      </c>
      <c r="L277" s="2">
        <v>11.1</v>
      </c>
      <c r="M277" s="1">
        <v>1.1000000000000001</v>
      </c>
      <c r="N277" s="1">
        <v>0.1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 t="s">
        <v>2643</v>
      </c>
      <c r="W277" s="1" t="s">
        <v>2644</v>
      </c>
    </row>
    <row r="278" spans="1:23" ht="13.2">
      <c r="A278" s="1">
        <v>277</v>
      </c>
      <c r="B278" s="1" t="s">
        <v>2645</v>
      </c>
      <c r="C278" s="1" t="s">
        <v>2642</v>
      </c>
      <c r="D278" s="1">
        <v>55</v>
      </c>
      <c r="E278" s="1">
        <v>0.05</v>
      </c>
      <c r="F278" s="1">
        <v>0.6</v>
      </c>
      <c r="G278" s="1">
        <v>0</v>
      </c>
      <c r="H278" s="1">
        <v>1.83</v>
      </c>
      <c r="I278" s="2">
        <v>19.600000000000001</v>
      </c>
      <c r="J278" s="1">
        <v>0.28999999999999998</v>
      </c>
      <c r="K278" s="2">
        <v>11</v>
      </c>
      <c r="L278" s="2">
        <v>10</v>
      </c>
      <c r="M278" s="1">
        <v>0.24</v>
      </c>
      <c r="N278" s="1">
        <v>0.04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 t="s">
        <v>2643</v>
      </c>
      <c r="W278" s="1" t="s">
        <v>2646</v>
      </c>
    </row>
    <row r="279" spans="1:23" ht="13.2">
      <c r="A279" s="1">
        <v>278</v>
      </c>
      <c r="B279" s="1" t="s">
        <v>2647</v>
      </c>
      <c r="C279" s="1" t="s">
        <v>2642</v>
      </c>
      <c r="D279" s="1">
        <v>50.61</v>
      </c>
      <c r="E279" s="1">
        <v>0.09</v>
      </c>
      <c r="F279" s="1">
        <v>2.42</v>
      </c>
      <c r="G279" s="1">
        <v>0</v>
      </c>
      <c r="H279" s="1">
        <v>2.8</v>
      </c>
      <c r="I279" s="2">
        <v>19.899999999999999</v>
      </c>
      <c r="J279" s="1">
        <v>2.69</v>
      </c>
      <c r="K279" s="2">
        <v>8.26</v>
      </c>
      <c r="L279" s="2">
        <v>10.82</v>
      </c>
      <c r="M279" s="1">
        <v>0.48</v>
      </c>
      <c r="N279" s="1">
        <v>0.14000000000000001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 t="s">
        <v>2648</v>
      </c>
      <c r="W279" s="1" t="s">
        <v>2649</v>
      </c>
    </row>
    <row r="280" spans="1:23" ht="13.2">
      <c r="A280" s="1">
        <v>279</v>
      </c>
      <c r="B280" s="1" t="s">
        <v>2650</v>
      </c>
      <c r="C280" s="1" t="s">
        <v>2020</v>
      </c>
      <c r="D280" s="1">
        <v>44.3</v>
      </c>
      <c r="E280" s="1">
        <v>3.38</v>
      </c>
      <c r="F280" s="1">
        <v>15.3</v>
      </c>
      <c r="G280" s="1">
        <v>0</v>
      </c>
      <c r="H280" s="1">
        <v>12.3</v>
      </c>
      <c r="I280" s="2">
        <v>0</v>
      </c>
      <c r="J280" s="1">
        <v>0.2</v>
      </c>
      <c r="K280" s="2">
        <v>6.5</v>
      </c>
      <c r="L280" s="2">
        <v>9.9</v>
      </c>
      <c r="M280" s="1">
        <v>3.3</v>
      </c>
      <c r="N280" s="1">
        <v>2.4</v>
      </c>
      <c r="O280" s="1">
        <v>0.65</v>
      </c>
      <c r="P280" s="1">
        <v>3.3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/>
      <c r="W280" s="1" t="s">
        <v>2651</v>
      </c>
    </row>
    <row r="281" spans="1:23" ht="13.2">
      <c r="A281" s="1">
        <v>280</v>
      </c>
      <c r="B281" s="1" t="s">
        <v>2652</v>
      </c>
      <c r="C281" s="1" t="s">
        <v>2020</v>
      </c>
      <c r="D281" s="1">
        <v>42.7</v>
      </c>
      <c r="E281" s="1">
        <v>2.65</v>
      </c>
      <c r="F281" s="1">
        <v>12</v>
      </c>
      <c r="G281" s="1">
        <v>0</v>
      </c>
      <c r="H281" s="1">
        <v>12.7</v>
      </c>
      <c r="I281" s="2">
        <v>0</v>
      </c>
      <c r="J281" s="1">
        <v>0.19</v>
      </c>
      <c r="K281" s="2">
        <v>13.1</v>
      </c>
      <c r="L281" s="2">
        <v>10.4</v>
      </c>
      <c r="M281" s="1">
        <v>3.44</v>
      </c>
      <c r="N281" s="1">
        <v>0.8</v>
      </c>
      <c r="O281" s="1">
        <v>0.79</v>
      </c>
      <c r="P281" s="1">
        <v>1.9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/>
      <c r="W281" s="1" t="s">
        <v>2653</v>
      </c>
    </row>
    <row r="282" spans="1:23" ht="13.2">
      <c r="A282" s="1">
        <v>281</v>
      </c>
      <c r="B282" s="1" t="s">
        <v>2654</v>
      </c>
      <c r="C282" s="1" t="s">
        <v>2020</v>
      </c>
      <c r="D282" s="1">
        <v>43.7</v>
      </c>
      <c r="E282" s="1">
        <v>2.5</v>
      </c>
      <c r="F282" s="1">
        <v>13.7</v>
      </c>
      <c r="G282" s="1">
        <v>0</v>
      </c>
      <c r="H282" s="1">
        <v>12.3</v>
      </c>
      <c r="I282" s="2">
        <v>0</v>
      </c>
      <c r="J282" s="1">
        <v>0.19</v>
      </c>
      <c r="K282" s="2">
        <v>10.3</v>
      </c>
      <c r="L282" s="2">
        <v>10.1</v>
      </c>
      <c r="M282" s="1">
        <v>3.48</v>
      </c>
      <c r="N282" s="1">
        <v>2.27</v>
      </c>
      <c r="O282" s="1">
        <v>0.76</v>
      </c>
      <c r="P282" s="1">
        <v>1.6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/>
      <c r="W282" s="1" t="s">
        <v>2655</v>
      </c>
    </row>
    <row r="283" spans="1:23" ht="13.2">
      <c r="A283" s="1">
        <v>282</v>
      </c>
      <c r="B283" s="1" t="s">
        <v>2656</v>
      </c>
      <c r="C283" s="1" t="s">
        <v>2020</v>
      </c>
      <c r="D283" s="1">
        <v>44.7</v>
      </c>
      <c r="E283" s="1">
        <v>2.7</v>
      </c>
      <c r="F283" s="1">
        <v>12.6</v>
      </c>
      <c r="G283" s="1">
        <v>0</v>
      </c>
      <c r="H283" s="1">
        <v>12.3</v>
      </c>
      <c r="I283" s="2">
        <v>0</v>
      </c>
      <c r="J283" s="1">
        <v>0.15</v>
      </c>
      <c r="K283" s="2">
        <v>11.4</v>
      </c>
      <c r="L283" s="2">
        <v>12.4</v>
      </c>
      <c r="M283" s="1">
        <v>2.34</v>
      </c>
      <c r="N283" s="1">
        <v>0.9</v>
      </c>
      <c r="O283" s="1">
        <v>0.31</v>
      </c>
      <c r="P283" s="1">
        <v>1.3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/>
      <c r="W283" s="1" t="s">
        <v>2657</v>
      </c>
    </row>
    <row r="284" spans="1:23" ht="13.2">
      <c r="A284" s="1">
        <v>283</v>
      </c>
      <c r="B284" s="1" t="s">
        <v>2658</v>
      </c>
      <c r="C284" s="1" t="s">
        <v>2020</v>
      </c>
      <c r="D284" s="1">
        <v>43.3</v>
      </c>
      <c r="E284" s="1">
        <v>2.65</v>
      </c>
      <c r="F284" s="1">
        <v>12.1</v>
      </c>
      <c r="G284" s="1">
        <v>0</v>
      </c>
      <c r="H284" s="1">
        <v>13</v>
      </c>
      <c r="I284" s="2">
        <v>0</v>
      </c>
      <c r="J284" s="1">
        <v>0.22</v>
      </c>
      <c r="K284" s="2">
        <v>12.9</v>
      </c>
      <c r="L284" s="2">
        <v>9.5</v>
      </c>
      <c r="M284" s="1">
        <v>3.94</v>
      </c>
      <c r="N284" s="1">
        <v>0.83</v>
      </c>
      <c r="O284" s="1">
        <v>0.87</v>
      </c>
      <c r="P284" s="1">
        <v>1.4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/>
      <c r="W284" s="1" t="s">
        <v>2659</v>
      </c>
    </row>
    <row r="285" spans="1:23" ht="26.4">
      <c r="A285" s="1">
        <v>284</v>
      </c>
      <c r="B285" s="1" t="s">
        <v>2660</v>
      </c>
      <c r="C285" s="1" t="s">
        <v>2661</v>
      </c>
      <c r="D285" s="1">
        <v>47.73</v>
      </c>
      <c r="E285" s="1">
        <v>0.03</v>
      </c>
      <c r="F285" s="1">
        <v>0.25</v>
      </c>
      <c r="G285" s="1">
        <v>0</v>
      </c>
      <c r="H285" s="1">
        <v>0</v>
      </c>
      <c r="I285" s="2">
        <v>23.78</v>
      </c>
      <c r="J285" s="1">
        <v>5.42</v>
      </c>
      <c r="K285" s="2">
        <v>0.27</v>
      </c>
      <c r="L285" s="2">
        <v>21.67</v>
      </c>
      <c r="M285" s="1">
        <v>0.03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 t="s">
        <v>2662</v>
      </c>
      <c r="W285" s="1" t="s">
        <v>2663</v>
      </c>
    </row>
    <row r="286" spans="1:23" ht="13.2">
      <c r="A286" s="1">
        <v>285</v>
      </c>
      <c r="B286" s="1" t="s">
        <v>2664</v>
      </c>
      <c r="C286" s="1" t="s">
        <v>2665</v>
      </c>
      <c r="D286" s="1">
        <v>48.24</v>
      </c>
      <c r="E286" s="1">
        <v>0</v>
      </c>
      <c r="F286" s="1">
        <v>0.09</v>
      </c>
      <c r="G286" s="1">
        <v>0.03</v>
      </c>
      <c r="H286" s="1">
        <v>0</v>
      </c>
      <c r="I286" s="2">
        <v>23.17</v>
      </c>
      <c r="J286" s="1">
        <v>5.43</v>
      </c>
      <c r="K286" s="2">
        <v>0.1</v>
      </c>
      <c r="L286" s="2">
        <v>22.24</v>
      </c>
      <c r="M286" s="1">
        <v>0.01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 t="s">
        <v>2666</v>
      </c>
      <c r="W286" s="1" t="s">
        <v>2667</v>
      </c>
    </row>
    <row r="287" spans="1:23" ht="13.2">
      <c r="A287" s="1">
        <v>286</v>
      </c>
      <c r="B287" s="1" t="s">
        <v>2668</v>
      </c>
      <c r="C287" s="1" t="s">
        <v>2665</v>
      </c>
      <c r="D287" s="1">
        <v>47.79</v>
      </c>
      <c r="E287" s="1">
        <v>0.02</v>
      </c>
      <c r="F287" s="1">
        <v>0.5</v>
      </c>
      <c r="G287" s="1">
        <v>0</v>
      </c>
      <c r="H287" s="1">
        <v>0</v>
      </c>
      <c r="I287" s="2">
        <v>23.72</v>
      </c>
      <c r="J287" s="1">
        <v>3.9</v>
      </c>
      <c r="K287" s="2">
        <v>0.72</v>
      </c>
      <c r="L287" s="2">
        <v>22.28</v>
      </c>
      <c r="M287" s="1">
        <v>0.1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 t="s">
        <v>2666</v>
      </c>
      <c r="W287" s="1" t="s">
        <v>2669</v>
      </c>
    </row>
    <row r="288" spans="1:23" ht="26.4">
      <c r="A288" s="1">
        <v>287</v>
      </c>
      <c r="B288" s="1" t="s">
        <v>2660</v>
      </c>
      <c r="C288" s="1" t="s">
        <v>2670</v>
      </c>
      <c r="D288" s="1">
        <v>50.46</v>
      </c>
      <c r="E288" s="1">
        <v>0.57999999999999996</v>
      </c>
      <c r="F288" s="1">
        <v>1.41</v>
      </c>
      <c r="G288" s="1">
        <v>0</v>
      </c>
      <c r="H288" s="1">
        <v>0.12</v>
      </c>
      <c r="I288" s="2">
        <v>23.17</v>
      </c>
      <c r="J288" s="1">
        <v>0.54</v>
      </c>
      <c r="K288" s="2">
        <v>16.100000000000001</v>
      </c>
      <c r="L288" s="2">
        <v>7.05</v>
      </c>
      <c r="M288" s="1">
        <v>0.26</v>
      </c>
      <c r="N288" s="1">
        <v>0.03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 t="s">
        <v>2671</v>
      </c>
      <c r="W288" s="1" t="s">
        <v>2672</v>
      </c>
    </row>
    <row r="289" spans="1:23" ht="13.2">
      <c r="A289" s="1">
        <v>288</v>
      </c>
      <c r="B289" s="1" t="s">
        <v>2673</v>
      </c>
      <c r="C289" s="1" t="s">
        <v>49</v>
      </c>
      <c r="D289" s="1">
        <v>52.35</v>
      </c>
      <c r="E289" s="1">
        <v>0.18</v>
      </c>
      <c r="F289" s="1">
        <v>3.63</v>
      </c>
      <c r="G289" s="1">
        <v>0.05</v>
      </c>
      <c r="H289" s="1">
        <v>0</v>
      </c>
      <c r="I289" s="2">
        <v>18.72</v>
      </c>
      <c r="J289" s="1">
        <v>0.37</v>
      </c>
      <c r="K289" s="2">
        <v>25.33</v>
      </c>
      <c r="L289" s="2">
        <v>0.49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 t="s">
        <v>2674</v>
      </c>
      <c r="W289" s="1" t="s">
        <v>2675</v>
      </c>
    </row>
    <row r="290" spans="1:23" ht="26.4">
      <c r="A290" s="1">
        <v>289</v>
      </c>
      <c r="B290" s="1" t="s">
        <v>2676</v>
      </c>
      <c r="C290" s="1" t="s">
        <v>2677</v>
      </c>
      <c r="D290" s="1">
        <v>53.85</v>
      </c>
      <c r="E290" s="1">
        <v>0.04</v>
      </c>
      <c r="F290" s="1">
        <v>0.66</v>
      </c>
      <c r="G290" s="1">
        <v>0.04</v>
      </c>
      <c r="H290" s="1">
        <v>0</v>
      </c>
      <c r="I290" s="2">
        <v>6.55</v>
      </c>
      <c r="J290" s="1">
        <v>0.05</v>
      </c>
      <c r="K290" s="2">
        <v>14.92</v>
      </c>
      <c r="L290" s="2">
        <v>23.5</v>
      </c>
      <c r="M290" s="1">
        <v>1.1000000000000001</v>
      </c>
      <c r="N290" s="1">
        <v>0.03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 t="s">
        <v>2678</v>
      </c>
      <c r="W290" s="1" t="s">
        <v>2679</v>
      </c>
    </row>
    <row r="291" spans="1:23" ht="13.2">
      <c r="A291" s="1">
        <v>290</v>
      </c>
      <c r="B291" s="1" t="s">
        <v>2680</v>
      </c>
      <c r="C291" s="1" t="s">
        <v>49</v>
      </c>
      <c r="D291" s="1">
        <v>49.68</v>
      </c>
      <c r="E291" s="1">
        <v>0.09</v>
      </c>
      <c r="F291" s="1">
        <v>1.59</v>
      </c>
      <c r="G291" s="1">
        <v>0.03</v>
      </c>
      <c r="H291" s="1">
        <v>0</v>
      </c>
      <c r="I291" s="2">
        <v>30.34</v>
      </c>
      <c r="J291" s="1">
        <v>1.01</v>
      </c>
      <c r="K291" s="2">
        <v>16.07</v>
      </c>
      <c r="L291" s="2">
        <v>0.7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 t="s">
        <v>2681</v>
      </c>
      <c r="W291" s="1" t="s">
        <v>2682</v>
      </c>
    </row>
    <row r="292" spans="1:23" ht="13.2">
      <c r="A292" s="1">
        <v>291</v>
      </c>
      <c r="B292" s="1" t="s">
        <v>2683</v>
      </c>
      <c r="C292" s="1" t="s">
        <v>49</v>
      </c>
      <c r="D292" s="1">
        <v>50.21</v>
      </c>
      <c r="E292" s="1">
        <v>0.2</v>
      </c>
      <c r="F292" s="1">
        <v>1.82</v>
      </c>
      <c r="G292" s="1">
        <v>0</v>
      </c>
      <c r="H292" s="1">
        <v>1.04</v>
      </c>
      <c r="I292" s="2">
        <v>22.9</v>
      </c>
      <c r="J292" s="1">
        <v>7.32</v>
      </c>
      <c r="K292" s="2">
        <v>16.03</v>
      </c>
      <c r="L292" s="2">
        <v>1.04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 t="s">
        <v>2684</v>
      </c>
      <c r="W292" s="1" t="s">
        <v>2685</v>
      </c>
    </row>
    <row r="293" spans="1:23" ht="13.2">
      <c r="A293" s="1">
        <v>292</v>
      </c>
      <c r="B293" s="1" t="s">
        <v>2686</v>
      </c>
      <c r="C293" s="1" t="s">
        <v>49</v>
      </c>
      <c r="D293" s="1">
        <v>52.03</v>
      </c>
      <c r="E293" s="1">
        <v>0.26</v>
      </c>
      <c r="F293" s="1">
        <v>1.3</v>
      </c>
      <c r="G293" s="1">
        <v>0</v>
      </c>
      <c r="H293" s="1">
        <v>1.55</v>
      </c>
      <c r="I293" s="2">
        <v>22</v>
      </c>
      <c r="J293" s="1">
        <v>0.83</v>
      </c>
      <c r="K293" s="2">
        <v>21.59</v>
      </c>
      <c r="L293" s="2">
        <v>0.84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 t="s">
        <v>2684</v>
      </c>
      <c r="W293" s="1" t="s">
        <v>2687</v>
      </c>
    </row>
    <row r="294" spans="1:23" ht="26.4">
      <c r="A294" s="1">
        <v>293</v>
      </c>
      <c r="B294" s="1" t="s">
        <v>2688</v>
      </c>
      <c r="C294" s="1" t="s">
        <v>50</v>
      </c>
      <c r="D294" s="1">
        <v>41.89</v>
      </c>
      <c r="E294" s="1">
        <v>3.42</v>
      </c>
      <c r="F294" s="1">
        <v>8.81</v>
      </c>
      <c r="G294" s="1">
        <v>0</v>
      </c>
      <c r="H294" s="1">
        <v>10.31</v>
      </c>
      <c r="I294" s="2">
        <v>0.69</v>
      </c>
      <c r="J294" s="1">
        <v>0.12</v>
      </c>
      <c r="K294" s="2">
        <v>11.63</v>
      </c>
      <c r="L294" s="2">
        <v>21.35</v>
      </c>
      <c r="M294" s="1">
        <v>1.1100000000000001</v>
      </c>
      <c r="N294" s="1">
        <v>0.01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 t="s">
        <v>2684</v>
      </c>
      <c r="W294" s="1" t="s">
        <v>2689</v>
      </c>
    </row>
    <row r="295" spans="1:23" ht="26.4">
      <c r="A295" s="1">
        <v>294</v>
      </c>
      <c r="B295" s="1" t="s">
        <v>2690</v>
      </c>
      <c r="C295" s="1" t="s">
        <v>2691</v>
      </c>
      <c r="D295" s="1">
        <v>38.14</v>
      </c>
      <c r="E295" s="1">
        <v>13.41</v>
      </c>
      <c r="F295" s="1">
        <v>8.6199999999999992</v>
      </c>
      <c r="G295" s="1">
        <v>0.41</v>
      </c>
      <c r="H295" s="1">
        <v>0</v>
      </c>
      <c r="I295" s="2">
        <v>19.2</v>
      </c>
      <c r="J295" s="1">
        <v>0.26</v>
      </c>
      <c r="K295" s="2">
        <v>9.0399999999999991</v>
      </c>
      <c r="L295" s="2">
        <v>10.77</v>
      </c>
      <c r="M295" s="1">
        <v>0.31</v>
      </c>
      <c r="N295" s="1">
        <v>0.06</v>
      </c>
      <c r="O295" s="1">
        <v>0.08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 t="s">
        <v>2692</v>
      </c>
      <c r="W295" s="1" t="s">
        <v>2693</v>
      </c>
    </row>
    <row r="296" spans="1:23" ht="13.2">
      <c r="A296" s="1">
        <v>295</v>
      </c>
      <c r="B296" s="1" t="s">
        <v>2694</v>
      </c>
      <c r="C296" s="1" t="s">
        <v>2020</v>
      </c>
      <c r="D296" s="1">
        <v>44.71</v>
      </c>
      <c r="E296" s="1">
        <v>1.9</v>
      </c>
      <c r="F296" s="1">
        <v>19.690000000000001</v>
      </c>
      <c r="G296" s="1">
        <v>0.24</v>
      </c>
      <c r="H296" s="1">
        <v>0</v>
      </c>
      <c r="I296" s="2">
        <v>8.86</v>
      </c>
      <c r="J296" s="1">
        <v>0.11</v>
      </c>
      <c r="K296" s="2">
        <v>10.95</v>
      </c>
      <c r="L296" s="2">
        <v>12.9</v>
      </c>
      <c r="M296" s="1">
        <v>0.4</v>
      </c>
      <c r="N296" s="1">
        <v>0.16</v>
      </c>
      <c r="O296" s="1">
        <v>0.14000000000000001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 t="s">
        <v>2695</v>
      </c>
      <c r="W296" s="1" t="s">
        <v>2696</v>
      </c>
    </row>
    <row r="297" spans="1:23" ht="13.2">
      <c r="A297" s="1">
        <v>296</v>
      </c>
      <c r="B297" s="1" t="s">
        <v>2697</v>
      </c>
      <c r="C297" s="1" t="s">
        <v>2020</v>
      </c>
      <c r="D297" s="1">
        <v>42.9</v>
      </c>
      <c r="E297" s="1">
        <v>0.05</v>
      </c>
      <c r="F297" s="1">
        <v>20.7</v>
      </c>
      <c r="G297" s="1">
        <v>0.1</v>
      </c>
      <c r="H297" s="1">
        <v>0</v>
      </c>
      <c r="I297" s="2">
        <v>5</v>
      </c>
      <c r="J297" s="1">
        <v>7.0000000000000007E-2</v>
      </c>
      <c r="K297" s="2">
        <v>19.100000000000001</v>
      </c>
      <c r="L297" s="2">
        <v>11.4</v>
      </c>
      <c r="M297" s="1">
        <v>0.2</v>
      </c>
      <c r="N297" s="1">
        <v>0.03</v>
      </c>
      <c r="O297" s="1">
        <v>0.03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 t="s">
        <v>2698</v>
      </c>
      <c r="W297" s="1" t="s">
        <v>2699</v>
      </c>
    </row>
    <row r="298" spans="1:23" ht="13.2">
      <c r="A298" s="1">
        <v>297</v>
      </c>
      <c r="B298" s="1" t="s">
        <v>2700</v>
      </c>
      <c r="C298" s="1" t="s">
        <v>2020</v>
      </c>
      <c r="D298" s="1">
        <v>44.8</v>
      </c>
      <c r="E298" s="1">
        <v>0.3</v>
      </c>
      <c r="F298" s="1">
        <v>27.6</v>
      </c>
      <c r="G298" s="1">
        <v>0.1</v>
      </c>
      <c r="H298" s="1">
        <v>0</v>
      </c>
      <c r="I298" s="2">
        <v>4.1500000000000004</v>
      </c>
      <c r="J298" s="1">
        <v>0.05</v>
      </c>
      <c r="K298" s="2">
        <v>5.84</v>
      </c>
      <c r="L298" s="2">
        <v>16.3</v>
      </c>
      <c r="M298" s="1">
        <v>0.55000000000000004</v>
      </c>
      <c r="N298" s="1">
        <v>0.11</v>
      </c>
      <c r="O298" s="1">
        <v>0</v>
      </c>
      <c r="P298" s="1">
        <v>0</v>
      </c>
      <c r="Q298" s="1">
        <v>0</v>
      </c>
      <c r="R298" s="1">
        <v>0</v>
      </c>
      <c r="S298" s="1">
        <v>18.8</v>
      </c>
      <c r="T298" s="1">
        <v>2.2999999999999998</v>
      </c>
      <c r="U298" s="1">
        <v>0</v>
      </c>
      <c r="V298" s="1" t="s">
        <v>2701</v>
      </c>
      <c r="W298" s="1" t="s">
        <v>2702</v>
      </c>
    </row>
    <row r="299" spans="1:23" ht="13.2">
      <c r="A299" s="1">
        <v>298</v>
      </c>
      <c r="B299" s="1" t="s">
        <v>2703</v>
      </c>
      <c r="C299" s="1" t="s">
        <v>2020</v>
      </c>
      <c r="D299" s="1">
        <v>44.51</v>
      </c>
      <c r="E299" s="1">
        <v>2.56</v>
      </c>
      <c r="F299" s="1">
        <v>19.36</v>
      </c>
      <c r="G299" s="1">
        <v>0.27</v>
      </c>
      <c r="H299" s="1">
        <v>0</v>
      </c>
      <c r="I299" s="2">
        <v>10.24</v>
      </c>
      <c r="J299" s="1">
        <v>0.13</v>
      </c>
      <c r="K299" s="2">
        <v>9.93</v>
      </c>
      <c r="L299" s="2">
        <v>12.44</v>
      </c>
      <c r="M299" s="1">
        <v>0.4</v>
      </c>
      <c r="N299" s="1">
        <v>0.13</v>
      </c>
      <c r="O299" s="1">
        <v>0.14000000000000001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 t="s">
        <v>2704</v>
      </c>
      <c r="W299" s="1" t="s">
        <v>2705</v>
      </c>
    </row>
    <row r="300" spans="1:23" ht="13.2">
      <c r="A300" s="1">
        <v>299</v>
      </c>
      <c r="B300" s="1" t="s">
        <v>2706</v>
      </c>
      <c r="C300" s="1" t="s">
        <v>2020</v>
      </c>
      <c r="D300" s="1">
        <v>38.799999999999997</v>
      </c>
      <c r="E300" s="1">
        <v>8.8000000000000007</v>
      </c>
      <c r="F300" s="1">
        <v>6.4</v>
      </c>
      <c r="G300" s="1">
        <v>0.7</v>
      </c>
      <c r="H300" s="1">
        <v>0</v>
      </c>
      <c r="I300" s="2">
        <v>22.2</v>
      </c>
      <c r="J300" s="1">
        <v>0.3</v>
      </c>
      <c r="K300" s="2">
        <v>17.399999999999999</v>
      </c>
      <c r="L300" s="2">
        <v>7.7</v>
      </c>
      <c r="M300" s="1">
        <v>0.4</v>
      </c>
      <c r="N300" s="1">
        <v>0.08</v>
      </c>
      <c r="O300" s="1">
        <v>0.04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 t="s">
        <v>2707</v>
      </c>
      <c r="W300" s="1" t="s">
        <v>2708</v>
      </c>
    </row>
    <row r="301" spans="1:23" ht="13.2">
      <c r="A301" s="1">
        <v>300</v>
      </c>
      <c r="B301" s="1" t="s">
        <v>2709</v>
      </c>
      <c r="C301" s="1" t="s">
        <v>2020</v>
      </c>
      <c r="D301" s="1">
        <v>39.020000000000003</v>
      </c>
      <c r="E301" s="1">
        <v>12.28</v>
      </c>
      <c r="F301" s="1">
        <v>8.91</v>
      </c>
      <c r="G301" s="1">
        <v>1.47</v>
      </c>
      <c r="H301" s="1">
        <v>0</v>
      </c>
      <c r="I301" s="2">
        <v>18.93</v>
      </c>
      <c r="J301" s="1">
        <v>0.27</v>
      </c>
      <c r="K301" s="2">
        <v>8.9</v>
      </c>
      <c r="L301" s="2">
        <v>10.78</v>
      </c>
      <c r="M301" s="1">
        <v>0.38</v>
      </c>
      <c r="N301" s="1">
        <v>0.08</v>
      </c>
      <c r="O301" s="1">
        <v>0.05</v>
      </c>
      <c r="P301" s="1">
        <v>0</v>
      </c>
      <c r="Q301" s="1">
        <v>0</v>
      </c>
      <c r="R301" s="1">
        <v>1</v>
      </c>
      <c r="S301" s="1">
        <v>19.100000000000001</v>
      </c>
      <c r="T301" s="1">
        <v>3.7</v>
      </c>
      <c r="U301" s="1">
        <v>0</v>
      </c>
      <c r="V301" s="1" t="s">
        <v>2710</v>
      </c>
      <c r="W301" s="1" t="s">
        <v>2711</v>
      </c>
    </row>
    <row r="302" spans="1:23" ht="13.2">
      <c r="A302" s="1">
        <v>301</v>
      </c>
      <c r="B302" s="1" t="s">
        <v>2712</v>
      </c>
      <c r="C302" s="1" t="s">
        <v>2020</v>
      </c>
      <c r="D302" s="1">
        <v>40.78</v>
      </c>
      <c r="E302" s="1">
        <v>8.61</v>
      </c>
      <c r="F302" s="1">
        <v>12.54</v>
      </c>
      <c r="G302" s="1">
        <v>0.41</v>
      </c>
      <c r="H302" s="1">
        <v>0</v>
      </c>
      <c r="I302" s="2">
        <v>15.84</v>
      </c>
      <c r="J302" s="1">
        <v>0.24</v>
      </c>
      <c r="K302" s="2">
        <v>9.15</v>
      </c>
      <c r="L302" s="2">
        <v>11.36</v>
      </c>
      <c r="M302" s="1">
        <v>0.38</v>
      </c>
      <c r="N302" s="1">
        <v>0.12</v>
      </c>
      <c r="O302" s="1">
        <v>0.09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 t="s">
        <v>2713</v>
      </c>
      <c r="W302" s="1" t="s">
        <v>2714</v>
      </c>
    </row>
    <row r="303" spans="1:23" ht="13.2">
      <c r="A303" s="1">
        <v>302</v>
      </c>
      <c r="B303" s="1" t="s">
        <v>2715</v>
      </c>
      <c r="C303" s="1" t="s">
        <v>2020</v>
      </c>
      <c r="D303" s="1">
        <v>38.43</v>
      </c>
      <c r="E303" s="1">
        <v>12.7</v>
      </c>
      <c r="F303" s="1">
        <v>8.7200000000000006</v>
      </c>
      <c r="G303" s="1">
        <v>0.65</v>
      </c>
      <c r="H303" s="1">
        <v>0</v>
      </c>
      <c r="I303" s="2">
        <v>18.14</v>
      </c>
      <c r="J303" s="1">
        <v>0.26</v>
      </c>
      <c r="K303" s="2">
        <v>10.36</v>
      </c>
      <c r="L303" s="2">
        <v>10.32</v>
      </c>
      <c r="M303" s="1">
        <v>0.35</v>
      </c>
      <c r="N303" s="1">
        <v>7.0000000000000007E-2</v>
      </c>
      <c r="O303" s="1">
        <v>0.06</v>
      </c>
      <c r="P303" s="1">
        <v>0</v>
      </c>
      <c r="Q303" s="1">
        <v>0</v>
      </c>
      <c r="R303" s="1">
        <v>0</v>
      </c>
      <c r="S303" s="1">
        <v>23.5</v>
      </c>
      <c r="T303" s="1">
        <v>0</v>
      </c>
      <c r="U303" s="1">
        <v>0</v>
      </c>
      <c r="V303" s="1" t="s">
        <v>2716</v>
      </c>
      <c r="W303" s="1" t="s">
        <v>2335</v>
      </c>
    </row>
    <row r="304" spans="1:23" ht="13.2">
      <c r="A304" s="1">
        <v>303</v>
      </c>
      <c r="B304" s="1" t="s">
        <v>2717</v>
      </c>
      <c r="C304" s="1" t="s">
        <v>2020</v>
      </c>
      <c r="D304" s="1">
        <v>40.6</v>
      </c>
      <c r="E304" s="1">
        <v>10.79</v>
      </c>
      <c r="F304" s="1">
        <v>9.67</v>
      </c>
      <c r="G304" s="1">
        <v>0.27</v>
      </c>
      <c r="H304" s="1">
        <v>0</v>
      </c>
      <c r="I304" s="2">
        <v>18.010000000000002</v>
      </c>
      <c r="J304" s="1">
        <v>0.28999999999999998</v>
      </c>
      <c r="K304" s="2">
        <v>7.05</v>
      </c>
      <c r="L304" s="2">
        <v>12.35</v>
      </c>
      <c r="M304" s="1">
        <v>0.43</v>
      </c>
      <c r="N304" s="1">
        <v>0.08</v>
      </c>
      <c r="O304" s="1">
        <v>0.06</v>
      </c>
      <c r="P304" s="1">
        <v>0</v>
      </c>
      <c r="Q304" s="1">
        <v>0</v>
      </c>
      <c r="R304" s="1">
        <v>0</v>
      </c>
      <c r="S304" s="1">
        <v>14.5</v>
      </c>
      <c r="T304" s="1">
        <v>0</v>
      </c>
      <c r="U304" s="1">
        <v>0</v>
      </c>
      <c r="V304" s="1" t="s">
        <v>2718</v>
      </c>
      <c r="W304" s="1" t="s">
        <v>2719</v>
      </c>
    </row>
    <row r="305" spans="1:23" ht="13.2">
      <c r="A305" s="1">
        <v>304</v>
      </c>
      <c r="B305" s="1" t="s">
        <v>2720</v>
      </c>
      <c r="C305" s="1" t="s">
        <v>2020</v>
      </c>
      <c r="D305" s="1">
        <v>46.21</v>
      </c>
      <c r="E305" s="1">
        <v>1.5</v>
      </c>
      <c r="F305" s="1">
        <v>18.14</v>
      </c>
      <c r="G305" s="1">
        <v>0.2</v>
      </c>
      <c r="H305" s="1">
        <v>0</v>
      </c>
      <c r="I305" s="2">
        <v>8.9499999999999993</v>
      </c>
      <c r="J305" s="1">
        <v>0.12</v>
      </c>
      <c r="K305" s="2">
        <v>12.02</v>
      </c>
      <c r="L305" s="2">
        <v>11.32</v>
      </c>
      <c r="M305" s="1">
        <v>0.6</v>
      </c>
      <c r="N305" s="1">
        <v>0.26</v>
      </c>
      <c r="O305" s="1">
        <v>0.28999999999999998</v>
      </c>
      <c r="P305" s="1">
        <v>0</v>
      </c>
      <c r="Q305" s="1">
        <v>0</v>
      </c>
      <c r="R305" s="1">
        <v>0</v>
      </c>
      <c r="S305" s="1">
        <v>0</v>
      </c>
      <c r="T305" s="1">
        <v>3.1</v>
      </c>
      <c r="U305" s="1">
        <v>0</v>
      </c>
      <c r="V305" s="1" t="s">
        <v>2721</v>
      </c>
      <c r="W305" s="1" t="s">
        <v>2722</v>
      </c>
    </row>
    <row r="306" spans="1:23" ht="26.4">
      <c r="A306" s="1">
        <v>305</v>
      </c>
      <c r="B306" s="1" t="s">
        <v>2723</v>
      </c>
      <c r="C306" s="1" t="s">
        <v>2020</v>
      </c>
      <c r="D306" s="1">
        <v>44.09</v>
      </c>
      <c r="E306" s="1">
        <v>0.41</v>
      </c>
      <c r="F306" s="1">
        <v>26.59</v>
      </c>
      <c r="G306" s="1">
        <v>0.13</v>
      </c>
      <c r="H306" s="1">
        <v>0</v>
      </c>
      <c r="I306" s="2">
        <v>6.19</v>
      </c>
      <c r="J306" s="1">
        <v>0.08</v>
      </c>
      <c r="K306" s="2">
        <v>0</v>
      </c>
      <c r="L306" s="2">
        <v>15.43</v>
      </c>
      <c r="M306" s="1">
        <v>0.3</v>
      </c>
      <c r="N306" s="1">
        <v>0.06</v>
      </c>
      <c r="O306" s="1">
        <v>0.03</v>
      </c>
      <c r="P306" s="1">
        <v>0</v>
      </c>
      <c r="Q306" s="1">
        <v>0</v>
      </c>
      <c r="R306" s="1">
        <v>0</v>
      </c>
      <c r="S306" s="1">
        <v>0</v>
      </c>
      <c r="T306" s="1">
        <v>2.5</v>
      </c>
      <c r="U306" s="1">
        <v>0</v>
      </c>
      <c r="V306" s="1" t="s">
        <v>2724</v>
      </c>
      <c r="W306" s="1" t="s">
        <v>2725</v>
      </c>
    </row>
    <row r="307" spans="1:23" ht="13.2">
      <c r="A307" s="1">
        <v>306</v>
      </c>
      <c r="B307" s="1" t="s">
        <v>2726</v>
      </c>
      <c r="C307" s="1" t="s">
        <v>2020</v>
      </c>
      <c r="D307" s="1">
        <v>41.72</v>
      </c>
      <c r="E307" s="1">
        <v>7.99</v>
      </c>
      <c r="F307" s="1">
        <v>12.26</v>
      </c>
      <c r="G307" s="1">
        <v>0.41</v>
      </c>
      <c r="H307" s="1">
        <v>0</v>
      </c>
      <c r="I307" s="2">
        <v>16.510000000000002</v>
      </c>
      <c r="J307" s="1">
        <v>0.22</v>
      </c>
      <c r="K307" s="2">
        <v>9.92</v>
      </c>
      <c r="L307" s="2">
        <v>11.19</v>
      </c>
      <c r="M307" s="1">
        <v>0.41</v>
      </c>
      <c r="N307" s="1">
        <v>0.08</v>
      </c>
      <c r="O307" s="1">
        <v>0.06</v>
      </c>
      <c r="P307" s="1">
        <v>0</v>
      </c>
      <c r="Q307" s="1">
        <v>11</v>
      </c>
      <c r="R307" s="1">
        <v>160</v>
      </c>
      <c r="S307" s="1">
        <v>29.6</v>
      </c>
      <c r="T307" s="1">
        <v>32</v>
      </c>
      <c r="U307" s="1">
        <v>0</v>
      </c>
      <c r="V307" s="1" t="s">
        <v>2727</v>
      </c>
      <c r="W307" s="1" t="s">
        <v>2728</v>
      </c>
    </row>
    <row r="308" spans="1:23" ht="13.2">
      <c r="A308" s="1">
        <v>307</v>
      </c>
      <c r="B308" s="1" t="s">
        <v>2729</v>
      </c>
      <c r="C308" s="1" t="s">
        <v>2020</v>
      </c>
      <c r="D308" s="1">
        <v>38.54</v>
      </c>
      <c r="E308" s="1">
        <v>12.99</v>
      </c>
      <c r="F308" s="1">
        <v>8.65</v>
      </c>
      <c r="G308" s="1">
        <v>0.5</v>
      </c>
      <c r="H308" s="1">
        <v>0</v>
      </c>
      <c r="I308" s="2">
        <v>18.25</v>
      </c>
      <c r="J308" s="1">
        <v>0.25</v>
      </c>
      <c r="K308" s="2">
        <v>9.98</v>
      </c>
      <c r="L308" s="2">
        <v>10.28</v>
      </c>
      <c r="M308" s="1">
        <v>0.39</v>
      </c>
      <c r="N308" s="1">
        <v>0.05</v>
      </c>
      <c r="O308" s="1">
        <v>0.05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 t="s">
        <v>2730</v>
      </c>
      <c r="W308" s="1" t="s">
        <v>2731</v>
      </c>
    </row>
    <row r="309" spans="1:23" ht="13.2">
      <c r="A309" s="1">
        <v>308</v>
      </c>
      <c r="B309" s="1" t="s">
        <v>2732</v>
      </c>
      <c r="C309" s="1" t="s">
        <v>2020</v>
      </c>
      <c r="D309" s="1">
        <v>37.79</v>
      </c>
      <c r="E309" s="1">
        <v>12.97</v>
      </c>
      <c r="F309" s="1">
        <v>8.85</v>
      </c>
      <c r="G309" s="1">
        <v>0.41</v>
      </c>
      <c r="H309" s="1">
        <v>0</v>
      </c>
      <c r="I309" s="2">
        <v>19.66</v>
      </c>
      <c r="J309" s="1">
        <v>0.27</v>
      </c>
      <c r="K309" s="2">
        <v>8.44</v>
      </c>
      <c r="L309" s="2">
        <v>10.74</v>
      </c>
      <c r="M309" s="1">
        <v>0.36</v>
      </c>
      <c r="N309" s="1">
        <v>0.05</v>
      </c>
      <c r="O309" s="1">
        <v>0.09</v>
      </c>
      <c r="P309" s="1">
        <v>0</v>
      </c>
      <c r="Q309" s="1">
        <v>6.39</v>
      </c>
      <c r="R309" s="1">
        <v>0</v>
      </c>
      <c r="S309" s="1">
        <v>21.3</v>
      </c>
      <c r="T309" s="1">
        <v>0</v>
      </c>
      <c r="U309" s="1">
        <v>0</v>
      </c>
      <c r="V309" s="1" t="s">
        <v>2733</v>
      </c>
      <c r="W309" s="1" t="s">
        <v>2734</v>
      </c>
    </row>
    <row r="310" spans="1:23" ht="13.2">
      <c r="A310" s="1">
        <v>309</v>
      </c>
      <c r="B310" s="1" t="s">
        <v>2735</v>
      </c>
      <c r="C310" s="1" t="s">
        <v>2020</v>
      </c>
      <c r="D310" s="1">
        <v>44.7</v>
      </c>
      <c r="E310" s="1">
        <v>0.28999999999999998</v>
      </c>
      <c r="F310" s="1">
        <v>30</v>
      </c>
      <c r="G310" s="1">
        <v>0.06</v>
      </c>
      <c r="H310" s="1">
        <v>0</v>
      </c>
      <c r="I310" s="2">
        <v>3.2</v>
      </c>
      <c r="J310" s="1">
        <v>0.04</v>
      </c>
      <c r="K310" s="2">
        <v>3.3</v>
      </c>
      <c r="L310" s="2">
        <v>17.600000000000001</v>
      </c>
      <c r="M310" s="1">
        <v>0.42</v>
      </c>
      <c r="N310" s="1">
        <v>0.08</v>
      </c>
      <c r="O310" s="1">
        <v>0.15</v>
      </c>
      <c r="P310" s="1">
        <v>0</v>
      </c>
      <c r="Q310" s="1">
        <v>3.6</v>
      </c>
      <c r="R310" s="1">
        <v>0</v>
      </c>
      <c r="S310" s="1">
        <v>0</v>
      </c>
      <c r="T310" s="1">
        <v>0.88</v>
      </c>
      <c r="U310" s="1">
        <v>0</v>
      </c>
      <c r="V310" s="1" t="s">
        <v>2736</v>
      </c>
      <c r="W310" s="1" t="s">
        <v>2737</v>
      </c>
    </row>
    <row r="311" spans="1:23" ht="13.2">
      <c r="A311" s="1">
        <v>310</v>
      </c>
      <c r="B311" s="1" t="s">
        <v>2738</v>
      </c>
      <c r="C311" s="1" t="s">
        <v>2020</v>
      </c>
      <c r="D311" s="1">
        <v>45.18</v>
      </c>
      <c r="E311" s="1">
        <v>0.57999999999999996</v>
      </c>
      <c r="F311" s="1">
        <v>26.65</v>
      </c>
      <c r="G311" s="1">
        <v>0</v>
      </c>
      <c r="H311" s="1">
        <v>0</v>
      </c>
      <c r="I311" s="2">
        <v>5.48</v>
      </c>
      <c r="J311" s="1">
        <v>7.0000000000000007E-2</v>
      </c>
      <c r="K311" s="2">
        <v>6.28</v>
      </c>
      <c r="L311" s="2">
        <v>15.35</v>
      </c>
      <c r="M311" s="1">
        <v>0.47</v>
      </c>
      <c r="N311" s="1">
        <v>0.11</v>
      </c>
      <c r="O311" s="1">
        <v>0.12</v>
      </c>
      <c r="P311" s="1">
        <v>0</v>
      </c>
      <c r="Q311" s="1">
        <v>0</v>
      </c>
      <c r="R311" s="1">
        <v>0</v>
      </c>
      <c r="S311" s="1">
        <v>34.700000000000003</v>
      </c>
      <c r="T311" s="1">
        <v>0</v>
      </c>
      <c r="U311" s="1">
        <v>0</v>
      </c>
      <c r="V311" s="1" t="s">
        <v>2739</v>
      </c>
      <c r="W311" s="1" t="s">
        <v>2740</v>
      </c>
    </row>
    <row r="312" spans="1:23" ht="13.2">
      <c r="A312" s="1">
        <v>311</v>
      </c>
      <c r="B312" s="1" t="s">
        <v>2738</v>
      </c>
      <c r="C312" s="1" t="s">
        <v>2020</v>
      </c>
      <c r="D312" s="1">
        <v>44.95</v>
      </c>
      <c r="E312" s="1">
        <v>0.41</v>
      </c>
      <c r="F312" s="1">
        <v>29.01</v>
      </c>
      <c r="G312" s="1">
        <v>0</v>
      </c>
      <c r="H312" s="1">
        <v>0</v>
      </c>
      <c r="I312" s="2">
        <v>4.66</v>
      </c>
      <c r="J312" s="1">
        <v>0.06</v>
      </c>
      <c r="K312" s="2">
        <v>4.2</v>
      </c>
      <c r="L312" s="2">
        <v>16.54</v>
      </c>
      <c r="M312" s="1">
        <v>0.42</v>
      </c>
      <c r="N312" s="1">
        <v>0.06</v>
      </c>
      <c r="O312" s="1">
        <v>0.13</v>
      </c>
      <c r="P312" s="1">
        <v>0</v>
      </c>
      <c r="Q312" s="1">
        <v>0</v>
      </c>
      <c r="R312" s="1">
        <v>0</v>
      </c>
      <c r="S312" s="1">
        <v>14.9</v>
      </c>
      <c r="T312" s="1">
        <v>0</v>
      </c>
      <c r="U312" s="1">
        <v>0</v>
      </c>
      <c r="V312" s="1" t="s">
        <v>2741</v>
      </c>
      <c r="W312" s="1" t="s">
        <v>2742</v>
      </c>
    </row>
    <row r="313" spans="1:23" ht="13.2">
      <c r="A313" s="1">
        <v>312</v>
      </c>
      <c r="B313" s="1" t="s">
        <v>2743</v>
      </c>
      <c r="C313" s="1" t="s">
        <v>2020</v>
      </c>
      <c r="D313" s="1">
        <v>43.48</v>
      </c>
      <c r="E313" s="1">
        <v>5</v>
      </c>
      <c r="F313" s="1">
        <v>9.27</v>
      </c>
      <c r="G313" s="1">
        <v>0.44</v>
      </c>
      <c r="H313" s="1">
        <v>0</v>
      </c>
      <c r="I313" s="2">
        <v>21.26</v>
      </c>
      <c r="J313" s="1">
        <v>0.28000000000000003</v>
      </c>
      <c r="K313" s="2">
        <v>9.56</v>
      </c>
      <c r="L313" s="2">
        <v>10.49</v>
      </c>
      <c r="M313" s="1">
        <v>0.31</v>
      </c>
      <c r="N313" s="1">
        <v>0.06</v>
      </c>
      <c r="O313" s="1">
        <v>0.14000000000000001</v>
      </c>
      <c r="P313" s="1">
        <v>0</v>
      </c>
      <c r="Q313" s="1">
        <v>0</v>
      </c>
      <c r="R313" s="1">
        <v>0</v>
      </c>
      <c r="S313" s="1">
        <v>43.4</v>
      </c>
      <c r="T313" s="1">
        <v>4.5</v>
      </c>
      <c r="U313" s="1">
        <v>0</v>
      </c>
      <c r="V313" s="1" t="s">
        <v>2744</v>
      </c>
      <c r="W313" s="1" t="s">
        <v>2745</v>
      </c>
    </row>
    <row r="314" spans="1:23" ht="13.2">
      <c r="A314" s="1">
        <v>313</v>
      </c>
      <c r="B314" s="1" t="s">
        <v>2746</v>
      </c>
      <c r="C314" s="1" t="s">
        <v>2020</v>
      </c>
      <c r="D314" s="1">
        <v>40.270000000000003</v>
      </c>
      <c r="E314" s="1">
        <v>9.41</v>
      </c>
      <c r="F314" s="1">
        <v>11.31</v>
      </c>
      <c r="G314" s="1">
        <v>0.46</v>
      </c>
      <c r="H314" s="1">
        <v>0</v>
      </c>
      <c r="I314" s="2">
        <v>17.2</v>
      </c>
      <c r="J314" s="1">
        <v>0.25</v>
      </c>
      <c r="K314" s="2">
        <v>9.59</v>
      </c>
      <c r="L314" s="2">
        <v>10.97</v>
      </c>
      <c r="M314" s="1">
        <v>0.33</v>
      </c>
      <c r="N314" s="1">
        <v>0.08</v>
      </c>
      <c r="O314" s="1">
        <v>7.0000000000000007E-2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 t="s">
        <v>2747</v>
      </c>
      <c r="W314" s="1" t="s">
        <v>2748</v>
      </c>
    </row>
    <row r="315" spans="1:23" ht="13.2">
      <c r="A315" s="1">
        <v>314</v>
      </c>
      <c r="B315" s="1" t="s">
        <v>2749</v>
      </c>
      <c r="C315" s="1" t="s">
        <v>2020</v>
      </c>
      <c r="D315" s="1">
        <v>39.799999999999997</v>
      </c>
      <c r="E315" s="1">
        <v>11.3</v>
      </c>
      <c r="F315" s="1">
        <v>10.7</v>
      </c>
      <c r="G315" s="1">
        <v>0.3</v>
      </c>
      <c r="H315" s="1">
        <v>0</v>
      </c>
      <c r="I315" s="2">
        <v>19.8</v>
      </c>
      <c r="J315" s="1">
        <v>0.3</v>
      </c>
      <c r="K315" s="2">
        <v>6.9</v>
      </c>
      <c r="L315" s="2">
        <v>11.1</v>
      </c>
      <c r="M315" s="1">
        <v>0.6</v>
      </c>
      <c r="N315" s="1">
        <v>0.06</v>
      </c>
      <c r="O315" s="1">
        <v>0.1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 t="s">
        <v>2750</v>
      </c>
      <c r="W315" s="1" t="s">
        <v>2751</v>
      </c>
    </row>
    <row r="316" spans="1:23" ht="13.2">
      <c r="A316" s="1">
        <v>315</v>
      </c>
      <c r="B316" s="1" t="s">
        <v>2752</v>
      </c>
      <c r="C316" s="1" t="s">
        <v>2020</v>
      </c>
      <c r="D316" s="1">
        <v>40.1</v>
      </c>
      <c r="E316" s="1">
        <v>12.2</v>
      </c>
      <c r="F316" s="1">
        <v>8.6</v>
      </c>
      <c r="G316" s="1">
        <v>0.37</v>
      </c>
      <c r="H316" s="1">
        <v>0</v>
      </c>
      <c r="I316" s="2">
        <v>18.899999999999999</v>
      </c>
      <c r="J316" s="1">
        <v>0.25</v>
      </c>
      <c r="K316" s="2">
        <v>7.74</v>
      </c>
      <c r="L316" s="2">
        <v>10.7</v>
      </c>
      <c r="M316" s="1">
        <v>0.46</v>
      </c>
      <c r="N316" s="1">
        <v>0.3</v>
      </c>
      <c r="O316" s="1">
        <v>0.2</v>
      </c>
      <c r="P316" s="1">
        <v>0</v>
      </c>
      <c r="Q316" s="1">
        <v>5.0999999999999996</v>
      </c>
      <c r="R316" s="1">
        <v>9.98</v>
      </c>
      <c r="S316" s="1">
        <v>0</v>
      </c>
      <c r="T316" s="1">
        <v>2.9</v>
      </c>
      <c r="U316" s="1">
        <v>0</v>
      </c>
      <c r="V316" s="1" t="s">
        <v>2753</v>
      </c>
      <c r="W316" s="1" t="s">
        <v>2754</v>
      </c>
    </row>
    <row r="317" spans="1:23" ht="13.2">
      <c r="A317" s="1">
        <v>316</v>
      </c>
      <c r="B317" s="1" t="s">
        <v>2755</v>
      </c>
      <c r="C317" s="1" t="s">
        <v>2020</v>
      </c>
      <c r="D317" s="1">
        <v>46.21</v>
      </c>
      <c r="E317" s="1">
        <v>3.32</v>
      </c>
      <c r="F317" s="1">
        <v>10.14</v>
      </c>
      <c r="G317" s="1">
        <v>0.49</v>
      </c>
      <c r="H317" s="1">
        <v>0</v>
      </c>
      <c r="I317" s="2">
        <v>19.77</v>
      </c>
      <c r="J317" s="1">
        <v>0.28000000000000003</v>
      </c>
      <c r="K317" s="2">
        <v>8.17</v>
      </c>
      <c r="L317" s="2">
        <v>11.01</v>
      </c>
      <c r="M317" s="1">
        <v>0.26</v>
      </c>
      <c r="N317" s="1">
        <v>0.06</v>
      </c>
      <c r="O317" s="1">
        <v>0.14000000000000001</v>
      </c>
      <c r="P317" s="1">
        <v>0</v>
      </c>
      <c r="Q317" s="1">
        <v>0</v>
      </c>
      <c r="R317" s="1">
        <v>9.9</v>
      </c>
      <c r="S317" s="1">
        <v>0</v>
      </c>
      <c r="T317" s="1">
        <v>1.2</v>
      </c>
      <c r="U317" s="1">
        <v>0</v>
      </c>
      <c r="V317" s="1" t="s">
        <v>2756</v>
      </c>
      <c r="W317" s="1" t="s">
        <v>2757</v>
      </c>
    </row>
    <row r="318" spans="1:23" ht="13.2">
      <c r="A318" s="1">
        <v>317</v>
      </c>
      <c r="B318" s="1" t="s">
        <v>2758</v>
      </c>
      <c r="C318" s="1" t="s">
        <v>2020</v>
      </c>
      <c r="D318" s="1">
        <v>0</v>
      </c>
      <c r="E318" s="1">
        <v>0</v>
      </c>
      <c r="F318" s="1">
        <v>26.5</v>
      </c>
      <c r="G318" s="1">
        <v>0</v>
      </c>
      <c r="H318" s="1">
        <v>0</v>
      </c>
      <c r="I318" s="2">
        <v>5.6</v>
      </c>
      <c r="J318" s="1">
        <v>0</v>
      </c>
      <c r="K318" s="2">
        <v>6.4</v>
      </c>
      <c r="L318" s="2">
        <v>14.5</v>
      </c>
      <c r="M318" s="1">
        <v>0.44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35.299999999999997</v>
      </c>
      <c r="T318" s="1">
        <v>0</v>
      </c>
      <c r="U318" s="1">
        <v>0</v>
      </c>
      <c r="V318" s="1" t="s">
        <v>2759</v>
      </c>
      <c r="W318" s="1" t="s">
        <v>2760</v>
      </c>
    </row>
    <row r="319" spans="1:23" ht="13.2">
      <c r="A319" s="1">
        <v>318</v>
      </c>
      <c r="B319" s="1" t="s">
        <v>2761</v>
      </c>
      <c r="C319" s="1" t="s">
        <v>2020</v>
      </c>
      <c r="D319" s="1">
        <v>0</v>
      </c>
      <c r="E319" s="1">
        <v>1.4</v>
      </c>
      <c r="F319" s="1">
        <v>16.100000000000001</v>
      </c>
      <c r="G319" s="1">
        <v>0.36</v>
      </c>
      <c r="H319" s="1">
        <v>0</v>
      </c>
      <c r="I319" s="2">
        <v>12.09</v>
      </c>
      <c r="J319" s="1">
        <v>0.16</v>
      </c>
      <c r="K319" s="2">
        <v>0</v>
      </c>
      <c r="L319" s="2">
        <v>11.89</v>
      </c>
      <c r="M319" s="1">
        <v>0.45</v>
      </c>
      <c r="N319" s="1">
        <v>0</v>
      </c>
      <c r="O319" s="1">
        <v>0</v>
      </c>
      <c r="P319" s="1">
        <v>0</v>
      </c>
      <c r="Q319" s="1">
        <v>0</v>
      </c>
      <c r="R319" s="1">
        <v>250</v>
      </c>
      <c r="S319" s="1">
        <v>42</v>
      </c>
      <c r="T319" s="1">
        <v>0</v>
      </c>
      <c r="U319" s="1">
        <v>0</v>
      </c>
      <c r="V319" s="1" t="s">
        <v>2762</v>
      </c>
      <c r="W319" s="1" t="s">
        <v>2763</v>
      </c>
    </row>
    <row r="320" spans="1:23" ht="26.4">
      <c r="A320" s="1">
        <v>319</v>
      </c>
      <c r="B320" s="1" t="s">
        <v>2764</v>
      </c>
      <c r="C320" s="1" t="s">
        <v>2020</v>
      </c>
      <c r="D320" s="1">
        <v>47.3</v>
      </c>
      <c r="E320" s="1">
        <v>1.8</v>
      </c>
      <c r="F320" s="1">
        <v>18</v>
      </c>
      <c r="G320" s="1">
        <v>0.28000000000000003</v>
      </c>
      <c r="H320" s="1">
        <v>0</v>
      </c>
      <c r="I320" s="2">
        <v>8.9</v>
      </c>
      <c r="J320" s="1">
        <v>0.1</v>
      </c>
      <c r="K320" s="2">
        <v>12.9</v>
      </c>
      <c r="L320" s="2">
        <v>10.1</v>
      </c>
      <c r="M320" s="1">
        <v>0.43</v>
      </c>
      <c r="N320" s="1">
        <v>0.05</v>
      </c>
      <c r="O320" s="1">
        <v>0</v>
      </c>
      <c r="P320" s="1">
        <v>0</v>
      </c>
      <c r="Q320" s="1">
        <v>0</v>
      </c>
      <c r="R320" s="1">
        <v>0</v>
      </c>
      <c r="S320" s="1">
        <v>28.7</v>
      </c>
      <c r="T320" s="1">
        <v>0.45</v>
      </c>
      <c r="U320" s="1">
        <v>0</v>
      </c>
      <c r="V320" s="1" t="s">
        <v>2765</v>
      </c>
      <c r="W320" s="1" t="s">
        <v>2766</v>
      </c>
    </row>
    <row r="321" spans="1:23" ht="26.4">
      <c r="A321" s="1">
        <v>320</v>
      </c>
      <c r="B321" s="1" t="s">
        <v>2767</v>
      </c>
      <c r="C321" s="1" t="s">
        <v>2020</v>
      </c>
      <c r="D321" s="1">
        <v>48.46</v>
      </c>
      <c r="E321" s="1">
        <v>1.75</v>
      </c>
      <c r="F321" s="1">
        <v>9.5399999999999991</v>
      </c>
      <c r="G321" s="1">
        <v>0.32</v>
      </c>
      <c r="H321" s="1">
        <v>0</v>
      </c>
      <c r="I321" s="2">
        <v>20.76</v>
      </c>
      <c r="J321" s="1">
        <v>0.21</v>
      </c>
      <c r="K321" s="2">
        <v>8.69</v>
      </c>
      <c r="L321" s="2">
        <v>10.5</v>
      </c>
      <c r="M321" s="1">
        <v>0.28000000000000003</v>
      </c>
      <c r="N321" s="1">
        <v>7.0000000000000007E-2</v>
      </c>
      <c r="O321" s="1">
        <v>0.05</v>
      </c>
      <c r="P321" s="1">
        <v>0</v>
      </c>
      <c r="Q321" s="1">
        <v>7</v>
      </c>
      <c r="R321" s="1">
        <v>27</v>
      </c>
      <c r="S321" s="1">
        <v>37</v>
      </c>
      <c r="T321" s="1">
        <v>1</v>
      </c>
      <c r="U321" s="1">
        <v>90</v>
      </c>
      <c r="V321" s="1" t="s">
        <v>2768</v>
      </c>
      <c r="W321" s="1" t="s">
        <v>2769</v>
      </c>
    </row>
    <row r="322" spans="1:23" ht="26.4">
      <c r="A322" s="1">
        <v>321</v>
      </c>
      <c r="B322" s="1" t="s">
        <v>2770</v>
      </c>
      <c r="C322" s="1" t="s">
        <v>2020</v>
      </c>
      <c r="D322" s="1">
        <v>0</v>
      </c>
      <c r="E322" s="1">
        <v>0.31</v>
      </c>
      <c r="F322" s="1">
        <v>29.8</v>
      </c>
      <c r="G322" s="1">
        <v>0.06</v>
      </c>
      <c r="H322" s="1">
        <v>0</v>
      </c>
      <c r="I322" s="2">
        <v>3.4</v>
      </c>
      <c r="J322" s="1">
        <v>0.05</v>
      </c>
      <c r="K322" s="2">
        <v>3.7</v>
      </c>
      <c r="L322" s="2">
        <v>16.5</v>
      </c>
      <c r="M322" s="1">
        <v>0.51</v>
      </c>
      <c r="N322" s="1">
        <v>0.05</v>
      </c>
      <c r="O322" s="1">
        <v>0</v>
      </c>
      <c r="P322" s="1">
        <v>0</v>
      </c>
      <c r="Q322" s="1">
        <v>0</v>
      </c>
      <c r="R322" s="1">
        <v>48</v>
      </c>
      <c r="S322" s="1">
        <v>8</v>
      </c>
      <c r="T322" s="1">
        <v>2.78</v>
      </c>
      <c r="U322" s="1">
        <v>0</v>
      </c>
      <c r="V322" s="1" t="s">
        <v>2771</v>
      </c>
      <c r="W322" s="1" t="s">
        <v>2772</v>
      </c>
    </row>
    <row r="323" spans="1:23" ht="13.2">
      <c r="A323" s="1">
        <v>322</v>
      </c>
      <c r="B323" s="1" t="s">
        <v>2773</v>
      </c>
      <c r="C323" s="1" t="s">
        <v>2020</v>
      </c>
      <c r="D323" s="1">
        <v>47.45</v>
      </c>
      <c r="E323" s="1">
        <v>1.48</v>
      </c>
      <c r="F323" s="1">
        <v>17.75</v>
      </c>
      <c r="G323" s="1">
        <v>0.22</v>
      </c>
      <c r="H323" s="1">
        <v>0</v>
      </c>
      <c r="I323" s="2">
        <v>10.36</v>
      </c>
      <c r="J323" s="1">
        <v>0.13</v>
      </c>
      <c r="K323" s="2">
        <v>9.35</v>
      </c>
      <c r="L323" s="2">
        <v>11.19</v>
      </c>
      <c r="M323" s="1">
        <v>0.75</v>
      </c>
      <c r="N323" s="1">
        <v>0.49</v>
      </c>
      <c r="O323" s="1">
        <v>0.39</v>
      </c>
      <c r="P323" s="1">
        <v>0</v>
      </c>
      <c r="Q323" s="1">
        <v>150</v>
      </c>
      <c r="R323" s="1">
        <v>370</v>
      </c>
      <c r="S323" s="1">
        <v>34</v>
      </c>
      <c r="T323" s="1">
        <v>20</v>
      </c>
      <c r="U323" s="1">
        <v>0</v>
      </c>
      <c r="V323" s="1" t="s">
        <v>2774</v>
      </c>
      <c r="W323" s="1" t="s">
        <v>2775</v>
      </c>
    </row>
    <row r="324" spans="1:23" ht="26.4">
      <c r="A324" s="1">
        <v>323</v>
      </c>
      <c r="B324" s="1" t="s">
        <v>2776</v>
      </c>
      <c r="C324" s="1" t="s">
        <v>2020</v>
      </c>
      <c r="D324" s="1">
        <v>43.56</v>
      </c>
      <c r="E324" s="1">
        <v>2.6</v>
      </c>
      <c r="F324" s="1">
        <v>7.87</v>
      </c>
      <c r="G324" s="1">
        <v>0.96</v>
      </c>
      <c r="H324" s="1">
        <v>0</v>
      </c>
      <c r="I324" s="2">
        <v>21.66</v>
      </c>
      <c r="J324" s="1">
        <v>0.28000000000000003</v>
      </c>
      <c r="K324" s="2">
        <v>14.88</v>
      </c>
      <c r="L324" s="2">
        <v>8.26</v>
      </c>
      <c r="M324" s="1">
        <v>0.23</v>
      </c>
      <c r="N324" s="1">
        <v>0.05</v>
      </c>
      <c r="O324" s="1">
        <v>0.11</v>
      </c>
      <c r="P324" s="1">
        <v>0</v>
      </c>
      <c r="Q324" s="1">
        <v>4.5999999999999996</v>
      </c>
      <c r="R324" s="1">
        <v>63.9</v>
      </c>
      <c r="S324" s="1">
        <v>65.8</v>
      </c>
      <c r="T324" s="1">
        <v>1.5</v>
      </c>
      <c r="U324" s="1">
        <v>175</v>
      </c>
      <c r="V324" s="1" t="s">
        <v>2777</v>
      </c>
      <c r="W324" s="1" t="s">
        <v>2778</v>
      </c>
    </row>
    <row r="325" spans="1:23" ht="26.4">
      <c r="A325" s="1">
        <v>324</v>
      </c>
      <c r="B325" s="1" t="s">
        <v>2779</v>
      </c>
      <c r="C325" s="1" t="s">
        <v>2020</v>
      </c>
      <c r="D325" s="1">
        <v>46.54</v>
      </c>
      <c r="E325" s="1">
        <v>3.28</v>
      </c>
      <c r="F325" s="1">
        <v>10.45</v>
      </c>
      <c r="G325" s="1">
        <v>0.48</v>
      </c>
      <c r="H325" s="1">
        <v>0</v>
      </c>
      <c r="I325" s="2">
        <v>19.66</v>
      </c>
      <c r="J325" s="1">
        <v>0.26</v>
      </c>
      <c r="K325" s="2">
        <v>7.97</v>
      </c>
      <c r="L325" s="2">
        <v>10.94</v>
      </c>
      <c r="M325" s="1">
        <v>0.28999999999999998</v>
      </c>
      <c r="N325" s="1">
        <v>7.0000000000000007E-2</v>
      </c>
      <c r="O325" s="1">
        <v>0.13</v>
      </c>
      <c r="P325" s="1">
        <v>0</v>
      </c>
      <c r="Q325" s="1">
        <v>7.8</v>
      </c>
      <c r="R325" s="1">
        <v>20</v>
      </c>
      <c r="S325" s="1">
        <v>38.799999999999997</v>
      </c>
      <c r="T325" s="1">
        <v>0.93</v>
      </c>
      <c r="U325" s="1">
        <v>150</v>
      </c>
      <c r="V325" s="1" t="s">
        <v>2780</v>
      </c>
      <c r="W325" s="1" t="s">
        <v>2781</v>
      </c>
    </row>
    <row r="326" spans="1:23" ht="13.2">
      <c r="A326" s="1">
        <v>325</v>
      </c>
      <c r="B326" s="1" t="s">
        <v>2782</v>
      </c>
      <c r="C326" s="1" t="s">
        <v>2783</v>
      </c>
      <c r="D326" s="1">
        <v>56.61</v>
      </c>
      <c r="E326" s="1">
        <v>0</v>
      </c>
      <c r="F326" s="1">
        <v>1.01</v>
      </c>
      <c r="G326" s="1">
        <v>0.16</v>
      </c>
      <c r="H326" s="1">
        <v>1.95</v>
      </c>
      <c r="I326" s="2">
        <v>3.72</v>
      </c>
      <c r="J326" s="1">
        <v>0.37</v>
      </c>
      <c r="K326" s="2">
        <v>20.239999999999998</v>
      </c>
      <c r="L326" s="2">
        <v>12.91</v>
      </c>
      <c r="M326" s="1">
        <v>0.32</v>
      </c>
      <c r="N326" s="1">
        <v>0.03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 t="s">
        <v>841</v>
      </c>
      <c r="W326" s="1" t="s">
        <v>2784</v>
      </c>
    </row>
    <row r="327" spans="1:23" ht="13.2">
      <c r="A327" s="1">
        <v>326</v>
      </c>
      <c r="B327" s="1" t="s">
        <v>2785</v>
      </c>
      <c r="C327" s="1" t="s">
        <v>2783</v>
      </c>
      <c r="D327" s="1">
        <v>56.34</v>
      </c>
      <c r="E327" s="1">
        <v>0</v>
      </c>
      <c r="F327" s="1">
        <v>0.88</v>
      </c>
      <c r="G327" s="1">
        <v>0.31</v>
      </c>
      <c r="H327" s="1">
        <v>1.7</v>
      </c>
      <c r="I327" s="2">
        <v>3.98</v>
      </c>
      <c r="J327" s="1">
        <v>0.28000000000000003</v>
      </c>
      <c r="K327" s="2">
        <v>20.75</v>
      </c>
      <c r="L327" s="2">
        <v>13.01</v>
      </c>
      <c r="M327" s="1">
        <v>0.27</v>
      </c>
      <c r="N327" s="1">
        <v>0.02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 t="s">
        <v>841</v>
      </c>
      <c r="W327" s="1" t="s">
        <v>2786</v>
      </c>
    </row>
    <row r="328" spans="1:23" ht="13.2">
      <c r="A328" s="1">
        <v>327</v>
      </c>
      <c r="B328" s="1" t="s">
        <v>2787</v>
      </c>
      <c r="C328" s="1" t="s">
        <v>2783</v>
      </c>
      <c r="D328" s="1">
        <v>56.22</v>
      </c>
      <c r="E328" s="1">
        <v>0</v>
      </c>
      <c r="F328" s="1">
        <v>0.83</v>
      </c>
      <c r="G328" s="1">
        <v>0.03</v>
      </c>
      <c r="H328" s="1">
        <v>2.62</v>
      </c>
      <c r="I328" s="2">
        <v>3.49</v>
      </c>
      <c r="J328" s="1">
        <v>0.31</v>
      </c>
      <c r="K328" s="2">
        <v>20.8</v>
      </c>
      <c r="L328" s="2">
        <v>13.16</v>
      </c>
      <c r="M328" s="1">
        <v>0.27</v>
      </c>
      <c r="N328" s="1">
        <v>0.03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 t="s">
        <v>841</v>
      </c>
      <c r="W328" s="1" t="s">
        <v>2788</v>
      </c>
    </row>
    <row r="329" spans="1:23" ht="13.2">
      <c r="A329" s="1">
        <v>328</v>
      </c>
      <c r="B329" s="1" t="s">
        <v>2789</v>
      </c>
      <c r="C329" s="1" t="s">
        <v>2783</v>
      </c>
      <c r="D329" s="1">
        <v>55.31</v>
      </c>
      <c r="E329" s="1">
        <v>0</v>
      </c>
      <c r="F329" s="1">
        <v>2.27</v>
      </c>
      <c r="G329" s="1">
        <v>0.03</v>
      </c>
      <c r="H329" s="1">
        <v>0.41</v>
      </c>
      <c r="I329" s="2">
        <v>4.67</v>
      </c>
      <c r="J329" s="1">
        <v>0.28999999999999998</v>
      </c>
      <c r="K329" s="2">
        <v>20.8</v>
      </c>
      <c r="L329" s="2">
        <v>12.75</v>
      </c>
      <c r="M329" s="1">
        <v>0.28000000000000003</v>
      </c>
      <c r="N329" s="1">
        <v>0.02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 t="s">
        <v>841</v>
      </c>
      <c r="W329" s="1" t="s">
        <v>2790</v>
      </c>
    </row>
    <row r="330" spans="1:23" ht="13.2">
      <c r="A330" s="1">
        <v>329</v>
      </c>
      <c r="B330" s="1" t="s">
        <v>2791</v>
      </c>
      <c r="C330" s="1" t="s">
        <v>2783</v>
      </c>
      <c r="D330" s="1">
        <v>56.84</v>
      </c>
      <c r="E330" s="1">
        <v>0</v>
      </c>
      <c r="F330" s="1">
        <v>1.1399999999999999</v>
      </c>
      <c r="G330" s="1">
        <v>0.13</v>
      </c>
      <c r="H330" s="1">
        <v>0.43</v>
      </c>
      <c r="I330" s="2">
        <v>2.4700000000000002</v>
      </c>
      <c r="J330" s="1">
        <v>0.11</v>
      </c>
      <c r="K330" s="2">
        <v>22.87</v>
      </c>
      <c r="L330" s="2">
        <v>12.05</v>
      </c>
      <c r="M330" s="1">
        <v>0.76</v>
      </c>
      <c r="N330" s="1">
        <v>0.01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 t="s">
        <v>841</v>
      </c>
      <c r="W330" s="1" t="s">
        <v>2792</v>
      </c>
    </row>
    <row r="331" spans="1:23" ht="13.2">
      <c r="A331" s="1">
        <v>330</v>
      </c>
      <c r="B331" s="1" t="s">
        <v>2793</v>
      </c>
      <c r="C331" s="1" t="s">
        <v>2783</v>
      </c>
      <c r="D331" s="1">
        <v>56.21</v>
      </c>
      <c r="E331" s="1">
        <v>0</v>
      </c>
      <c r="F331" s="1">
        <v>0.8</v>
      </c>
      <c r="G331" s="1">
        <v>0.13</v>
      </c>
      <c r="H331" s="1">
        <v>0.6</v>
      </c>
      <c r="I331" s="2">
        <v>5.7</v>
      </c>
      <c r="J331" s="1">
        <v>0.11</v>
      </c>
      <c r="K331" s="2">
        <v>20.66</v>
      </c>
      <c r="L331" s="2">
        <v>12.61</v>
      </c>
      <c r="M331" s="1">
        <v>0.19</v>
      </c>
      <c r="N331" s="1">
        <v>0.04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 t="s">
        <v>841</v>
      </c>
      <c r="W331" s="1" t="s">
        <v>2794</v>
      </c>
    </row>
    <row r="332" spans="1:23" ht="13.2">
      <c r="A332" s="1">
        <v>331</v>
      </c>
      <c r="B332" s="1" t="s">
        <v>2795</v>
      </c>
      <c r="C332" s="1" t="s">
        <v>2783</v>
      </c>
      <c r="D332" s="1">
        <v>52.45</v>
      </c>
      <c r="E332" s="1">
        <v>0</v>
      </c>
      <c r="F332" s="1">
        <v>5.27</v>
      </c>
      <c r="G332" s="1">
        <v>0.38</v>
      </c>
      <c r="H332" s="1">
        <v>3.36</v>
      </c>
      <c r="I332" s="2">
        <v>7.45</v>
      </c>
      <c r="J332" s="1">
        <v>0.53</v>
      </c>
      <c r="K332" s="2">
        <v>17.43</v>
      </c>
      <c r="L332" s="2">
        <v>11.79</v>
      </c>
      <c r="M332" s="1">
        <v>1.07</v>
      </c>
      <c r="N332" s="1">
        <v>7.0000000000000007E-2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 t="s">
        <v>841</v>
      </c>
      <c r="W332" s="1" t="s">
        <v>2796</v>
      </c>
    </row>
    <row r="333" spans="1:23" ht="13.2">
      <c r="A333" s="1">
        <v>332</v>
      </c>
      <c r="B333" s="1" t="s">
        <v>2797</v>
      </c>
      <c r="C333" s="1" t="s">
        <v>2798</v>
      </c>
      <c r="D333" s="1">
        <v>57.81</v>
      </c>
      <c r="E333" s="1">
        <v>0</v>
      </c>
      <c r="F333" s="1">
        <v>0.46</v>
      </c>
      <c r="G333" s="1">
        <v>0.04</v>
      </c>
      <c r="H333" s="1">
        <v>0.27</v>
      </c>
      <c r="I333" s="2">
        <v>2.65</v>
      </c>
      <c r="J333" s="1">
        <v>0.28999999999999998</v>
      </c>
      <c r="K333" s="2">
        <v>23.35</v>
      </c>
      <c r="L333" s="2">
        <v>13.63</v>
      </c>
      <c r="M333" s="1">
        <v>0.22</v>
      </c>
      <c r="N333" s="1">
        <v>0.13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 t="s">
        <v>841</v>
      </c>
      <c r="W333" s="1" t="s">
        <v>2799</v>
      </c>
    </row>
    <row r="334" spans="1:23" ht="13.2">
      <c r="A334" s="1">
        <v>333</v>
      </c>
      <c r="B334" s="1" t="s">
        <v>2800</v>
      </c>
      <c r="C334" s="1" t="s">
        <v>2783</v>
      </c>
      <c r="D334" s="1">
        <v>56.45</v>
      </c>
      <c r="E334" s="1">
        <v>0</v>
      </c>
      <c r="F334" s="1">
        <v>1.62</v>
      </c>
      <c r="G334" s="1">
        <v>0.28999999999999998</v>
      </c>
      <c r="H334" s="1">
        <v>0.38</v>
      </c>
      <c r="I334" s="2">
        <v>5.55</v>
      </c>
      <c r="J334" s="1">
        <v>0.34</v>
      </c>
      <c r="K334" s="2">
        <v>21.77</v>
      </c>
      <c r="L334" s="2">
        <v>12.21</v>
      </c>
      <c r="M334" s="1">
        <v>0.37</v>
      </c>
      <c r="N334" s="1">
        <v>0.04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 t="s">
        <v>841</v>
      </c>
      <c r="W334" s="1" t="s">
        <v>2801</v>
      </c>
    </row>
    <row r="335" spans="1:23" ht="13.2">
      <c r="A335" s="1">
        <v>334</v>
      </c>
      <c r="B335" s="1" t="s">
        <v>2802</v>
      </c>
      <c r="C335" s="1" t="s">
        <v>2783</v>
      </c>
      <c r="D335" s="1">
        <v>55.43</v>
      </c>
      <c r="E335" s="1">
        <v>0</v>
      </c>
      <c r="F335" s="1">
        <v>2.2400000000000002</v>
      </c>
      <c r="G335" s="1">
        <v>0.12</v>
      </c>
      <c r="H335" s="1">
        <v>0.62</v>
      </c>
      <c r="I335" s="2">
        <v>5.39</v>
      </c>
      <c r="J335" s="1">
        <v>0.34</v>
      </c>
      <c r="K335" s="2">
        <v>20.78</v>
      </c>
      <c r="L335" s="2">
        <v>12.74</v>
      </c>
      <c r="M335" s="1">
        <v>0.43</v>
      </c>
      <c r="N335" s="1">
        <v>0.03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 t="s">
        <v>841</v>
      </c>
      <c r="W335" s="1" t="s">
        <v>2803</v>
      </c>
    </row>
    <row r="336" spans="1:23" ht="13.2">
      <c r="A336" s="1">
        <v>335</v>
      </c>
      <c r="B336" s="1" t="s">
        <v>2804</v>
      </c>
      <c r="C336" s="1" t="s">
        <v>2798</v>
      </c>
      <c r="D336" s="1">
        <v>58.15</v>
      </c>
      <c r="E336" s="1">
        <v>0</v>
      </c>
      <c r="F336" s="1">
        <v>0.27</v>
      </c>
      <c r="G336" s="1">
        <v>0.02</v>
      </c>
      <c r="H336" s="1">
        <v>0.23</v>
      </c>
      <c r="I336" s="2">
        <v>2.41</v>
      </c>
      <c r="J336" s="1">
        <v>0.31</v>
      </c>
      <c r="K336" s="2">
        <v>23.52</v>
      </c>
      <c r="L336" s="2">
        <v>13.53</v>
      </c>
      <c r="M336" s="1">
        <v>0.18</v>
      </c>
      <c r="N336" s="1">
        <v>0.1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 t="s">
        <v>841</v>
      </c>
      <c r="W336" s="1" t="s">
        <v>2805</v>
      </c>
    </row>
    <row r="337" spans="1:23" ht="13.2">
      <c r="A337" s="1">
        <v>336</v>
      </c>
      <c r="B337" s="1" t="s">
        <v>2806</v>
      </c>
      <c r="C337" s="1" t="s">
        <v>2783</v>
      </c>
      <c r="D337" s="1">
        <v>54.86</v>
      </c>
      <c r="E337" s="1">
        <v>0</v>
      </c>
      <c r="F337" s="1">
        <v>3.52</v>
      </c>
      <c r="G337" s="1">
        <v>1.53</v>
      </c>
      <c r="H337" s="1">
        <v>0.57999999999999996</v>
      </c>
      <c r="I337" s="2">
        <v>4.13</v>
      </c>
      <c r="J337" s="1">
        <v>0.16</v>
      </c>
      <c r="K337" s="2">
        <v>20.98</v>
      </c>
      <c r="L337" s="2">
        <v>11.83</v>
      </c>
      <c r="M337" s="1">
        <v>0.74</v>
      </c>
      <c r="N337" s="1">
        <v>7.0000000000000007E-2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 t="s">
        <v>841</v>
      </c>
      <c r="W337" s="1" t="s">
        <v>2807</v>
      </c>
    </row>
    <row r="338" spans="1:23" ht="13.2">
      <c r="A338" s="1">
        <v>337</v>
      </c>
      <c r="B338" s="1" t="s">
        <v>2808</v>
      </c>
      <c r="C338" s="1" t="s">
        <v>2783</v>
      </c>
      <c r="D338" s="1">
        <v>57.09</v>
      </c>
      <c r="E338" s="1">
        <v>0</v>
      </c>
      <c r="F338" s="1">
        <v>0.65</v>
      </c>
      <c r="G338" s="1">
        <v>0.3</v>
      </c>
      <c r="H338" s="1">
        <v>0.27</v>
      </c>
      <c r="I338" s="2">
        <v>5.8</v>
      </c>
      <c r="J338" s="1">
        <v>0.33</v>
      </c>
      <c r="K338" s="2">
        <v>20.65</v>
      </c>
      <c r="L338" s="2">
        <v>12.24</v>
      </c>
      <c r="M338" s="1">
        <v>0.62</v>
      </c>
      <c r="N338" s="1">
        <v>0.05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 t="s">
        <v>841</v>
      </c>
      <c r="W338" s="1" t="s">
        <v>2809</v>
      </c>
    </row>
    <row r="339" spans="1:23" ht="13.2">
      <c r="A339" s="1">
        <v>338</v>
      </c>
      <c r="B339" s="1" t="s">
        <v>2810</v>
      </c>
      <c r="C339" s="1" t="s">
        <v>2783</v>
      </c>
      <c r="D339" s="1">
        <v>57.45</v>
      </c>
      <c r="E339" s="1">
        <v>0</v>
      </c>
      <c r="F339" s="1">
        <v>0.26</v>
      </c>
      <c r="G339" s="1">
        <v>0.15</v>
      </c>
      <c r="H339" s="1">
        <v>0.01</v>
      </c>
      <c r="I339" s="2">
        <v>4.96</v>
      </c>
      <c r="J339" s="1">
        <v>0.28999999999999998</v>
      </c>
      <c r="K339" s="2">
        <v>21.76</v>
      </c>
      <c r="L339" s="2">
        <v>13.22</v>
      </c>
      <c r="M339" s="1">
        <v>0.03</v>
      </c>
      <c r="N339" s="1">
        <v>0.02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 t="s">
        <v>841</v>
      </c>
      <c r="W339" s="1" t="s">
        <v>2811</v>
      </c>
    </row>
    <row r="340" spans="1:23" ht="13.2">
      <c r="A340" s="1">
        <v>339</v>
      </c>
      <c r="B340" s="1" t="s">
        <v>2641</v>
      </c>
      <c r="C340" s="1" t="s">
        <v>2783</v>
      </c>
      <c r="D340" s="1">
        <v>56</v>
      </c>
      <c r="E340" s="1">
        <v>0</v>
      </c>
      <c r="F340" s="1">
        <v>2.2999999999999998</v>
      </c>
      <c r="G340" s="1">
        <v>0</v>
      </c>
      <c r="H340" s="1">
        <v>1.4</v>
      </c>
      <c r="I340" s="2">
        <v>4.22</v>
      </c>
      <c r="J340" s="1">
        <v>0.11</v>
      </c>
      <c r="K340" s="2">
        <v>20</v>
      </c>
      <c r="L340" s="2">
        <v>11.1</v>
      </c>
      <c r="M340" s="1">
        <v>1.1000000000000001</v>
      </c>
      <c r="N340" s="1">
        <v>0.1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 t="s">
        <v>2812</v>
      </c>
      <c r="W340" s="1" t="s">
        <v>2813</v>
      </c>
    </row>
    <row r="341" spans="1:23" ht="13.2">
      <c r="A341" s="1">
        <v>340</v>
      </c>
      <c r="B341" s="1" t="s">
        <v>2647</v>
      </c>
      <c r="C341" s="1" t="s">
        <v>2783</v>
      </c>
      <c r="D341" s="1">
        <v>50.61</v>
      </c>
      <c r="E341" s="1">
        <v>0</v>
      </c>
      <c r="F341" s="1">
        <v>2.42</v>
      </c>
      <c r="G341" s="1">
        <v>0</v>
      </c>
      <c r="H341" s="1">
        <v>2.8</v>
      </c>
      <c r="I341" s="2">
        <v>19.899999999999999</v>
      </c>
      <c r="J341" s="1">
        <v>2.69</v>
      </c>
      <c r="K341" s="2">
        <v>8.26</v>
      </c>
      <c r="L341" s="2">
        <v>10.82</v>
      </c>
      <c r="M341" s="1">
        <v>0.48</v>
      </c>
      <c r="N341" s="1">
        <v>0.14000000000000001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 t="s">
        <v>2814</v>
      </c>
      <c r="W341" s="1" t="s">
        <v>2815</v>
      </c>
    </row>
    <row r="342" spans="1:23" ht="13.2">
      <c r="A342" s="1">
        <v>341</v>
      </c>
      <c r="B342" s="1" t="s">
        <v>2645</v>
      </c>
      <c r="C342" s="1" t="s">
        <v>2783</v>
      </c>
      <c r="D342" s="1">
        <v>55</v>
      </c>
      <c r="E342" s="1">
        <v>0</v>
      </c>
      <c r="F342" s="1">
        <v>0.6</v>
      </c>
      <c r="G342" s="1">
        <v>0</v>
      </c>
      <c r="H342" s="1">
        <v>1.83</v>
      </c>
      <c r="I342" s="2">
        <v>19.600000000000001</v>
      </c>
      <c r="J342" s="1">
        <v>0.28999999999999998</v>
      </c>
      <c r="K342" s="2">
        <v>11</v>
      </c>
      <c r="L342" s="2">
        <v>10</v>
      </c>
      <c r="M342" s="1">
        <v>0.24</v>
      </c>
      <c r="N342" s="1">
        <v>0.01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 t="s">
        <v>2816</v>
      </c>
      <c r="W342" s="1" t="s">
        <v>2817</v>
      </c>
    </row>
    <row r="343" spans="1:23" ht="13.2">
      <c r="A343" s="1">
        <v>342</v>
      </c>
      <c r="B343" s="1" t="s">
        <v>2818</v>
      </c>
      <c r="C343" s="1" t="s">
        <v>2819</v>
      </c>
      <c r="D343" s="1">
        <v>57.05</v>
      </c>
      <c r="E343" s="1">
        <v>0</v>
      </c>
      <c r="F343" s="1">
        <v>0.45</v>
      </c>
      <c r="G343" s="1">
        <v>0.03</v>
      </c>
      <c r="H343" s="1">
        <v>0.1</v>
      </c>
      <c r="I343" s="2">
        <v>5.46</v>
      </c>
      <c r="J343" s="1">
        <v>0.22</v>
      </c>
      <c r="K343" s="2">
        <v>2.61</v>
      </c>
      <c r="L343" s="2">
        <v>1.58</v>
      </c>
      <c r="M343" s="1">
        <v>7.0000000000000007E-2</v>
      </c>
      <c r="N343" s="1">
        <v>0.01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 t="s">
        <v>841</v>
      </c>
      <c r="W343" s="1" t="s">
        <v>2820</v>
      </c>
    </row>
    <row r="344" spans="1:23" ht="13.2">
      <c r="A344" s="1">
        <v>343</v>
      </c>
      <c r="B344" s="1" t="s">
        <v>2821</v>
      </c>
      <c r="C344" s="1" t="s">
        <v>2822</v>
      </c>
      <c r="D344" s="1">
        <v>56.45</v>
      </c>
      <c r="E344" s="1">
        <v>0</v>
      </c>
      <c r="F344" s="1">
        <v>1.5</v>
      </c>
      <c r="G344" s="1">
        <v>0.24</v>
      </c>
      <c r="H344" s="1">
        <v>0.41</v>
      </c>
      <c r="I344" s="2">
        <v>5.01</v>
      </c>
      <c r="J344" s="1">
        <v>0.28999999999999998</v>
      </c>
      <c r="K344" s="2">
        <v>22</v>
      </c>
      <c r="L344" s="2">
        <v>11.9</v>
      </c>
      <c r="M344" s="1">
        <v>0.08</v>
      </c>
      <c r="N344" s="1">
        <v>0.04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 t="s">
        <v>841</v>
      </c>
      <c r="W344" s="1" t="s">
        <v>2823</v>
      </c>
    </row>
    <row r="345" spans="1:23" ht="13.2">
      <c r="A345" s="1">
        <v>344</v>
      </c>
      <c r="B345" s="1" t="s">
        <v>2824</v>
      </c>
      <c r="C345" s="1" t="s">
        <v>2020</v>
      </c>
      <c r="D345" s="1">
        <v>49.9</v>
      </c>
      <c r="E345" s="1">
        <v>1.24</v>
      </c>
      <c r="F345" s="1">
        <v>17.05</v>
      </c>
      <c r="G345" s="1">
        <v>0</v>
      </c>
      <c r="H345" s="1">
        <v>2.9</v>
      </c>
      <c r="I345" s="2">
        <v>6.56</v>
      </c>
      <c r="J345" s="1">
        <v>0.16</v>
      </c>
      <c r="K345" s="2">
        <v>6.92</v>
      </c>
      <c r="L345" s="2">
        <v>9.69</v>
      </c>
      <c r="M345" s="1">
        <v>3.44</v>
      </c>
      <c r="N345" s="1">
        <v>0.74</v>
      </c>
      <c r="O345" s="1">
        <v>0.38</v>
      </c>
      <c r="P345" s="1">
        <v>1.29</v>
      </c>
      <c r="Q345" s="1">
        <v>0</v>
      </c>
      <c r="R345" s="1">
        <v>75</v>
      </c>
      <c r="S345" s="1">
        <v>38</v>
      </c>
      <c r="T345" s="1">
        <v>0</v>
      </c>
      <c r="U345" s="1">
        <v>252</v>
      </c>
      <c r="V345" s="1"/>
      <c r="W345" s="1" t="s">
        <v>2825</v>
      </c>
    </row>
    <row r="346" spans="1:23" ht="13.2">
      <c r="A346" s="1">
        <v>345</v>
      </c>
      <c r="B346" s="1" t="s">
        <v>2826</v>
      </c>
      <c r="C346" s="1" t="s">
        <v>2020</v>
      </c>
      <c r="D346" s="1">
        <v>49.9</v>
      </c>
      <c r="E346" s="1">
        <v>1.24</v>
      </c>
      <c r="F346" s="1">
        <v>17.07</v>
      </c>
      <c r="G346" s="1">
        <v>0</v>
      </c>
      <c r="H346" s="1">
        <v>1.29</v>
      </c>
      <c r="I346" s="2">
        <v>7.2</v>
      </c>
      <c r="J346" s="1">
        <v>0.15</v>
      </c>
      <c r="K346" s="2">
        <v>9.6199999999999992</v>
      </c>
      <c r="L346" s="2">
        <v>11.15</v>
      </c>
      <c r="M346" s="1">
        <v>2.31</v>
      </c>
      <c r="N346" s="1">
        <v>0.16</v>
      </c>
      <c r="O346" s="1">
        <v>0.1</v>
      </c>
      <c r="P346" s="1">
        <v>0.87</v>
      </c>
      <c r="Q346" s="1">
        <v>0</v>
      </c>
      <c r="R346" s="1">
        <v>126</v>
      </c>
      <c r="S346" s="1">
        <v>42</v>
      </c>
      <c r="T346" s="1">
        <v>0</v>
      </c>
      <c r="U346" s="1">
        <v>222</v>
      </c>
      <c r="V346" s="1"/>
      <c r="W346" s="1" t="s">
        <v>2827</v>
      </c>
    </row>
    <row r="347" spans="1:23" ht="13.2">
      <c r="A347" s="1">
        <v>346</v>
      </c>
      <c r="B347" s="1" t="s">
        <v>2828</v>
      </c>
      <c r="C347" s="1" t="s">
        <v>2020</v>
      </c>
      <c r="D347" s="1">
        <v>49.06</v>
      </c>
      <c r="E347" s="1">
        <v>0.8</v>
      </c>
      <c r="F347" s="1">
        <v>16.55</v>
      </c>
      <c r="G347" s="1">
        <v>0</v>
      </c>
      <c r="H347" s="1">
        <v>2</v>
      </c>
      <c r="I347" s="2">
        <v>6.61</v>
      </c>
      <c r="J347" s="1">
        <v>0.16</v>
      </c>
      <c r="K347" s="2">
        <v>10.19</v>
      </c>
      <c r="L347" s="2">
        <v>10.87</v>
      </c>
      <c r="M347" s="1">
        <v>2.2999999999999998</v>
      </c>
      <c r="N347" s="1">
        <v>0.16</v>
      </c>
      <c r="O347" s="1">
        <v>0.08</v>
      </c>
      <c r="P347" s="1">
        <v>0.75</v>
      </c>
      <c r="Q347" s="1">
        <v>0</v>
      </c>
      <c r="R347" s="1">
        <v>173</v>
      </c>
      <c r="S347" s="1">
        <v>44</v>
      </c>
      <c r="T347" s="1">
        <v>0</v>
      </c>
      <c r="U347" s="1">
        <v>206</v>
      </c>
      <c r="V347" s="1"/>
      <c r="W347" s="1" t="s">
        <v>2827</v>
      </c>
    </row>
    <row r="348" spans="1:23" ht="13.2">
      <c r="A348" s="1">
        <v>347</v>
      </c>
      <c r="B348" s="1" t="s">
        <v>2829</v>
      </c>
      <c r="C348" s="1" t="s">
        <v>2020</v>
      </c>
      <c r="D348" s="1">
        <v>49.12</v>
      </c>
      <c r="E348" s="1">
        <v>0.79</v>
      </c>
      <c r="F348" s="1">
        <v>16.7</v>
      </c>
      <c r="G348" s="1">
        <v>0</v>
      </c>
      <c r="H348" s="1">
        <v>5.0599999999999996</v>
      </c>
      <c r="I348" s="2">
        <v>4.21</v>
      </c>
      <c r="J348" s="1">
        <v>0.15</v>
      </c>
      <c r="K348" s="2">
        <v>9.34</v>
      </c>
      <c r="L348" s="2">
        <v>11.43</v>
      </c>
      <c r="M348" s="1">
        <v>2.35</v>
      </c>
      <c r="N348" s="1">
        <v>0.14000000000000001</v>
      </c>
      <c r="O348" s="1">
        <v>0.06</v>
      </c>
      <c r="P348" s="1">
        <v>0.76</v>
      </c>
      <c r="Q348" s="1">
        <v>0</v>
      </c>
      <c r="R348" s="1">
        <v>140</v>
      </c>
      <c r="S348" s="1">
        <v>42</v>
      </c>
      <c r="T348" s="1">
        <v>0</v>
      </c>
      <c r="U348" s="1">
        <v>184</v>
      </c>
      <c r="V348" s="1"/>
      <c r="W348" s="1" t="s">
        <v>2830</v>
      </c>
    </row>
    <row r="349" spans="1:23" ht="13.2">
      <c r="A349" s="1">
        <v>348</v>
      </c>
      <c r="B349" s="1" t="s">
        <v>2831</v>
      </c>
      <c r="C349" s="1" t="s">
        <v>2020</v>
      </c>
      <c r="D349" s="1">
        <v>50.73</v>
      </c>
      <c r="E349" s="1">
        <v>0.74</v>
      </c>
      <c r="F349" s="1">
        <v>15.28</v>
      </c>
      <c r="G349" s="1">
        <v>0</v>
      </c>
      <c r="H349" s="1">
        <v>2.35</v>
      </c>
      <c r="I349" s="2">
        <v>6.4</v>
      </c>
      <c r="J349" s="1">
        <v>0.14000000000000001</v>
      </c>
      <c r="K349" s="2">
        <v>10.86</v>
      </c>
      <c r="L349" s="2">
        <v>9.51</v>
      </c>
      <c r="M349" s="1">
        <v>2.59</v>
      </c>
      <c r="N349" s="1">
        <v>0.36</v>
      </c>
      <c r="O349" s="1">
        <v>0.14000000000000001</v>
      </c>
      <c r="P349" s="1">
        <v>0.82</v>
      </c>
      <c r="Q349" s="1">
        <v>0</v>
      </c>
      <c r="R349" s="1">
        <v>188</v>
      </c>
      <c r="S349" s="1">
        <v>43</v>
      </c>
      <c r="T349" s="1">
        <v>0</v>
      </c>
      <c r="U349" s="1">
        <v>208</v>
      </c>
      <c r="V349" s="1"/>
      <c r="W349" s="1" t="s">
        <v>2832</v>
      </c>
    </row>
    <row r="350" spans="1:23" ht="13.2">
      <c r="A350" s="1">
        <v>349</v>
      </c>
      <c r="B350" s="1" t="s">
        <v>2833</v>
      </c>
      <c r="C350" s="1" t="s">
        <v>2834</v>
      </c>
      <c r="D350" s="1">
        <v>33.96</v>
      </c>
      <c r="E350" s="1">
        <v>3.55</v>
      </c>
      <c r="F350" s="1">
        <v>13.1</v>
      </c>
      <c r="G350" s="1">
        <v>0</v>
      </c>
      <c r="H350" s="1">
        <v>3.06</v>
      </c>
      <c r="I350" s="2">
        <v>32.04</v>
      </c>
      <c r="J350" s="1">
        <v>0.65</v>
      </c>
      <c r="K350" s="2">
        <v>0.97</v>
      </c>
      <c r="L350" s="2">
        <v>0.42</v>
      </c>
      <c r="M350" s="1">
        <v>0.49</v>
      </c>
      <c r="N350" s="1">
        <v>8.4700000000000006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 t="s">
        <v>2835</v>
      </c>
      <c r="W350" s="1" t="s">
        <v>2836</v>
      </c>
    </row>
    <row r="351" spans="1:23" ht="13.2">
      <c r="A351" s="1">
        <v>350</v>
      </c>
      <c r="B351" s="1" t="s">
        <v>2837</v>
      </c>
      <c r="C351" s="1" t="s">
        <v>2834</v>
      </c>
      <c r="D351" s="1">
        <v>39.909999999999997</v>
      </c>
      <c r="E351" s="1">
        <v>0</v>
      </c>
      <c r="F351" s="1">
        <v>16.73</v>
      </c>
      <c r="G351" s="1">
        <v>0</v>
      </c>
      <c r="H351" s="1">
        <v>12.07</v>
      </c>
      <c r="I351" s="2">
        <v>17.48</v>
      </c>
      <c r="J351" s="1">
        <v>0</v>
      </c>
      <c r="K351" s="2">
        <v>0.62</v>
      </c>
      <c r="L351" s="2">
        <v>0</v>
      </c>
      <c r="M351" s="1">
        <v>0</v>
      </c>
      <c r="N351" s="1">
        <v>10.66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 t="s">
        <v>2835</v>
      </c>
      <c r="W351" s="1" t="s">
        <v>2838</v>
      </c>
    </row>
    <row r="352" spans="1:23" ht="13.2">
      <c r="A352" s="1">
        <v>351</v>
      </c>
      <c r="B352" s="1" t="s">
        <v>2839</v>
      </c>
      <c r="C352" s="1" t="s">
        <v>2834</v>
      </c>
      <c r="D352" s="1">
        <v>36.71</v>
      </c>
      <c r="E352" s="1">
        <v>0.55000000000000004</v>
      </c>
      <c r="F352" s="1">
        <v>19.82</v>
      </c>
      <c r="G352" s="1">
        <v>0</v>
      </c>
      <c r="H352" s="1">
        <v>0</v>
      </c>
      <c r="I352" s="2">
        <v>22.46</v>
      </c>
      <c r="J352" s="1">
        <v>1.6</v>
      </c>
      <c r="K352" s="2">
        <v>0.04</v>
      </c>
      <c r="L352" s="2">
        <v>0.01</v>
      </c>
      <c r="M352" s="1">
        <v>0.16</v>
      </c>
      <c r="N352" s="1">
        <v>9.66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 t="s">
        <v>2835</v>
      </c>
      <c r="W352" s="1" t="s">
        <v>2840</v>
      </c>
    </row>
    <row r="353" spans="1:23" ht="13.2">
      <c r="A353" s="1">
        <v>352</v>
      </c>
      <c r="B353" s="1" t="s">
        <v>2841</v>
      </c>
      <c r="C353" s="1" t="s">
        <v>2642</v>
      </c>
      <c r="D353" s="1">
        <v>52.28</v>
      </c>
      <c r="E353" s="1">
        <v>0.05</v>
      </c>
      <c r="F353" s="1">
        <v>0.18</v>
      </c>
      <c r="G353" s="1">
        <v>0</v>
      </c>
      <c r="H353" s="1">
        <v>0</v>
      </c>
      <c r="I353" s="2">
        <v>22.57</v>
      </c>
      <c r="J353" s="1">
        <v>0.24</v>
      </c>
      <c r="K353" s="2">
        <v>10.53</v>
      </c>
      <c r="L353" s="2">
        <v>11.26</v>
      </c>
      <c r="M353" s="1">
        <v>0.16</v>
      </c>
      <c r="N353" s="1">
        <v>7.0000000000000007E-2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 t="s">
        <v>2842</v>
      </c>
      <c r="W353" s="1" t="s">
        <v>2843</v>
      </c>
    </row>
    <row r="354" spans="1:23" ht="26.4">
      <c r="A354" s="1">
        <v>353</v>
      </c>
      <c r="B354" s="1" t="s">
        <v>2844</v>
      </c>
      <c r="C354" s="1" t="s">
        <v>2845</v>
      </c>
      <c r="D354" s="1">
        <v>56.38</v>
      </c>
      <c r="E354" s="1">
        <v>0.11</v>
      </c>
      <c r="F354" s="1">
        <v>8.4499999999999993</v>
      </c>
      <c r="G354" s="1">
        <v>0</v>
      </c>
      <c r="H354" s="1">
        <v>4.9800000000000004</v>
      </c>
      <c r="I354" s="2">
        <v>9.4</v>
      </c>
      <c r="J354" s="1">
        <v>0.19</v>
      </c>
      <c r="K354" s="2">
        <v>9.89</v>
      </c>
      <c r="L354" s="2">
        <v>1.29</v>
      </c>
      <c r="M354" s="1">
        <v>6.77</v>
      </c>
      <c r="N354" s="1">
        <v>0.08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 t="s">
        <v>2846</v>
      </c>
      <c r="W354" s="1" t="s">
        <v>2847</v>
      </c>
    </row>
    <row r="355" spans="1:23" ht="13.2">
      <c r="A355" s="1">
        <v>354</v>
      </c>
      <c r="B355" s="1" t="s">
        <v>2848</v>
      </c>
      <c r="C355" s="1" t="s">
        <v>2849</v>
      </c>
      <c r="D355" s="1">
        <v>43.82</v>
      </c>
      <c r="E355" s="1">
        <v>0.68</v>
      </c>
      <c r="F355" s="1">
        <v>14.85</v>
      </c>
      <c r="G355" s="1">
        <v>0</v>
      </c>
      <c r="H355" s="1">
        <v>3.32</v>
      </c>
      <c r="I355" s="2">
        <v>11.15</v>
      </c>
      <c r="J355" s="1">
        <v>0.27</v>
      </c>
      <c r="K355" s="2">
        <v>12.07</v>
      </c>
      <c r="L355" s="2">
        <v>10.199999999999999</v>
      </c>
      <c r="M355" s="1">
        <v>1.79</v>
      </c>
      <c r="N355" s="1">
        <v>0.12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 t="s">
        <v>2850</v>
      </c>
      <c r="W355" s="1" t="s">
        <v>2851</v>
      </c>
    </row>
    <row r="356" spans="1:23" ht="26.4">
      <c r="A356" s="1">
        <v>355</v>
      </c>
      <c r="B356" s="1" t="s">
        <v>2852</v>
      </c>
      <c r="C356" s="1" t="s">
        <v>2853</v>
      </c>
      <c r="D356" s="1">
        <v>52.16</v>
      </c>
      <c r="E356" s="1">
        <v>0.04</v>
      </c>
      <c r="F356" s="1">
        <v>4.51</v>
      </c>
      <c r="G356" s="1">
        <v>0</v>
      </c>
      <c r="H356" s="1">
        <v>10.53</v>
      </c>
      <c r="I356" s="2">
        <v>18.190000000000001</v>
      </c>
      <c r="J356" s="1">
        <v>0.51</v>
      </c>
      <c r="K356" s="2">
        <v>3.93</v>
      </c>
      <c r="L356" s="2">
        <v>1.19</v>
      </c>
      <c r="M356" s="1">
        <v>6.27</v>
      </c>
      <c r="N356" s="1">
        <v>0.09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 t="s">
        <v>2846</v>
      </c>
      <c r="W356" s="1" t="s">
        <v>2854</v>
      </c>
    </row>
    <row r="357" spans="1:23" ht="13.2">
      <c r="A357" s="1">
        <v>356</v>
      </c>
      <c r="B357" s="1" t="s">
        <v>2855</v>
      </c>
      <c r="C357" s="1" t="s">
        <v>2020</v>
      </c>
      <c r="D357" s="1">
        <v>0</v>
      </c>
      <c r="E357" s="1">
        <v>0.98</v>
      </c>
      <c r="F357" s="1">
        <v>8.75</v>
      </c>
      <c r="G357" s="1">
        <v>0</v>
      </c>
      <c r="H357" s="1">
        <v>0</v>
      </c>
      <c r="I357" s="2">
        <v>7.9</v>
      </c>
      <c r="J357" s="1">
        <v>0</v>
      </c>
      <c r="K357" s="2">
        <v>0</v>
      </c>
      <c r="L357" s="2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31</v>
      </c>
      <c r="T357" s="1">
        <v>0</v>
      </c>
      <c r="U357" s="1">
        <v>0</v>
      </c>
      <c r="V357" s="1" t="s">
        <v>2856</v>
      </c>
      <c r="W357" s="1" t="s">
        <v>2857</v>
      </c>
    </row>
    <row r="358" spans="1:23" ht="13.2">
      <c r="A358" s="1">
        <v>357</v>
      </c>
      <c r="B358" s="1" t="s">
        <v>2858</v>
      </c>
      <c r="C358" s="1" t="s">
        <v>2020</v>
      </c>
      <c r="D358" s="1">
        <v>41.67</v>
      </c>
      <c r="E358" s="1">
        <v>6.52</v>
      </c>
      <c r="F358" s="1">
        <v>13.57</v>
      </c>
      <c r="G358" s="1">
        <v>0.42</v>
      </c>
      <c r="H358" s="1">
        <v>0</v>
      </c>
      <c r="I358" s="2">
        <v>15.37</v>
      </c>
      <c r="J358" s="1">
        <v>0.21</v>
      </c>
      <c r="K358" s="2">
        <v>10.220000000000001</v>
      </c>
      <c r="L358" s="2">
        <v>11.18</v>
      </c>
      <c r="M358" s="1">
        <v>0.34</v>
      </c>
      <c r="N358" s="1">
        <v>0.09</v>
      </c>
      <c r="O358" s="1">
        <v>0.06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 t="s">
        <v>2859</v>
      </c>
      <c r="W358" s="1" t="s">
        <v>2860</v>
      </c>
    </row>
    <row r="359" spans="1:23" ht="13.2">
      <c r="A359" s="1">
        <v>358</v>
      </c>
      <c r="B359" s="1" t="s">
        <v>2861</v>
      </c>
      <c r="C359" s="1" t="s">
        <v>2020</v>
      </c>
      <c r="D359" s="1">
        <v>39.82</v>
      </c>
      <c r="E359" s="1">
        <v>9.52</v>
      </c>
      <c r="F359" s="1">
        <v>11.13</v>
      </c>
      <c r="G359" s="1">
        <v>0.46</v>
      </c>
      <c r="H359" s="1">
        <v>0</v>
      </c>
      <c r="I359" s="2">
        <v>17.41</v>
      </c>
      <c r="J359" s="1">
        <v>0.25</v>
      </c>
      <c r="K359" s="2">
        <v>9.51</v>
      </c>
      <c r="L359" s="2">
        <v>10.85</v>
      </c>
      <c r="M359" s="1">
        <v>0.32</v>
      </c>
      <c r="N359" s="1">
        <v>7.0000000000000007E-2</v>
      </c>
      <c r="O359" s="1">
        <v>0.06</v>
      </c>
      <c r="P359" s="1">
        <v>0</v>
      </c>
      <c r="Q359" s="1">
        <v>0</v>
      </c>
      <c r="R359" s="1">
        <v>90</v>
      </c>
      <c r="S359" s="1">
        <v>33.1</v>
      </c>
      <c r="T359" s="1">
        <v>0</v>
      </c>
      <c r="U359" s="1">
        <v>0</v>
      </c>
      <c r="V359" s="1" t="s">
        <v>2862</v>
      </c>
      <c r="W359" s="1" t="s">
        <v>2863</v>
      </c>
    </row>
    <row r="360" spans="1:23" ht="13.2">
      <c r="A360" s="1">
        <v>359</v>
      </c>
      <c r="B360" s="1" t="s">
        <v>2864</v>
      </c>
      <c r="C360" s="1" t="s">
        <v>2020</v>
      </c>
      <c r="D360" s="1">
        <v>48.5</v>
      </c>
      <c r="E360" s="1">
        <v>1.71</v>
      </c>
      <c r="F360" s="1">
        <v>17.38</v>
      </c>
      <c r="G360" s="1">
        <v>0</v>
      </c>
      <c r="H360" s="1">
        <v>0</v>
      </c>
      <c r="I360" s="2">
        <v>10.55</v>
      </c>
      <c r="J360" s="1">
        <v>0.13</v>
      </c>
      <c r="K360" s="2">
        <v>9.66</v>
      </c>
      <c r="L360" s="2">
        <v>10.4</v>
      </c>
      <c r="M360" s="1">
        <v>0.71</v>
      </c>
      <c r="N360" s="1">
        <v>0.53</v>
      </c>
      <c r="O360" s="1">
        <v>0.5</v>
      </c>
      <c r="P360" s="1">
        <v>0</v>
      </c>
      <c r="Q360" s="1">
        <v>0</v>
      </c>
      <c r="R360" s="1">
        <v>0</v>
      </c>
      <c r="S360" s="1">
        <v>34.4</v>
      </c>
      <c r="T360" s="1">
        <v>0</v>
      </c>
      <c r="U360" s="1">
        <v>44</v>
      </c>
      <c r="V360" s="1" t="s">
        <v>2865</v>
      </c>
      <c r="W360" s="1" t="s">
        <v>2866</v>
      </c>
    </row>
    <row r="361" spans="1:23" ht="13.2">
      <c r="A361" s="1">
        <v>360</v>
      </c>
      <c r="B361" s="1" t="s">
        <v>2867</v>
      </c>
      <c r="C361" s="1" t="s">
        <v>2020</v>
      </c>
      <c r="D361" s="1">
        <v>44.76</v>
      </c>
      <c r="E361" s="1">
        <v>0.6</v>
      </c>
      <c r="F361" s="1">
        <v>26.35</v>
      </c>
      <c r="G361" s="1">
        <v>0.13</v>
      </c>
      <c r="H361" s="1">
        <v>0</v>
      </c>
      <c r="I361" s="2">
        <v>5.76</v>
      </c>
      <c r="J361" s="1">
        <v>7.0000000000000007E-2</v>
      </c>
      <c r="K361" s="2">
        <v>6.33</v>
      </c>
      <c r="L361" s="2">
        <v>15.55</v>
      </c>
      <c r="M361" s="1">
        <v>0.41</v>
      </c>
      <c r="N361" s="1">
        <v>0.14000000000000001</v>
      </c>
      <c r="O361" s="1">
        <v>0.12</v>
      </c>
      <c r="P361" s="1">
        <v>0</v>
      </c>
      <c r="Q361" s="1">
        <v>0</v>
      </c>
      <c r="R361" s="1">
        <v>600</v>
      </c>
      <c r="S361" s="1">
        <v>47</v>
      </c>
      <c r="T361" s="1">
        <v>0</v>
      </c>
      <c r="U361" s="1">
        <v>29</v>
      </c>
      <c r="V361" s="1" t="s">
        <v>2868</v>
      </c>
      <c r="W361" s="1" t="s">
        <v>2869</v>
      </c>
    </row>
    <row r="362" spans="1:23" ht="13.2">
      <c r="A362" s="1">
        <v>361</v>
      </c>
      <c r="B362" s="1" t="s">
        <v>2870</v>
      </c>
      <c r="C362" s="1" t="s">
        <v>2020</v>
      </c>
      <c r="D362" s="1">
        <v>40.270000000000003</v>
      </c>
      <c r="E362" s="1">
        <v>9.41</v>
      </c>
      <c r="F362" s="1">
        <v>11.31</v>
      </c>
      <c r="G362" s="1">
        <v>0.46</v>
      </c>
      <c r="H362" s="1">
        <v>0</v>
      </c>
      <c r="I362" s="2">
        <v>17.2</v>
      </c>
      <c r="J362" s="1">
        <v>0.25</v>
      </c>
      <c r="K362" s="2">
        <v>9.59</v>
      </c>
      <c r="L362" s="2">
        <v>10.97</v>
      </c>
      <c r="M362" s="1">
        <v>0.33</v>
      </c>
      <c r="N362" s="1">
        <v>0.08</v>
      </c>
      <c r="O362" s="1">
        <v>7.0000000000000007E-2</v>
      </c>
      <c r="P362" s="1">
        <v>0</v>
      </c>
      <c r="Q362" s="1">
        <v>0</v>
      </c>
      <c r="R362" s="1">
        <v>100</v>
      </c>
      <c r="S362" s="1">
        <v>27</v>
      </c>
      <c r="T362" s="1">
        <v>0</v>
      </c>
      <c r="U362" s="1">
        <v>100</v>
      </c>
      <c r="V362" s="1" t="s">
        <v>2871</v>
      </c>
      <c r="W362" s="1" t="s">
        <v>2872</v>
      </c>
    </row>
    <row r="363" spans="1:23" ht="13.2">
      <c r="A363" s="1">
        <v>362</v>
      </c>
      <c r="B363" s="1" t="s">
        <v>2873</v>
      </c>
      <c r="C363" s="1" t="s">
        <v>2020</v>
      </c>
      <c r="D363" s="1">
        <v>45.18</v>
      </c>
      <c r="E363" s="1">
        <v>0.57999999999999996</v>
      </c>
      <c r="F363" s="1">
        <v>26.65</v>
      </c>
      <c r="G363" s="1">
        <v>0</v>
      </c>
      <c r="H363" s="1">
        <v>0</v>
      </c>
      <c r="I363" s="2">
        <v>5.48</v>
      </c>
      <c r="J363" s="1">
        <v>7.0000000000000007E-2</v>
      </c>
      <c r="K363" s="2">
        <v>6.28</v>
      </c>
      <c r="L363" s="2">
        <v>15.35</v>
      </c>
      <c r="M363" s="1">
        <v>0.47</v>
      </c>
      <c r="N363" s="1">
        <v>0.11</v>
      </c>
      <c r="O363" s="1">
        <v>0.12</v>
      </c>
      <c r="P363" s="1">
        <v>0</v>
      </c>
      <c r="Q363" s="1">
        <v>0</v>
      </c>
      <c r="R363" s="1">
        <v>560</v>
      </c>
      <c r="S363" s="1">
        <v>34.700000000000003</v>
      </c>
      <c r="T363" s="1">
        <v>0</v>
      </c>
      <c r="U363" s="1">
        <v>0</v>
      </c>
      <c r="V363" s="1" t="s">
        <v>2874</v>
      </c>
      <c r="W363" s="1" t="s">
        <v>2875</v>
      </c>
    </row>
    <row r="364" spans="1:23" ht="13.2">
      <c r="A364" s="1">
        <v>363</v>
      </c>
      <c r="B364" s="1" t="s">
        <v>2876</v>
      </c>
      <c r="C364" s="1" t="s">
        <v>2020</v>
      </c>
      <c r="D364" s="1">
        <v>49.91</v>
      </c>
      <c r="E364" s="1">
        <v>1.17</v>
      </c>
      <c r="F364" s="1">
        <v>14.53</v>
      </c>
      <c r="G364" s="1">
        <v>0</v>
      </c>
      <c r="H364" s="1">
        <v>0</v>
      </c>
      <c r="I364" s="2">
        <v>14.05</v>
      </c>
      <c r="J364" s="1">
        <v>0.19</v>
      </c>
      <c r="K364" s="2">
        <v>12.12</v>
      </c>
      <c r="L364" s="2">
        <v>10.7</v>
      </c>
      <c r="M364" s="1">
        <v>0.35</v>
      </c>
      <c r="N364" s="1">
        <v>0.16</v>
      </c>
      <c r="O364" s="1">
        <v>0.15</v>
      </c>
      <c r="P364" s="1">
        <v>0</v>
      </c>
      <c r="Q364" s="1">
        <v>0</v>
      </c>
      <c r="R364" s="1">
        <v>234</v>
      </c>
      <c r="S364" s="1">
        <v>51</v>
      </c>
      <c r="T364" s="1">
        <v>0</v>
      </c>
      <c r="U364" s="1">
        <v>97</v>
      </c>
      <c r="V364" s="1" t="s">
        <v>2877</v>
      </c>
      <c r="W364" s="1" t="s">
        <v>2878</v>
      </c>
    </row>
    <row r="365" spans="1:23" ht="13.2">
      <c r="A365" s="1">
        <v>364</v>
      </c>
      <c r="B365" s="1" t="s">
        <v>2879</v>
      </c>
      <c r="C365" s="1" t="s">
        <v>2020</v>
      </c>
      <c r="D365" s="1">
        <v>0</v>
      </c>
      <c r="E365" s="1">
        <v>1.4</v>
      </c>
      <c r="F365" s="1">
        <v>16.100000000000001</v>
      </c>
      <c r="G365" s="1">
        <v>0.36</v>
      </c>
      <c r="H365" s="1">
        <v>0</v>
      </c>
      <c r="I365" s="2">
        <v>12.09</v>
      </c>
      <c r="J365" s="1">
        <v>0.16</v>
      </c>
      <c r="K365" s="2">
        <v>0</v>
      </c>
      <c r="L365" s="2">
        <v>11.89</v>
      </c>
      <c r="M365" s="1">
        <v>0.45</v>
      </c>
      <c r="N365" s="1">
        <v>0</v>
      </c>
      <c r="O365" s="1">
        <v>0</v>
      </c>
      <c r="P365" s="1">
        <v>0</v>
      </c>
      <c r="Q365" s="1">
        <v>0</v>
      </c>
      <c r="R365" s="1">
        <v>250</v>
      </c>
      <c r="S365" s="1">
        <v>42</v>
      </c>
      <c r="T365" s="1">
        <v>0</v>
      </c>
      <c r="U365" s="1">
        <v>81</v>
      </c>
      <c r="V365" s="1" t="s">
        <v>2880</v>
      </c>
      <c r="W365" s="1" t="s">
        <v>2881</v>
      </c>
    </row>
    <row r="366" spans="1:23" ht="13.2">
      <c r="A366" s="1">
        <v>365</v>
      </c>
      <c r="B366" s="1" t="s">
        <v>2882</v>
      </c>
      <c r="C366" s="1" t="s">
        <v>2020</v>
      </c>
      <c r="D366" s="1">
        <v>45.05</v>
      </c>
      <c r="E366" s="1">
        <v>1.98</v>
      </c>
      <c r="F366" s="1">
        <v>10.199999999999999</v>
      </c>
      <c r="G366" s="1">
        <v>0.56000000000000005</v>
      </c>
      <c r="H366" s="1">
        <v>0</v>
      </c>
      <c r="I366" s="2">
        <v>19.79</v>
      </c>
      <c r="J366" s="1">
        <v>0.26</v>
      </c>
      <c r="K366" s="2">
        <v>10.89</v>
      </c>
      <c r="L366" s="2">
        <v>9.8699999999999992</v>
      </c>
      <c r="M366" s="1">
        <v>0.28999999999999998</v>
      </c>
      <c r="N366" s="1">
        <v>0.1</v>
      </c>
      <c r="O366" s="1">
        <v>0.11</v>
      </c>
      <c r="P366" s="1">
        <v>0</v>
      </c>
      <c r="Q366" s="1">
        <v>6.4</v>
      </c>
      <c r="R366" s="1">
        <v>170</v>
      </c>
      <c r="S366" s="1">
        <v>48.9</v>
      </c>
      <c r="T366" s="1">
        <v>0</v>
      </c>
      <c r="U366" s="1">
        <v>200</v>
      </c>
      <c r="V366" s="1" t="s">
        <v>2883</v>
      </c>
      <c r="W366" s="1" t="s">
        <v>2884</v>
      </c>
    </row>
    <row r="367" spans="1:23" ht="13.2">
      <c r="A367" s="1">
        <v>366</v>
      </c>
      <c r="B367" s="1" t="s">
        <v>2885</v>
      </c>
      <c r="C367" s="1" t="s">
        <v>2020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2">
        <v>0</v>
      </c>
      <c r="J367" s="1">
        <v>0</v>
      </c>
      <c r="K367" s="2">
        <v>0</v>
      </c>
      <c r="L367" s="2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 t="s">
        <v>2886</v>
      </c>
      <c r="W367" s="1" t="s">
        <v>2887</v>
      </c>
    </row>
    <row r="368" spans="1:23" ht="26.4">
      <c r="A368" s="1">
        <v>367</v>
      </c>
      <c r="B368" s="1" t="s">
        <v>2888</v>
      </c>
      <c r="C368" s="1" t="s">
        <v>2020</v>
      </c>
      <c r="D368" s="1">
        <v>42.31</v>
      </c>
      <c r="E368" s="1">
        <v>8.9499999999999993</v>
      </c>
      <c r="F368" s="1">
        <v>10.3</v>
      </c>
      <c r="G368" s="1">
        <v>0.21</v>
      </c>
      <c r="H368" s="1">
        <v>0</v>
      </c>
      <c r="I368" s="2">
        <v>18.57</v>
      </c>
      <c r="J368" s="1">
        <v>0.26</v>
      </c>
      <c r="K368" s="2">
        <v>6.28</v>
      </c>
      <c r="L368" s="2">
        <v>12.15</v>
      </c>
      <c r="M368" s="1">
        <v>0.53</v>
      </c>
      <c r="N368" s="1">
        <v>0.06</v>
      </c>
      <c r="O368" s="1">
        <v>0.08</v>
      </c>
      <c r="P368" s="1">
        <v>0</v>
      </c>
      <c r="Q368" s="1">
        <v>2</v>
      </c>
      <c r="R368" s="1">
        <v>2</v>
      </c>
      <c r="S368" s="1">
        <v>16.600000000000001</v>
      </c>
      <c r="T368" s="1">
        <v>2</v>
      </c>
      <c r="U368" s="1">
        <v>19</v>
      </c>
      <c r="V368" s="1" t="s">
        <v>2889</v>
      </c>
      <c r="W368" s="1" t="s">
        <v>2890</v>
      </c>
    </row>
    <row r="369" spans="1:23" ht="13.2">
      <c r="A369" s="1">
        <v>368</v>
      </c>
      <c r="B369" s="1" t="s">
        <v>2891</v>
      </c>
      <c r="C369" s="1" t="s">
        <v>2020</v>
      </c>
      <c r="D369" s="1">
        <v>50.58</v>
      </c>
      <c r="E369" s="1">
        <v>3.19</v>
      </c>
      <c r="F369" s="1">
        <v>13.13</v>
      </c>
      <c r="G369" s="1">
        <v>0.05</v>
      </c>
      <c r="H369" s="1">
        <v>1.07</v>
      </c>
      <c r="I369" s="2">
        <v>10.6</v>
      </c>
      <c r="J369" s="1">
        <v>0.18</v>
      </c>
      <c r="K369" s="2">
        <v>6.38</v>
      </c>
      <c r="L369" s="2">
        <v>10.71</v>
      </c>
      <c r="M369" s="1">
        <v>3.05</v>
      </c>
      <c r="N369" s="1">
        <v>0.54</v>
      </c>
      <c r="O369" s="1">
        <v>0</v>
      </c>
      <c r="P369" s="1">
        <v>0</v>
      </c>
      <c r="Q369" s="1">
        <v>0</v>
      </c>
      <c r="R369" s="1">
        <v>600</v>
      </c>
      <c r="S369" s="1">
        <v>400</v>
      </c>
      <c r="T369" s="1">
        <v>200</v>
      </c>
      <c r="U369" s="1">
        <v>0</v>
      </c>
      <c r="V369" s="1" t="s">
        <v>2892</v>
      </c>
      <c r="W369" s="1" t="s">
        <v>2893</v>
      </c>
    </row>
    <row r="370" spans="1:23" ht="13.2">
      <c r="A370" s="1">
        <v>369</v>
      </c>
      <c r="B370" s="1" t="s">
        <v>1701</v>
      </c>
      <c r="C370" s="1" t="s">
        <v>2026</v>
      </c>
      <c r="D370" s="1">
        <v>39.74</v>
      </c>
      <c r="E370" s="1">
        <v>0</v>
      </c>
      <c r="F370" s="1">
        <v>0</v>
      </c>
      <c r="G370" s="1">
        <v>0</v>
      </c>
      <c r="H370" s="1">
        <v>0</v>
      </c>
      <c r="I370" s="2">
        <v>13.92</v>
      </c>
      <c r="J370" s="1">
        <v>0.23</v>
      </c>
      <c r="K370" s="2">
        <v>46.38</v>
      </c>
      <c r="L370" s="2">
        <v>0.13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/>
      <c r="W370" s="1" t="s">
        <v>2894</v>
      </c>
    </row>
    <row r="371" spans="1:23" ht="13.2">
      <c r="A371" s="1">
        <v>370</v>
      </c>
      <c r="B371" s="1" t="s">
        <v>1704</v>
      </c>
      <c r="C371" s="1" t="s">
        <v>2026</v>
      </c>
      <c r="D371" s="1">
        <v>40.97</v>
      </c>
      <c r="E371" s="1">
        <v>0</v>
      </c>
      <c r="F371" s="1">
        <v>0</v>
      </c>
      <c r="G371" s="1">
        <v>0</v>
      </c>
      <c r="H371" s="1">
        <v>0</v>
      </c>
      <c r="I371" s="2">
        <v>9.59</v>
      </c>
      <c r="J371" s="1">
        <v>0.09</v>
      </c>
      <c r="K371" s="2">
        <v>49.64</v>
      </c>
      <c r="L371" s="2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/>
      <c r="W371" s="1" t="s">
        <v>2895</v>
      </c>
    </row>
    <row r="372" spans="1:23" ht="13.2">
      <c r="A372" s="1">
        <v>371</v>
      </c>
      <c r="B372" s="1" t="s">
        <v>2896</v>
      </c>
      <c r="C372" s="1" t="s">
        <v>2026</v>
      </c>
      <c r="D372" s="1">
        <v>40.64</v>
      </c>
      <c r="E372" s="1">
        <v>0</v>
      </c>
      <c r="F372" s="1">
        <v>0</v>
      </c>
      <c r="G372" s="1">
        <v>0</v>
      </c>
      <c r="H372" s="1">
        <v>0</v>
      </c>
      <c r="I372" s="2">
        <v>8.7200000000000006</v>
      </c>
      <c r="J372" s="1">
        <v>0.1</v>
      </c>
      <c r="K372" s="2">
        <v>50.16</v>
      </c>
      <c r="L372" s="2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/>
      <c r="W372" s="1" t="s">
        <v>2897</v>
      </c>
    </row>
    <row r="373" spans="1:23" ht="13.2">
      <c r="A373" s="1">
        <v>372</v>
      </c>
      <c r="B373" s="1" t="s">
        <v>1708</v>
      </c>
      <c r="C373" s="1" t="s">
        <v>2026</v>
      </c>
      <c r="D373" s="1">
        <v>40.68</v>
      </c>
      <c r="E373" s="1">
        <v>0</v>
      </c>
      <c r="F373" s="1">
        <v>0.01</v>
      </c>
      <c r="G373" s="1">
        <v>0</v>
      </c>
      <c r="H373" s="1">
        <v>0</v>
      </c>
      <c r="I373" s="2">
        <v>9.27</v>
      </c>
      <c r="J373" s="1">
        <v>0.13</v>
      </c>
      <c r="K373" s="2">
        <v>49.67</v>
      </c>
      <c r="L373" s="2">
        <v>0.09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/>
      <c r="W373" s="1" t="s">
        <v>2898</v>
      </c>
    </row>
    <row r="374" spans="1:23" ht="13.2">
      <c r="A374" s="1">
        <v>373</v>
      </c>
      <c r="B374" s="1" t="s">
        <v>2899</v>
      </c>
      <c r="C374" s="1" t="s">
        <v>2026</v>
      </c>
      <c r="D374" s="1">
        <v>28.83</v>
      </c>
      <c r="E374" s="1">
        <v>0.08</v>
      </c>
      <c r="F374" s="1">
        <v>0</v>
      </c>
      <c r="G374" s="1">
        <v>0.04</v>
      </c>
      <c r="H374" s="1">
        <v>0</v>
      </c>
      <c r="I374" s="2">
        <v>2.2400000000000002</v>
      </c>
      <c r="J374" s="1">
        <v>56.9</v>
      </c>
      <c r="K374" s="2">
        <v>3.41</v>
      </c>
      <c r="L374" s="2">
        <v>0.56000000000000005</v>
      </c>
      <c r="M374" s="1">
        <v>0.59</v>
      </c>
      <c r="N374" s="1">
        <v>0.02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/>
      <c r="W374" s="1" t="s">
        <v>2900</v>
      </c>
    </row>
    <row r="375" spans="1:23" ht="13.2">
      <c r="A375" s="1">
        <v>374</v>
      </c>
      <c r="B375" s="1" t="s">
        <v>1712</v>
      </c>
      <c r="C375" s="1" t="s">
        <v>2026</v>
      </c>
      <c r="D375" s="1">
        <v>39.72</v>
      </c>
      <c r="E375" s="1">
        <v>0</v>
      </c>
      <c r="F375" s="1">
        <v>0</v>
      </c>
      <c r="G375" s="1">
        <v>0</v>
      </c>
      <c r="H375" s="1">
        <v>0</v>
      </c>
      <c r="I375" s="2">
        <v>13.81</v>
      </c>
      <c r="J375" s="1">
        <v>0.22</v>
      </c>
      <c r="K375" s="2">
        <v>46.31</v>
      </c>
      <c r="L375" s="2">
        <v>0.03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/>
      <c r="W375" s="1" t="s">
        <v>2901</v>
      </c>
    </row>
    <row r="376" spans="1:23" ht="13.2">
      <c r="A376" s="1">
        <v>375</v>
      </c>
      <c r="B376" s="1" t="s">
        <v>2902</v>
      </c>
      <c r="C376" s="1" t="s">
        <v>2026</v>
      </c>
      <c r="D376" s="1">
        <v>38.29</v>
      </c>
      <c r="E376" s="1">
        <v>0</v>
      </c>
      <c r="F376" s="1">
        <v>0.01</v>
      </c>
      <c r="G376" s="1">
        <v>0</v>
      </c>
      <c r="H376" s="1">
        <v>0</v>
      </c>
      <c r="I376" s="2">
        <v>2.73</v>
      </c>
      <c r="J376" s="1">
        <v>0.14000000000000001</v>
      </c>
      <c r="K376" s="2">
        <v>23.98</v>
      </c>
      <c r="L376" s="2">
        <v>35.049999999999997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/>
      <c r="W376" s="1" t="s">
        <v>2903</v>
      </c>
    </row>
    <row r="377" spans="1:23" ht="13.2">
      <c r="A377" s="1">
        <v>376</v>
      </c>
      <c r="B377" s="1" t="s">
        <v>2904</v>
      </c>
      <c r="C377" s="1" t="s">
        <v>2026</v>
      </c>
      <c r="D377" s="1">
        <v>40.840000000000003</v>
      </c>
      <c r="E377" s="1">
        <v>0</v>
      </c>
      <c r="F377" s="1">
        <v>0</v>
      </c>
      <c r="G377" s="1">
        <v>0</v>
      </c>
      <c r="H377" s="1">
        <v>0</v>
      </c>
      <c r="I377" s="2">
        <v>9.09</v>
      </c>
      <c r="J377" s="1">
        <v>0.13</v>
      </c>
      <c r="K377" s="2">
        <v>50.12</v>
      </c>
      <c r="L377" s="2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/>
      <c r="W377" s="1" t="s">
        <v>2905</v>
      </c>
    </row>
    <row r="378" spans="1:23" ht="13.2">
      <c r="A378" s="1">
        <v>377</v>
      </c>
      <c r="B378" s="1" t="s">
        <v>2906</v>
      </c>
      <c r="C378" s="1" t="s">
        <v>2026</v>
      </c>
      <c r="D378" s="1">
        <v>39.58</v>
      </c>
      <c r="E378" s="1">
        <v>0</v>
      </c>
      <c r="F378" s="1">
        <v>0</v>
      </c>
      <c r="G378" s="1">
        <v>0</v>
      </c>
      <c r="H378" s="1">
        <v>0</v>
      </c>
      <c r="I378" s="2">
        <v>15.88</v>
      </c>
      <c r="J378" s="1">
        <v>0.18</v>
      </c>
      <c r="K378" s="2">
        <v>44.59</v>
      </c>
      <c r="L378" s="2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/>
      <c r="W378" s="1" t="s">
        <v>2907</v>
      </c>
    </row>
    <row r="379" spans="1:23" ht="13.2">
      <c r="A379" s="1">
        <v>378</v>
      </c>
      <c r="B379" s="1" t="s">
        <v>2908</v>
      </c>
      <c r="C379" s="1" t="s">
        <v>2026</v>
      </c>
      <c r="D379" s="1">
        <v>30.19</v>
      </c>
      <c r="E379" s="1">
        <v>0.02</v>
      </c>
      <c r="F379" s="1">
        <v>0</v>
      </c>
      <c r="G379" s="1">
        <v>0.01</v>
      </c>
      <c r="H379" s="1">
        <v>0</v>
      </c>
      <c r="I379" s="2">
        <v>46.86</v>
      </c>
      <c r="J379" s="1">
        <v>20.69</v>
      </c>
      <c r="K379" s="2">
        <v>1.36</v>
      </c>
      <c r="L379" s="2">
        <v>0.04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/>
      <c r="W379" s="1" t="s">
        <v>2909</v>
      </c>
    </row>
    <row r="380" spans="1:23" ht="13.2">
      <c r="A380" s="1">
        <v>379</v>
      </c>
      <c r="B380" s="1" t="s">
        <v>2910</v>
      </c>
      <c r="C380" s="1" t="s">
        <v>2026</v>
      </c>
      <c r="D380" s="1">
        <v>40.479999999999997</v>
      </c>
      <c r="E380" s="1">
        <v>0</v>
      </c>
      <c r="F380" s="1">
        <v>0</v>
      </c>
      <c r="G380" s="1">
        <v>0</v>
      </c>
      <c r="H380" s="1">
        <v>0</v>
      </c>
      <c r="I380" s="2">
        <v>9.32</v>
      </c>
      <c r="J380" s="1">
        <v>0.14000000000000001</v>
      </c>
      <c r="K380" s="2">
        <v>49.68</v>
      </c>
      <c r="L380" s="2">
        <v>0.08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/>
      <c r="W380" s="1" t="s">
        <v>2911</v>
      </c>
    </row>
    <row r="381" spans="1:23" ht="13.2">
      <c r="A381" s="1">
        <v>380</v>
      </c>
      <c r="B381" s="1" t="s">
        <v>1227</v>
      </c>
      <c r="C381" s="1" t="s">
        <v>2034</v>
      </c>
      <c r="D381" s="1">
        <v>49.7</v>
      </c>
      <c r="E381" s="1">
        <v>1.48</v>
      </c>
      <c r="F381" s="1">
        <v>4.12</v>
      </c>
      <c r="G381" s="1">
        <v>0.17</v>
      </c>
      <c r="H381" s="1">
        <v>0.77</v>
      </c>
      <c r="I381" s="2">
        <v>5.93</v>
      </c>
      <c r="J381" s="1">
        <v>0.11</v>
      </c>
      <c r="K381" s="2">
        <v>13.8</v>
      </c>
      <c r="L381" s="2">
        <v>22.94</v>
      </c>
      <c r="M381" s="1">
        <v>0.56999999999999995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/>
      <c r="W381" s="1" t="s">
        <v>2912</v>
      </c>
    </row>
    <row r="382" spans="1:23" ht="13.2">
      <c r="A382" s="1">
        <v>381</v>
      </c>
      <c r="B382" s="1" t="s">
        <v>2913</v>
      </c>
      <c r="C382" s="1" t="s">
        <v>2034</v>
      </c>
      <c r="D382" s="1">
        <v>54.07</v>
      </c>
      <c r="E382" s="1">
        <v>0.02</v>
      </c>
      <c r="F382" s="1">
        <v>0.52</v>
      </c>
      <c r="G382" s="1">
        <v>0.04</v>
      </c>
      <c r="H382" s="1">
        <v>2.0699999999999998</v>
      </c>
      <c r="I382" s="2">
        <v>4.18</v>
      </c>
      <c r="J382" s="1">
        <v>0.18</v>
      </c>
      <c r="K382" s="2">
        <v>14.63</v>
      </c>
      <c r="L382" s="2">
        <v>23.85</v>
      </c>
      <c r="M382" s="1">
        <v>0.73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/>
      <c r="W382" s="1" t="s">
        <v>2914</v>
      </c>
    </row>
    <row r="383" spans="1:23" ht="13.2">
      <c r="A383" s="1">
        <v>382</v>
      </c>
      <c r="B383" s="1" t="s">
        <v>2915</v>
      </c>
      <c r="C383" s="1" t="s">
        <v>2034</v>
      </c>
      <c r="D383" s="1">
        <v>44.46</v>
      </c>
      <c r="E383" s="1">
        <v>3.92</v>
      </c>
      <c r="F383" s="1">
        <v>8.08</v>
      </c>
      <c r="G383" s="1">
        <v>0.05</v>
      </c>
      <c r="H383" s="1">
        <v>2.0699999999999998</v>
      </c>
      <c r="I383" s="2">
        <v>6.11</v>
      </c>
      <c r="J383" s="1">
        <v>0.27</v>
      </c>
      <c r="K383" s="2">
        <v>10.92</v>
      </c>
      <c r="L383" s="2">
        <v>22.64</v>
      </c>
      <c r="M383" s="1">
        <v>0.94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/>
      <c r="W383" s="1" t="s">
        <v>2916</v>
      </c>
    </row>
    <row r="384" spans="1:23" ht="13.2">
      <c r="A384" s="1">
        <v>383</v>
      </c>
      <c r="B384" s="1" t="s">
        <v>2917</v>
      </c>
      <c r="C384" s="1" t="s">
        <v>2034</v>
      </c>
      <c r="D384" s="1">
        <v>51.94</v>
      </c>
      <c r="E384" s="1">
        <v>0</v>
      </c>
      <c r="F384" s="1">
        <v>0.5</v>
      </c>
      <c r="G384" s="1">
        <v>0.03</v>
      </c>
      <c r="H384" s="1">
        <v>4.83</v>
      </c>
      <c r="I384" s="2">
        <v>10.18</v>
      </c>
      <c r="J384" s="1">
        <v>0.52</v>
      </c>
      <c r="K384" s="2">
        <v>9.31</v>
      </c>
      <c r="L384" s="2">
        <v>21.65</v>
      </c>
      <c r="M384" s="1">
        <v>1.39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/>
      <c r="W384" s="1" t="s">
        <v>2918</v>
      </c>
    </row>
    <row r="385" spans="1:23" ht="13.2">
      <c r="A385" s="1">
        <v>384</v>
      </c>
      <c r="B385" s="1" t="s">
        <v>2919</v>
      </c>
      <c r="C385" s="1" t="s">
        <v>2034</v>
      </c>
      <c r="D385" s="1">
        <v>52.12</v>
      </c>
      <c r="E385" s="1">
        <v>0</v>
      </c>
      <c r="F385" s="1">
        <v>0.5</v>
      </c>
      <c r="G385" s="1">
        <v>0.08</v>
      </c>
      <c r="H385" s="1">
        <v>15.89</v>
      </c>
      <c r="I385" s="2">
        <v>0.4</v>
      </c>
      <c r="J385" s="1">
        <v>0.55000000000000004</v>
      </c>
      <c r="K385" s="2">
        <v>9.1300000000000008</v>
      </c>
      <c r="L385" s="2">
        <v>21.58</v>
      </c>
      <c r="M385" s="1">
        <v>1.42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/>
      <c r="W385" s="1" t="s">
        <v>2920</v>
      </c>
    </row>
    <row r="386" spans="1:23" ht="13.2">
      <c r="A386" s="1">
        <v>385</v>
      </c>
      <c r="B386" s="1" t="s">
        <v>2921</v>
      </c>
      <c r="C386" s="1" t="s">
        <v>2034</v>
      </c>
      <c r="D386" s="1">
        <v>52.48</v>
      </c>
      <c r="E386" s="1">
        <v>0.01</v>
      </c>
      <c r="F386" s="1">
        <v>0.56000000000000005</v>
      </c>
      <c r="G386" s="1">
        <v>0.04</v>
      </c>
      <c r="H386" s="1">
        <v>14.55</v>
      </c>
      <c r="I386" s="2">
        <v>0.5</v>
      </c>
      <c r="J386" s="1">
        <v>5.17</v>
      </c>
      <c r="K386" s="2">
        <v>8.0500000000000007</v>
      </c>
      <c r="L386" s="2">
        <v>13.14</v>
      </c>
      <c r="M386" s="1">
        <v>5.91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/>
      <c r="W386" s="1" t="s">
        <v>2922</v>
      </c>
    </row>
    <row r="387" spans="1:23" ht="13.2">
      <c r="A387" s="1">
        <v>386</v>
      </c>
      <c r="B387" s="1" t="s">
        <v>1235</v>
      </c>
      <c r="C387" s="1" t="s">
        <v>2034</v>
      </c>
      <c r="D387" s="1">
        <v>55.08</v>
      </c>
      <c r="E387" s="1">
        <v>7.0000000000000007E-2</v>
      </c>
      <c r="F387" s="1">
        <v>0.23</v>
      </c>
      <c r="G387" s="1">
        <v>0.03</v>
      </c>
      <c r="H387" s="1">
        <v>0.1</v>
      </c>
      <c r="I387" s="2">
        <v>1.69</v>
      </c>
      <c r="J387" s="1">
        <v>7.0000000000000007E-2</v>
      </c>
      <c r="K387" s="2">
        <v>17.82</v>
      </c>
      <c r="L387" s="2">
        <v>24.96</v>
      </c>
      <c r="M387" s="1">
        <v>0.13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/>
      <c r="W387" s="1" t="s">
        <v>2923</v>
      </c>
    </row>
    <row r="388" spans="1:23" ht="13.2">
      <c r="A388" s="1">
        <v>387</v>
      </c>
      <c r="B388" s="1" t="s">
        <v>1231</v>
      </c>
      <c r="C388" s="1" t="s">
        <v>2034</v>
      </c>
      <c r="D388" s="1">
        <v>50.57</v>
      </c>
      <c r="E388" s="1">
        <v>1.04</v>
      </c>
      <c r="F388" s="1">
        <v>4.09</v>
      </c>
      <c r="G388" s="1">
        <v>0.78</v>
      </c>
      <c r="H388" s="1">
        <v>1.25</v>
      </c>
      <c r="I388" s="2">
        <v>4.88</v>
      </c>
      <c r="J388" s="1">
        <v>0.13</v>
      </c>
      <c r="K388" s="2">
        <v>16.05</v>
      </c>
      <c r="L388" s="2">
        <v>20.85</v>
      </c>
      <c r="M388" s="1">
        <v>0.32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/>
      <c r="W388" s="1" t="s">
        <v>2924</v>
      </c>
    </row>
    <row r="389" spans="1:23" ht="13.2">
      <c r="A389" s="1">
        <v>388</v>
      </c>
      <c r="B389" s="1" t="s">
        <v>2925</v>
      </c>
      <c r="C389" s="1" t="s">
        <v>2034</v>
      </c>
      <c r="D389" s="1">
        <v>48.41</v>
      </c>
      <c r="E389" s="1">
        <v>1.05</v>
      </c>
      <c r="F389" s="1">
        <v>5.29</v>
      </c>
      <c r="G389" s="1">
        <v>0.03</v>
      </c>
      <c r="H389" s="1">
        <v>3.79</v>
      </c>
      <c r="I389" s="2">
        <v>6.15</v>
      </c>
      <c r="J389" s="1">
        <v>0.26</v>
      </c>
      <c r="K389" s="2">
        <v>12.37</v>
      </c>
      <c r="L389" s="2">
        <v>22.15</v>
      </c>
      <c r="M389" s="1">
        <v>0.36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/>
      <c r="W389" s="1" t="s">
        <v>2926</v>
      </c>
    </row>
    <row r="390" spans="1:23" ht="13.2">
      <c r="A390" s="1">
        <v>389</v>
      </c>
      <c r="B390" s="1" t="s">
        <v>2927</v>
      </c>
      <c r="C390" s="1" t="s">
        <v>2034</v>
      </c>
      <c r="D390" s="1">
        <v>48.35</v>
      </c>
      <c r="E390" s="1">
        <v>0</v>
      </c>
      <c r="F390" s="1">
        <v>0.54</v>
      </c>
      <c r="G390" s="1">
        <v>0.02</v>
      </c>
      <c r="H390" s="1">
        <v>3.81</v>
      </c>
      <c r="I390" s="2">
        <v>23.25</v>
      </c>
      <c r="J390" s="1">
        <v>1.17</v>
      </c>
      <c r="K390" s="2">
        <v>1.25</v>
      </c>
      <c r="L390" s="2">
        <v>21.66</v>
      </c>
      <c r="M390" s="1">
        <v>0.18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/>
      <c r="W390" s="1" t="s">
        <v>2928</v>
      </c>
    </row>
    <row r="391" spans="1:23" ht="13.2">
      <c r="A391" s="1">
        <v>390</v>
      </c>
      <c r="B391" s="1" t="s">
        <v>2929</v>
      </c>
      <c r="C391" s="1" t="s">
        <v>2034</v>
      </c>
      <c r="D391" s="1">
        <v>49.37</v>
      </c>
      <c r="E391" s="1">
        <v>0.01</v>
      </c>
      <c r="F391" s="1">
        <v>0.61</v>
      </c>
      <c r="G391" s="1">
        <v>0.03</v>
      </c>
      <c r="H391" s="1">
        <v>5.07</v>
      </c>
      <c r="I391" s="2">
        <v>13.62</v>
      </c>
      <c r="J391" s="1">
        <v>6.71</v>
      </c>
      <c r="K391" s="2">
        <v>2.79</v>
      </c>
      <c r="L391" s="2">
        <v>22.54</v>
      </c>
      <c r="M391" s="1">
        <v>0.13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/>
      <c r="W391" s="1" t="s">
        <v>2930</v>
      </c>
    </row>
    <row r="392" spans="1:23" ht="13.2">
      <c r="A392" s="1">
        <v>391</v>
      </c>
      <c r="B392" s="1" t="s">
        <v>2931</v>
      </c>
      <c r="C392" s="1" t="s">
        <v>2034</v>
      </c>
      <c r="D392" s="1">
        <v>51.56</v>
      </c>
      <c r="E392" s="1">
        <v>0.38</v>
      </c>
      <c r="F392" s="1">
        <v>3.48</v>
      </c>
      <c r="G392" s="1">
        <v>0.03</v>
      </c>
      <c r="H392" s="1">
        <v>1.39</v>
      </c>
      <c r="I392" s="2">
        <v>4.2</v>
      </c>
      <c r="J392" s="1">
        <v>0.31</v>
      </c>
      <c r="K392" s="2">
        <v>14.01</v>
      </c>
      <c r="L392" s="2">
        <v>24.22</v>
      </c>
      <c r="M392" s="1">
        <v>0.4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/>
      <c r="W392" s="1" t="s">
        <v>2932</v>
      </c>
    </row>
    <row r="393" spans="1:23" ht="13.2">
      <c r="A393" s="1">
        <v>392</v>
      </c>
      <c r="B393" s="1" t="s">
        <v>2933</v>
      </c>
      <c r="C393" s="1" t="s">
        <v>2034</v>
      </c>
      <c r="D393" s="1">
        <v>48.46</v>
      </c>
      <c r="E393" s="1">
        <v>0.02</v>
      </c>
      <c r="F393" s="1">
        <v>1.01</v>
      </c>
      <c r="G393" s="1">
        <v>0.06</v>
      </c>
      <c r="H393" s="1">
        <v>7.73</v>
      </c>
      <c r="I393" s="2">
        <v>6.02</v>
      </c>
      <c r="J393" s="1">
        <v>7.66</v>
      </c>
      <c r="K393" s="2">
        <v>3.54</v>
      </c>
      <c r="L393" s="2">
        <v>17.649999999999999</v>
      </c>
      <c r="M393" s="1">
        <v>2.59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/>
      <c r="W393" s="1" t="s">
        <v>2934</v>
      </c>
    </row>
    <row r="394" spans="1:23" ht="13.2">
      <c r="A394" s="1">
        <v>393</v>
      </c>
      <c r="B394" s="1" t="s">
        <v>2935</v>
      </c>
      <c r="C394" s="1" t="s">
        <v>2034</v>
      </c>
      <c r="D394" s="1">
        <v>49.8</v>
      </c>
      <c r="E394" s="1">
        <v>1.55</v>
      </c>
      <c r="F394" s="1">
        <v>5.63</v>
      </c>
      <c r="G394" s="1">
        <v>0.12</v>
      </c>
      <c r="H394" s="1">
        <v>2.0299999999999998</v>
      </c>
      <c r="I394" s="2">
        <v>5.21</v>
      </c>
      <c r="J394" s="1">
        <v>0.12</v>
      </c>
      <c r="K394" s="2">
        <v>14.58</v>
      </c>
      <c r="L394" s="2">
        <v>19.86</v>
      </c>
      <c r="M394" s="1">
        <v>1.06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/>
      <c r="W394" s="1" t="s">
        <v>2936</v>
      </c>
    </row>
    <row r="395" spans="1:23" ht="13.2">
      <c r="A395" s="1">
        <v>394</v>
      </c>
      <c r="B395" s="1" t="s">
        <v>2937</v>
      </c>
      <c r="C395" s="1" t="s">
        <v>2034</v>
      </c>
      <c r="D395" s="1">
        <v>48.05</v>
      </c>
      <c r="E395" s="1">
        <v>1.73</v>
      </c>
      <c r="F395" s="1">
        <v>5.15</v>
      </c>
      <c r="G395" s="1">
        <v>0.03</v>
      </c>
      <c r="H395" s="1">
        <v>2.56</v>
      </c>
      <c r="I395" s="2">
        <v>6.29</v>
      </c>
      <c r="J395" s="1">
        <v>0.19</v>
      </c>
      <c r="K395" s="2">
        <v>13.12</v>
      </c>
      <c r="L395" s="2">
        <v>21.95</v>
      </c>
      <c r="M395" s="1">
        <v>0.53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/>
      <c r="W395" s="1" t="s">
        <v>2938</v>
      </c>
    </row>
    <row r="396" spans="1:23" ht="13.2">
      <c r="A396" s="1">
        <v>395</v>
      </c>
      <c r="B396" s="1" t="s">
        <v>2939</v>
      </c>
      <c r="C396" s="1" t="s">
        <v>2034</v>
      </c>
      <c r="D396" s="1">
        <v>53.13</v>
      </c>
      <c r="E396" s="1">
        <v>0.17</v>
      </c>
      <c r="F396" s="1">
        <v>2.44</v>
      </c>
      <c r="G396" s="1">
        <v>1.1200000000000001</v>
      </c>
      <c r="H396" s="1">
        <v>0</v>
      </c>
      <c r="I396" s="2">
        <v>4.4800000000000004</v>
      </c>
      <c r="J396" s="1">
        <v>0.11</v>
      </c>
      <c r="K396" s="2">
        <v>17.350000000000001</v>
      </c>
      <c r="L396" s="2">
        <v>21.25</v>
      </c>
      <c r="M396" s="1">
        <v>0.3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/>
      <c r="W396" s="1" t="s">
        <v>2940</v>
      </c>
    </row>
    <row r="397" spans="1:23" ht="13.2">
      <c r="A397" s="1">
        <v>396</v>
      </c>
      <c r="B397" s="1" t="s">
        <v>2941</v>
      </c>
      <c r="C397" s="1" t="s">
        <v>2034</v>
      </c>
      <c r="D397" s="1">
        <v>49.4</v>
      </c>
      <c r="E397" s="1">
        <v>0</v>
      </c>
      <c r="F397" s="1">
        <v>0.31</v>
      </c>
      <c r="G397" s="1">
        <v>0.02</v>
      </c>
      <c r="H397" s="1">
        <v>8.6999999999999993</v>
      </c>
      <c r="I397" s="2">
        <v>17.489999999999998</v>
      </c>
      <c r="J397" s="1">
        <v>0.61</v>
      </c>
      <c r="K397" s="2">
        <v>3.06</v>
      </c>
      <c r="L397" s="2">
        <v>20.8</v>
      </c>
      <c r="M397" s="1">
        <v>0.61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/>
      <c r="W397" s="1" t="s">
        <v>2942</v>
      </c>
    </row>
    <row r="398" spans="1:23" ht="13.2">
      <c r="A398" s="1">
        <v>397</v>
      </c>
      <c r="B398" s="1" t="s">
        <v>2943</v>
      </c>
      <c r="C398" s="1" t="s">
        <v>2034</v>
      </c>
      <c r="D398" s="1">
        <v>51.45</v>
      </c>
      <c r="E398" s="1">
        <v>0.05</v>
      </c>
      <c r="F398" s="1">
        <v>1.1599999999999999</v>
      </c>
      <c r="G398" s="1">
        <v>0.02</v>
      </c>
      <c r="H398" s="1">
        <v>6.47</v>
      </c>
      <c r="I398" s="2">
        <v>10.26</v>
      </c>
      <c r="J398" s="1">
        <v>0.67</v>
      </c>
      <c r="K398" s="2">
        <v>8.4700000000000006</v>
      </c>
      <c r="L398" s="2">
        <v>20.03</v>
      </c>
      <c r="M398" s="1">
        <v>2.14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/>
      <c r="W398" s="1" t="s">
        <v>2944</v>
      </c>
    </row>
    <row r="399" spans="1:23" ht="13.2">
      <c r="A399" s="1">
        <v>398</v>
      </c>
      <c r="B399" s="1" t="s">
        <v>2945</v>
      </c>
      <c r="C399" s="1" t="s">
        <v>2034</v>
      </c>
      <c r="D399" s="1">
        <v>47.27</v>
      </c>
      <c r="E399" s="1">
        <v>1.73</v>
      </c>
      <c r="F399" s="1">
        <v>8.2799999999999994</v>
      </c>
      <c r="G399" s="1">
        <v>0.43</v>
      </c>
      <c r="H399" s="1">
        <v>2.77</v>
      </c>
      <c r="I399" s="2">
        <v>4.6900000000000004</v>
      </c>
      <c r="J399" s="1">
        <v>0.11</v>
      </c>
      <c r="K399" s="2">
        <v>13.19</v>
      </c>
      <c r="L399" s="2">
        <v>20.9</v>
      </c>
      <c r="M399" s="1">
        <v>0.63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/>
      <c r="W399" s="1" t="s">
        <v>2946</v>
      </c>
    </row>
    <row r="400" spans="1:23" ht="13.2">
      <c r="A400" s="1">
        <v>399</v>
      </c>
      <c r="B400" s="1" t="s">
        <v>2947</v>
      </c>
      <c r="C400" s="1" t="s">
        <v>2034</v>
      </c>
      <c r="D400" s="1">
        <v>45.67</v>
      </c>
      <c r="E400" s="1">
        <v>0.66</v>
      </c>
      <c r="F400" s="1">
        <v>10.93</v>
      </c>
      <c r="G400" s="1">
        <v>0.03</v>
      </c>
      <c r="H400" s="1">
        <v>2.9</v>
      </c>
      <c r="I400" s="2">
        <v>1.64</v>
      </c>
      <c r="J400" s="1">
        <v>7.0000000000000007E-2</v>
      </c>
      <c r="K400" s="2">
        <v>12.6</v>
      </c>
      <c r="L400" s="2">
        <v>25.38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/>
      <c r="W400" s="1" t="s">
        <v>2948</v>
      </c>
    </row>
    <row r="401" spans="1:23" ht="13.2">
      <c r="A401" s="1">
        <v>400</v>
      </c>
      <c r="B401" s="1" t="s">
        <v>2949</v>
      </c>
      <c r="C401" s="1" t="s">
        <v>2034</v>
      </c>
      <c r="D401" s="1">
        <v>47.25</v>
      </c>
      <c r="E401" s="1">
        <v>0</v>
      </c>
      <c r="F401" s="1">
        <v>0</v>
      </c>
      <c r="G401" s="1">
        <v>0.08</v>
      </c>
      <c r="H401" s="1">
        <v>0</v>
      </c>
      <c r="I401" s="2">
        <v>0.13</v>
      </c>
      <c r="J401" s="1">
        <v>42.81</v>
      </c>
      <c r="K401" s="2">
        <v>2.44</v>
      </c>
      <c r="L401" s="2">
        <v>5.95</v>
      </c>
      <c r="M401" s="1">
        <v>0.03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/>
      <c r="W401" s="1" t="s">
        <v>2950</v>
      </c>
    </row>
    <row r="402" spans="1:23" ht="13.2">
      <c r="A402" s="1">
        <v>401</v>
      </c>
      <c r="B402" s="1" t="s">
        <v>2951</v>
      </c>
      <c r="C402" s="1" t="s">
        <v>2034</v>
      </c>
      <c r="D402" s="1">
        <v>50.63</v>
      </c>
      <c r="E402" s="1">
        <v>0.67</v>
      </c>
      <c r="F402" s="1">
        <v>1.49</v>
      </c>
      <c r="G402" s="1">
        <v>0.14000000000000001</v>
      </c>
      <c r="H402" s="1">
        <v>1.44</v>
      </c>
      <c r="I402" s="2">
        <v>12.99</v>
      </c>
      <c r="J402" s="1">
        <v>0.38</v>
      </c>
      <c r="K402" s="2">
        <v>11.52</v>
      </c>
      <c r="L402" s="2">
        <v>19.989999999999998</v>
      </c>
      <c r="M402" s="1">
        <v>0.16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/>
      <c r="W402" s="1" t="s">
        <v>2952</v>
      </c>
    </row>
    <row r="403" spans="1:23" ht="13.2">
      <c r="A403" s="1">
        <v>402</v>
      </c>
      <c r="B403" s="1" t="s">
        <v>2953</v>
      </c>
      <c r="C403" s="1" t="s">
        <v>2034</v>
      </c>
      <c r="D403" s="1">
        <v>54.72</v>
      </c>
      <c r="E403" s="1">
        <v>0.08</v>
      </c>
      <c r="F403" s="1">
        <v>0.94</v>
      </c>
      <c r="G403" s="1">
        <v>0.04</v>
      </c>
      <c r="H403" s="1">
        <v>0.02</v>
      </c>
      <c r="I403" s="2">
        <v>1.4</v>
      </c>
      <c r="J403" s="1">
        <v>0.06</v>
      </c>
      <c r="K403" s="2">
        <v>17.79</v>
      </c>
      <c r="L403" s="2">
        <v>25</v>
      </c>
      <c r="M403" s="1">
        <v>0.16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/>
      <c r="W403" s="1" t="s">
        <v>2954</v>
      </c>
    </row>
    <row r="404" spans="1:23" ht="13.2">
      <c r="A404" s="1">
        <v>403</v>
      </c>
      <c r="B404" s="1" t="s">
        <v>2955</v>
      </c>
      <c r="C404" s="1" t="s">
        <v>2034</v>
      </c>
      <c r="D404" s="1">
        <v>54.17</v>
      </c>
      <c r="E404" s="1">
        <v>0.05</v>
      </c>
      <c r="F404" s="1">
        <v>0.79</v>
      </c>
      <c r="G404" s="1">
        <v>7.0000000000000007E-2</v>
      </c>
      <c r="H404" s="1">
        <v>2.09</v>
      </c>
      <c r="I404" s="2">
        <v>4.47</v>
      </c>
      <c r="J404" s="1">
        <v>0.06</v>
      </c>
      <c r="K404" s="2">
        <v>14.58</v>
      </c>
      <c r="L404" s="2">
        <v>22.41</v>
      </c>
      <c r="M404" s="1">
        <v>1.39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/>
      <c r="W404" s="1" t="s">
        <v>2956</v>
      </c>
    </row>
    <row r="405" spans="1:23" ht="13.2">
      <c r="A405" s="1">
        <v>404</v>
      </c>
      <c r="B405" s="1" t="s">
        <v>2957</v>
      </c>
      <c r="C405" s="1" t="s">
        <v>2034</v>
      </c>
      <c r="D405" s="1">
        <v>52.48</v>
      </c>
      <c r="E405" s="1">
        <v>0.06</v>
      </c>
      <c r="F405" s="1">
        <v>0.51</v>
      </c>
      <c r="G405" s="1">
        <v>0.06</v>
      </c>
      <c r="H405" s="1">
        <v>4.45</v>
      </c>
      <c r="I405" s="2">
        <v>10.37</v>
      </c>
      <c r="J405" s="1">
        <v>1.29</v>
      </c>
      <c r="K405" s="2">
        <v>8.99</v>
      </c>
      <c r="L405" s="2">
        <v>20.36</v>
      </c>
      <c r="M405" s="1">
        <v>2.13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/>
      <c r="W405" s="1" t="s">
        <v>2958</v>
      </c>
    </row>
    <row r="406" spans="1:23" ht="13.2">
      <c r="A406" s="1">
        <v>405</v>
      </c>
      <c r="B406" s="1" t="s">
        <v>2959</v>
      </c>
      <c r="C406" s="1" t="s">
        <v>2034</v>
      </c>
      <c r="D406" s="1">
        <v>56.65</v>
      </c>
      <c r="E406" s="1">
        <v>0.03</v>
      </c>
      <c r="F406" s="1">
        <v>0.03</v>
      </c>
      <c r="G406" s="1">
        <v>0.05</v>
      </c>
      <c r="H406" s="1">
        <v>0.44</v>
      </c>
      <c r="I406" s="2">
        <v>9.19</v>
      </c>
      <c r="J406" s="1">
        <v>0.04</v>
      </c>
      <c r="K406" s="2">
        <v>33.92</v>
      </c>
      <c r="L406" s="2">
        <v>0.3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/>
      <c r="W406" s="1" t="s">
        <v>2960</v>
      </c>
    </row>
    <row r="407" spans="1:23" ht="13.2">
      <c r="A407" s="1">
        <v>406</v>
      </c>
      <c r="B407" s="1" t="s">
        <v>1253</v>
      </c>
      <c r="C407" s="1" t="s">
        <v>2034</v>
      </c>
      <c r="D407" s="1">
        <v>51.27</v>
      </c>
      <c r="E407" s="1">
        <v>0.95</v>
      </c>
      <c r="F407" s="1">
        <v>1.91</v>
      </c>
      <c r="G407" s="1">
        <v>0.17</v>
      </c>
      <c r="H407" s="1">
        <v>0.56999999999999995</v>
      </c>
      <c r="I407" s="2">
        <v>11.34</v>
      </c>
      <c r="J407" s="1">
        <v>0.28000000000000003</v>
      </c>
      <c r="K407" s="2">
        <v>14.47</v>
      </c>
      <c r="L407" s="2">
        <v>18.45</v>
      </c>
      <c r="M407" s="1">
        <v>0.23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/>
      <c r="W407" s="1" t="s">
        <v>2961</v>
      </c>
    </row>
    <row r="408" spans="1:23" ht="13.2">
      <c r="A408" s="1">
        <v>407</v>
      </c>
      <c r="B408" s="1" t="s">
        <v>2962</v>
      </c>
      <c r="C408" s="1" t="s">
        <v>2034</v>
      </c>
      <c r="D408" s="1">
        <v>65.349999999999994</v>
      </c>
      <c r="E408" s="1">
        <v>0</v>
      </c>
      <c r="F408" s="1">
        <v>28.76</v>
      </c>
      <c r="G408" s="1">
        <v>0.01</v>
      </c>
      <c r="H408" s="1">
        <v>0</v>
      </c>
      <c r="I408" s="2">
        <v>0.16</v>
      </c>
      <c r="J408" s="1">
        <v>0.03</v>
      </c>
      <c r="K408" s="2">
        <v>0</v>
      </c>
      <c r="L408" s="2">
        <v>0</v>
      </c>
      <c r="M408" s="1">
        <v>0.05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/>
      <c r="W408" s="1" t="s">
        <v>2963</v>
      </c>
    </row>
    <row r="409" spans="1:23" ht="13.2">
      <c r="A409" s="1">
        <v>408</v>
      </c>
      <c r="B409" s="1" t="s">
        <v>1535</v>
      </c>
      <c r="C409" s="1" t="s">
        <v>2034</v>
      </c>
      <c r="D409" s="1">
        <v>55.4</v>
      </c>
      <c r="E409" s="1">
        <v>0.04</v>
      </c>
      <c r="F409" s="1">
        <v>1.31</v>
      </c>
      <c r="G409" s="1">
        <v>0.68</v>
      </c>
      <c r="H409" s="1">
        <v>0.72</v>
      </c>
      <c r="I409" s="2">
        <v>9.92</v>
      </c>
      <c r="J409" s="1">
        <v>0.26</v>
      </c>
      <c r="K409" s="2">
        <v>32.369999999999997</v>
      </c>
      <c r="L409" s="2">
        <v>0.19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/>
      <c r="W409" s="1" t="s">
        <v>2964</v>
      </c>
    </row>
    <row r="410" spans="1:23" ht="13.2">
      <c r="A410" s="1">
        <v>409</v>
      </c>
      <c r="B410" s="1" t="s">
        <v>2965</v>
      </c>
      <c r="C410" s="1" t="s">
        <v>2034</v>
      </c>
      <c r="D410" s="1">
        <v>54.83</v>
      </c>
      <c r="E410" s="1">
        <v>0.04</v>
      </c>
      <c r="F410" s="1">
        <v>0.56999999999999995</v>
      </c>
      <c r="G410" s="1">
        <v>0.02</v>
      </c>
      <c r="H410" s="1">
        <v>0.68</v>
      </c>
      <c r="I410" s="2">
        <v>3.05</v>
      </c>
      <c r="J410" s="1">
        <v>0.35</v>
      </c>
      <c r="K410" s="2">
        <v>15.84</v>
      </c>
      <c r="L410" s="2">
        <v>24.2</v>
      </c>
      <c r="M410" s="1">
        <v>0.69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/>
      <c r="W410" s="1" t="s">
        <v>2966</v>
      </c>
    </row>
    <row r="411" spans="1:23" ht="13.2">
      <c r="A411" s="1">
        <v>410</v>
      </c>
      <c r="B411" s="1" t="s">
        <v>2967</v>
      </c>
      <c r="C411" s="1" t="s">
        <v>2034</v>
      </c>
      <c r="D411" s="1">
        <v>52.79</v>
      </c>
      <c r="E411" s="1">
        <v>0.11</v>
      </c>
      <c r="F411" s="1">
        <v>2.1800000000000002</v>
      </c>
      <c r="G411" s="1">
        <v>0.06</v>
      </c>
      <c r="H411" s="1">
        <v>1.43</v>
      </c>
      <c r="I411" s="2">
        <v>0.8</v>
      </c>
      <c r="J411" s="1">
        <v>0.1</v>
      </c>
      <c r="K411" s="2">
        <v>16.8</v>
      </c>
      <c r="L411" s="2">
        <v>25.73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/>
      <c r="W411" s="1" t="s">
        <v>2968</v>
      </c>
    </row>
    <row r="412" spans="1:23" ht="13.2">
      <c r="A412" s="1">
        <v>411</v>
      </c>
      <c r="B412" s="1" t="s">
        <v>2969</v>
      </c>
      <c r="C412" s="1" t="s">
        <v>2034</v>
      </c>
      <c r="D412" s="1">
        <v>48.22</v>
      </c>
      <c r="E412" s="1">
        <v>0</v>
      </c>
      <c r="F412" s="1">
        <v>0</v>
      </c>
      <c r="G412" s="1">
        <v>0.11</v>
      </c>
      <c r="H412" s="1">
        <v>0</v>
      </c>
      <c r="I412" s="2">
        <v>0.37</v>
      </c>
      <c r="J412" s="1">
        <v>27.27</v>
      </c>
      <c r="K412" s="2">
        <v>1.0900000000000001</v>
      </c>
      <c r="L412" s="2">
        <v>20.71</v>
      </c>
      <c r="M412" s="1">
        <v>0.11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/>
      <c r="W412" s="1" t="s">
        <v>2970</v>
      </c>
    </row>
    <row r="413" spans="1:23" ht="13.2">
      <c r="A413" s="1">
        <v>412</v>
      </c>
      <c r="B413" s="1" t="s">
        <v>2971</v>
      </c>
      <c r="C413" s="1" t="s">
        <v>2034</v>
      </c>
      <c r="D413" s="1">
        <v>47.83</v>
      </c>
      <c r="E413" s="1">
        <v>1.32</v>
      </c>
      <c r="F413" s="1">
        <v>6.44</v>
      </c>
      <c r="G413" s="1">
        <v>0.08</v>
      </c>
      <c r="H413" s="1">
        <v>3.8</v>
      </c>
      <c r="I413" s="2">
        <v>5.22</v>
      </c>
      <c r="J413" s="1">
        <v>0.16</v>
      </c>
      <c r="K413" s="2">
        <v>12.38</v>
      </c>
      <c r="L413" s="2">
        <v>22.2</v>
      </c>
      <c r="M413" s="1">
        <v>0.28000000000000003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/>
      <c r="W413" s="1" t="s">
        <v>2972</v>
      </c>
    </row>
    <row r="414" spans="1:23" ht="13.2">
      <c r="A414" s="1">
        <v>413</v>
      </c>
      <c r="B414" s="1" t="s">
        <v>2973</v>
      </c>
      <c r="C414" s="1" t="s">
        <v>2034</v>
      </c>
      <c r="D414" s="1">
        <v>50.88</v>
      </c>
      <c r="E414" s="1">
        <v>0.06</v>
      </c>
      <c r="F414" s="1">
        <v>21.31</v>
      </c>
      <c r="G414" s="1">
        <v>0.1</v>
      </c>
      <c r="H414" s="1">
        <v>0.92</v>
      </c>
      <c r="I414" s="2">
        <v>7.52</v>
      </c>
      <c r="J414" s="1">
        <v>0.08</v>
      </c>
      <c r="K414" s="2">
        <v>0.08</v>
      </c>
      <c r="L414" s="2">
        <v>13.23</v>
      </c>
      <c r="M414" s="1">
        <v>4.9800000000000004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/>
      <c r="W414" s="1" t="s">
        <v>2974</v>
      </c>
    </row>
    <row r="415" spans="1:23" ht="13.2">
      <c r="A415" s="1">
        <v>414</v>
      </c>
      <c r="B415" s="1" t="s">
        <v>2975</v>
      </c>
      <c r="C415" s="1" t="s">
        <v>2034</v>
      </c>
      <c r="D415" s="1">
        <v>51.25</v>
      </c>
      <c r="E415" s="1">
        <v>0.43</v>
      </c>
      <c r="F415" s="1">
        <v>0.9</v>
      </c>
      <c r="G415" s="1">
        <v>0.04</v>
      </c>
      <c r="H415" s="1">
        <v>26.45</v>
      </c>
      <c r="I415" s="2">
        <v>3.59</v>
      </c>
      <c r="J415" s="1">
        <v>0.49</v>
      </c>
      <c r="K415" s="2">
        <v>0.28999999999999998</v>
      </c>
      <c r="L415" s="2">
        <v>2.4500000000000002</v>
      </c>
      <c r="M415" s="1">
        <v>12.52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/>
      <c r="W415" s="1" t="s">
        <v>2976</v>
      </c>
    </row>
    <row r="416" spans="1:23" ht="13.2">
      <c r="A416" s="1">
        <v>415</v>
      </c>
      <c r="B416" s="1" t="s">
        <v>2977</v>
      </c>
      <c r="C416" s="1" t="s">
        <v>2034</v>
      </c>
      <c r="D416" s="1">
        <v>53.42</v>
      </c>
      <c r="E416" s="1">
        <v>0</v>
      </c>
      <c r="F416" s="1">
        <v>0.23</v>
      </c>
      <c r="G416" s="1">
        <v>0.02</v>
      </c>
      <c r="H416" s="1">
        <v>0</v>
      </c>
      <c r="I416" s="2">
        <v>0.04</v>
      </c>
      <c r="J416" s="1">
        <v>0</v>
      </c>
      <c r="K416" s="2">
        <v>0</v>
      </c>
      <c r="L416" s="2">
        <v>33.11</v>
      </c>
      <c r="M416" s="1">
        <v>8.9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/>
      <c r="W416" s="1" t="s">
        <v>2978</v>
      </c>
    </row>
    <row r="417" spans="1:23" ht="13.2">
      <c r="A417" s="1">
        <v>416</v>
      </c>
      <c r="B417" s="1" t="s">
        <v>2979</v>
      </c>
      <c r="C417" s="1" t="s">
        <v>2034</v>
      </c>
      <c r="D417" s="1">
        <v>53.61</v>
      </c>
      <c r="E417" s="1">
        <v>0.01</v>
      </c>
      <c r="F417" s="1">
        <v>0.27</v>
      </c>
      <c r="G417" s="1">
        <v>7.0000000000000007E-2</v>
      </c>
      <c r="H417" s="1">
        <v>8.19</v>
      </c>
      <c r="I417" s="2">
        <v>0.37</v>
      </c>
      <c r="J417" s="1">
        <v>4.67</v>
      </c>
      <c r="K417" s="2">
        <v>11.85</v>
      </c>
      <c r="L417" s="2">
        <v>17.89</v>
      </c>
      <c r="M417" s="1">
        <v>3.44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/>
      <c r="W417" s="1" t="s">
        <v>2980</v>
      </c>
    </row>
    <row r="418" spans="1:23" ht="13.2">
      <c r="A418" s="1">
        <v>417</v>
      </c>
      <c r="B418" s="1" t="s">
        <v>2981</v>
      </c>
      <c r="C418" s="1" t="s">
        <v>2034</v>
      </c>
      <c r="D418" s="1">
        <v>55.59</v>
      </c>
      <c r="E418" s="1">
        <v>0.02</v>
      </c>
      <c r="F418" s="1">
        <v>1.08</v>
      </c>
      <c r="G418" s="1">
        <v>0.1</v>
      </c>
      <c r="H418" s="1">
        <v>0</v>
      </c>
      <c r="I418" s="2">
        <v>0.22</v>
      </c>
      <c r="J418" s="1">
        <v>0.03</v>
      </c>
      <c r="K418" s="2">
        <v>17.170000000000002</v>
      </c>
      <c r="L418" s="2">
        <v>24.54</v>
      </c>
      <c r="M418" s="1">
        <v>0.86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/>
      <c r="W418" s="1" t="s">
        <v>2982</v>
      </c>
    </row>
    <row r="419" spans="1:23" ht="13.2">
      <c r="A419" s="1">
        <v>418</v>
      </c>
      <c r="B419" s="1" t="s">
        <v>2983</v>
      </c>
      <c r="C419" s="1" t="s">
        <v>2034</v>
      </c>
      <c r="D419" s="1">
        <v>47</v>
      </c>
      <c r="E419" s="1">
        <v>0.06</v>
      </c>
      <c r="F419" s="1">
        <v>0</v>
      </c>
      <c r="G419" s="1">
        <v>0.02</v>
      </c>
      <c r="H419" s="1">
        <v>0</v>
      </c>
      <c r="I419" s="2">
        <v>7.54</v>
      </c>
      <c r="J419" s="1">
        <v>40.75</v>
      </c>
      <c r="K419" s="2">
        <v>3.17</v>
      </c>
      <c r="L419" s="2">
        <v>1.24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/>
      <c r="W419" s="1" t="s">
        <v>2984</v>
      </c>
    </row>
    <row r="420" spans="1:23" ht="13.2">
      <c r="A420" s="1">
        <v>419</v>
      </c>
      <c r="B420" s="1" t="s">
        <v>2985</v>
      </c>
      <c r="C420" s="1" t="s">
        <v>2034</v>
      </c>
      <c r="D420" s="1">
        <v>56.3</v>
      </c>
      <c r="E420" s="1">
        <v>0.18</v>
      </c>
      <c r="F420" s="1">
        <v>9.0299999999999994</v>
      </c>
      <c r="G420" s="1">
        <v>3.41</v>
      </c>
      <c r="H420" s="1">
        <v>0</v>
      </c>
      <c r="I420" s="2">
        <v>3.31</v>
      </c>
      <c r="J420" s="1">
        <v>0.06</v>
      </c>
      <c r="K420" s="2">
        <v>12.87</v>
      </c>
      <c r="L420" s="2">
        <v>1</v>
      </c>
      <c r="M420" s="1">
        <v>11.62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/>
      <c r="W420" s="1" t="s">
        <v>2986</v>
      </c>
    </row>
    <row r="421" spans="1:23" ht="13.2">
      <c r="A421" s="1">
        <v>420</v>
      </c>
      <c r="B421" s="1" t="s">
        <v>2987</v>
      </c>
      <c r="C421" s="1" t="s">
        <v>2034</v>
      </c>
      <c r="D421" s="1">
        <v>56.86</v>
      </c>
      <c r="E421" s="1">
        <v>0.01</v>
      </c>
      <c r="F421" s="1">
        <v>0.76</v>
      </c>
      <c r="G421" s="1">
        <v>0.45</v>
      </c>
      <c r="H421" s="1">
        <v>0.83</v>
      </c>
      <c r="I421" s="2">
        <v>6.36</v>
      </c>
      <c r="J421" s="1">
        <v>0.17</v>
      </c>
      <c r="K421" s="2">
        <v>34.04</v>
      </c>
      <c r="L421" s="2">
        <v>0.65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/>
      <c r="W421" s="1" t="s">
        <v>2988</v>
      </c>
    </row>
    <row r="422" spans="1:23" ht="13.2">
      <c r="A422" s="1">
        <v>421</v>
      </c>
      <c r="B422" s="1" t="s">
        <v>1539</v>
      </c>
      <c r="C422" s="1" t="s">
        <v>2034</v>
      </c>
      <c r="D422" s="1">
        <v>56.59</v>
      </c>
      <c r="E422" s="1">
        <v>0.04</v>
      </c>
      <c r="F422" s="1">
        <v>0.09</v>
      </c>
      <c r="G422" s="1">
        <v>0.04</v>
      </c>
      <c r="H422" s="1">
        <v>0.84</v>
      </c>
      <c r="I422" s="2">
        <v>8.93</v>
      </c>
      <c r="J422" s="1">
        <v>0.04</v>
      </c>
      <c r="K422" s="2">
        <v>33.880000000000003</v>
      </c>
      <c r="L422" s="2">
        <v>0.22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/>
      <c r="W422" s="1" t="s">
        <v>2989</v>
      </c>
    </row>
    <row r="423" spans="1:23" ht="13.2">
      <c r="A423" s="1">
        <v>422</v>
      </c>
      <c r="B423" s="1" t="s">
        <v>2990</v>
      </c>
      <c r="C423" s="1" t="s">
        <v>2034</v>
      </c>
      <c r="D423" s="1">
        <v>56.97</v>
      </c>
      <c r="E423" s="1">
        <v>0.02</v>
      </c>
      <c r="F423" s="1">
        <v>0.82</v>
      </c>
      <c r="G423" s="1">
        <v>0.38</v>
      </c>
      <c r="H423" s="1">
        <v>1.1299999999999999</v>
      </c>
      <c r="I423" s="2">
        <v>5.29</v>
      </c>
      <c r="J423" s="1">
        <v>0.18</v>
      </c>
      <c r="K423" s="2">
        <v>34.82</v>
      </c>
      <c r="L423" s="2">
        <v>0.54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/>
      <c r="W423" s="1" t="s">
        <v>2991</v>
      </c>
    </row>
    <row r="424" spans="1:23" ht="13.2">
      <c r="A424" s="1">
        <v>423</v>
      </c>
      <c r="B424" s="1" t="s">
        <v>2992</v>
      </c>
      <c r="C424" s="1" t="s">
        <v>2026</v>
      </c>
      <c r="D424" s="1">
        <v>40.36</v>
      </c>
      <c r="E424" s="1">
        <v>0</v>
      </c>
      <c r="F424" s="1">
        <v>0</v>
      </c>
      <c r="G424" s="1">
        <v>0.02</v>
      </c>
      <c r="H424" s="1">
        <v>0</v>
      </c>
      <c r="I424" s="2">
        <v>12</v>
      </c>
      <c r="J424" s="1">
        <v>0.26</v>
      </c>
      <c r="K424" s="2">
        <v>47.76</v>
      </c>
      <c r="L424" s="2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/>
      <c r="W424" s="1" t="s">
        <v>2993</v>
      </c>
    </row>
    <row r="425" spans="1:23" ht="13.2">
      <c r="A425" s="1">
        <v>424</v>
      </c>
      <c r="B425" s="1" t="s">
        <v>2994</v>
      </c>
      <c r="C425" s="1" t="s">
        <v>2034</v>
      </c>
      <c r="D425" s="1">
        <v>46.2</v>
      </c>
      <c r="E425" s="1">
        <v>0.55000000000000004</v>
      </c>
      <c r="F425" s="1">
        <v>12.54</v>
      </c>
      <c r="G425" s="1">
        <v>0</v>
      </c>
      <c r="H425" s="1">
        <v>2.2999999999999998</v>
      </c>
      <c r="I425" s="2">
        <v>1.73</v>
      </c>
      <c r="J425" s="1">
        <v>0.05</v>
      </c>
      <c r="K425" s="2">
        <v>12.49</v>
      </c>
      <c r="L425" s="2">
        <v>24.92</v>
      </c>
      <c r="M425" s="1">
        <v>0.1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/>
      <c r="W425" s="1" t="s">
        <v>2995</v>
      </c>
    </row>
    <row r="426" spans="1:23" ht="13.2">
      <c r="A426" s="1">
        <v>425</v>
      </c>
      <c r="B426" s="1" t="s">
        <v>2996</v>
      </c>
      <c r="C426" s="1" t="s">
        <v>2034</v>
      </c>
      <c r="D426" s="1">
        <v>43.09</v>
      </c>
      <c r="E426" s="1">
        <v>0.73</v>
      </c>
      <c r="F426" s="1">
        <v>14.09</v>
      </c>
      <c r="G426" s="1">
        <v>0.06</v>
      </c>
      <c r="H426" s="1">
        <v>4.25</v>
      </c>
      <c r="I426" s="2">
        <v>0.95</v>
      </c>
      <c r="J426" s="1">
        <v>0.11</v>
      </c>
      <c r="K426" s="2">
        <v>11.1</v>
      </c>
      <c r="L426" s="2">
        <v>25.31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/>
      <c r="W426" s="1" t="s">
        <v>2997</v>
      </c>
    </row>
    <row r="427" spans="1:23" ht="13.2">
      <c r="A427" s="1">
        <v>426</v>
      </c>
      <c r="B427" s="1" t="s">
        <v>1263</v>
      </c>
      <c r="C427" s="1" t="s">
        <v>2034</v>
      </c>
      <c r="D427" s="1">
        <v>55.39</v>
      </c>
      <c r="E427" s="1">
        <v>0.02</v>
      </c>
      <c r="F427" s="1">
        <v>0.54</v>
      </c>
      <c r="G427" s="1">
        <v>0.05</v>
      </c>
      <c r="H427" s="1">
        <v>0</v>
      </c>
      <c r="I427" s="2">
        <v>1.03</v>
      </c>
      <c r="J427" s="1">
        <v>0.05</v>
      </c>
      <c r="K427" s="2">
        <v>17.38</v>
      </c>
      <c r="L427" s="2">
        <v>24.88</v>
      </c>
      <c r="M427" s="1">
        <v>0.35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/>
      <c r="W427" s="1" t="s">
        <v>2998</v>
      </c>
    </row>
    <row r="428" spans="1:23" ht="13.2">
      <c r="A428" s="1">
        <v>427</v>
      </c>
      <c r="B428" s="1" t="s">
        <v>2999</v>
      </c>
      <c r="C428" s="1" t="s">
        <v>3000</v>
      </c>
      <c r="D428" s="1">
        <v>57.73</v>
      </c>
      <c r="E428" s="1">
        <v>0.1</v>
      </c>
      <c r="F428" s="1">
        <v>18.010000000000002</v>
      </c>
      <c r="G428" s="1">
        <v>0</v>
      </c>
      <c r="H428" s="1">
        <v>5.2</v>
      </c>
      <c r="I428" s="2">
        <v>0</v>
      </c>
      <c r="J428" s="1">
        <v>0.01</v>
      </c>
      <c r="K428" s="2">
        <v>2.12</v>
      </c>
      <c r="L428" s="2">
        <v>0.32</v>
      </c>
      <c r="M428" s="1">
        <v>1.71</v>
      </c>
      <c r="N428" s="1">
        <v>0.28000000000000003</v>
      </c>
      <c r="O428" s="1">
        <v>0.01</v>
      </c>
      <c r="P428" s="1">
        <v>13.21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/>
      <c r="W428" s="1" t="s">
        <v>3001</v>
      </c>
    </row>
    <row r="429" spans="1:23" ht="13.2">
      <c r="A429" s="1">
        <v>428</v>
      </c>
      <c r="B429" s="1" t="s">
        <v>3002</v>
      </c>
      <c r="C429" s="1" t="s">
        <v>3000</v>
      </c>
      <c r="D429" s="1">
        <v>56.68</v>
      </c>
      <c r="E429" s="1">
        <v>0.08</v>
      </c>
      <c r="F429" s="1">
        <v>18.420000000000002</v>
      </c>
      <c r="G429" s="1">
        <v>0</v>
      </c>
      <c r="H429" s="1">
        <v>7.63</v>
      </c>
      <c r="I429" s="2">
        <v>0</v>
      </c>
      <c r="J429" s="1">
        <v>0.01</v>
      </c>
      <c r="K429" s="2">
        <v>2.2200000000000002</v>
      </c>
      <c r="L429" s="2">
        <v>0.28000000000000003</v>
      </c>
      <c r="M429" s="1">
        <v>1.71</v>
      </c>
      <c r="N429" s="1">
        <v>0.16</v>
      </c>
      <c r="O429" s="1">
        <v>0</v>
      </c>
      <c r="P429" s="1">
        <v>12.31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/>
      <c r="W429" s="1" t="s">
        <v>3003</v>
      </c>
    </row>
    <row r="430" spans="1:23" ht="13.2">
      <c r="A430" s="1">
        <v>429</v>
      </c>
      <c r="B430" s="1" t="s">
        <v>3004</v>
      </c>
      <c r="C430" s="1" t="s">
        <v>3000</v>
      </c>
      <c r="D430" s="1">
        <v>59.71</v>
      </c>
      <c r="E430" s="1">
        <v>0.09</v>
      </c>
      <c r="F430" s="1">
        <v>19.48</v>
      </c>
      <c r="G430" s="1">
        <v>0</v>
      </c>
      <c r="H430" s="1">
        <v>5.38</v>
      </c>
      <c r="I430" s="2">
        <v>0</v>
      </c>
      <c r="J430" s="1">
        <v>0.01</v>
      </c>
      <c r="K430" s="2">
        <v>2.2999999999999998</v>
      </c>
      <c r="L430" s="2">
        <v>0.15</v>
      </c>
      <c r="M430" s="1">
        <v>2.0499999999999998</v>
      </c>
      <c r="N430" s="1">
        <v>0.13</v>
      </c>
      <c r="O430" s="1">
        <v>0</v>
      </c>
      <c r="P430" s="1">
        <v>10.68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/>
      <c r="W430" s="1" t="s">
        <v>3005</v>
      </c>
    </row>
    <row r="431" spans="1:23" ht="13.2">
      <c r="A431" s="1">
        <v>430</v>
      </c>
      <c r="B431" s="1" t="s">
        <v>3006</v>
      </c>
      <c r="C431" s="1" t="s">
        <v>3000</v>
      </c>
      <c r="D431" s="1">
        <v>58.21</v>
      </c>
      <c r="E431" s="1">
        <v>0.09</v>
      </c>
      <c r="F431" s="1">
        <v>18.36</v>
      </c>
      <c r="G431" s="1">
        <v>0</v>
      </c>
      <c r="H431" s="1">
        <v>6.53</v>
      </c>
      <c r="I431" s="2">
        <v>0</v>
      </c>
      <c r="J431" s="1">
        <v>0.01</v>
      </c>
      <c r="K431" s="2">
        <v>2.13</v>
      </c>
      <c r="L431" s="2">
        <v>0.14000000000000001</v>
      </c>
      <c r="M431" s="1">
        <v>2.75</v>
      </c>
      <c r="N431" s="1">
        <v>0.22</v>
      </c>
      <c r="O431" s="1">
        <v>0.01</v>
      </c>
      <c r="P431" s="1">
        <v>11.88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/>
      <c r="W431" s="1" t="s">
        <v>3007</v>
      </c>
    </row>
    <row r="432" spans="1:23" ht="13.2">
      <c r="A432" s="1">
        <v>431</v>
      </c>
      <c r="B432" s="1" t="s">
        <v>3008</v>
      </c>
      <c r="C432" s="1" t="s">
        <v>3000</v>
      </c>
      <c r="D432" s="1">
        <v>55.47</v>
      </c>
      <c r="E432" s="1">
        <v>0.09</v>
      </c>
      <c r="F432" s="1">
        <v>17.329999999999998</v>
      </c>
      <c r="G432" s="1">
        <v>0</v>
      </c>
      <c r="H432" s="1">
        <v>10.029999999999999</v>
      </c>
      <c r="I432" s="2">
        <v>0</v>
      </c>
      <c r="J432" s="1">
        <v>0.02</v>
      </c>
      <c r="K432" s="2">
        <v>1.99</v>
      </c>
      <c r="L432" s="2">
        <v>0.14000000000000001</v>
      </c>
      <c r="M432" s="1">
        <v>2.4300000000000002</v>
      </c>
      <c r="N432" s="1">
        <v>0.31</v>
      </c>
      <c r="O432" s="1">
        <v>0</v>
      </c>
      <c r="P432" s="1">
        <v>12.14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/>
      <c r="W432" s="1" t="s">
        <v>3009</v>
      </c>
    </row>
    <row r="433" spans="1:23" ht="13.2">
      <c r="A433" s="1">
        <v>432</v>
      </c>
      <c r="B433" s="1" t="s">
        <v>3010</v>
      </c>
      <c r="C433" s="1" t="s">
        <v>3000</v>
      </c>
      <c r="D433" s="1">
        <v>58</v>
      </c>
      <c r="E433" s="1">
        <v>0.09</v>
      </c>
      <c r="F433" s="1">
        <v>18.690000000000001</v>
      </c>
      <c r="G433" s="1">
        <v>0</v>
      </c>
      <c r="H433" s="1">
        <v>3.8</v>
      </c>
      <c r="I433" s="2">
        <v>0</v>
      </c>
      <c r="J433" s="1">
        <v>0.01</v>
      </c>
      <c r="K433" s="2">
        <v>3.13</v>
      </c>
      <c r="L433" s="2">
        <v>0.15</v>
      </c>
      <c r="M433" s="1">
        <v>0.83</v>
      </c>
      <c r="N433" s="1">
        <v>0.12</v>
      </c>
      <c r="O433" s="1">
        <v>0</v>
      </c>
      <c r="P433" s="1">
        <v>13.81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/>
      <c r="W433" s="1" t="s">
        <v>3011</v>
      </c>
    </row>
    <row r="434" spans="1:23" ht="13.2">
      <c r="A434" s="1">
        <v>433</v>
      </c>
      <c r="B434" s="1" t="s">
        <v>3012</v>
      </c>
      <c r="C434" s="1" t="s">
        <v>3000</v>
      </c>
      <c r="D434" s="1">
        <v>54.06</v>
      </c>
      <c r="E434" s="1">
        <v>0.08</v>
      </c>
      <c r="F434" s="1">
        <v>17.62</v>
      </c>
      <c r="G434" s="1">
        <v>0</v>
      </c>
      <c r="H434" s="1">
        <v>12.19</v>
      </c>
      <c r="I434" s="2">
        <v>0</v>
      </c>
      <c r="J434" s="1">
        <v>0.02</v>
      </c>
      <c r="K434" s="2">
        <v>2.13</v>
      </c>
      <c r="L434" s="2">
        <v>0.21</v>
      </c>
      <c r="M434" s="1">
        <v>1.36</v>
      </c>
      <c r="N434" s="1">
        <v>0.09</v>
      </c>
      <c r="O434" s="1">
        <v>0.01</v>
      </c>
      <c r="P434" s="1">
        <v>12.31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/>
      <c r="W434" s="1" t="s">
        <v>3013</v>
      </c>
    </row>
    <row r="435" spans="1:23" ht="13.2">
      <c r="A435" s="1">
        <v>434</v>
      </c>
      <c r="B435" s="1" t="s">
        <v>3014</v>
      </c>
      <c r="C435" s="1" t="s">
        <v>3000</v>
      </c>
      <c r="D435" s="1">
        <v>45.71</v>
      </c>
      <c r="E435" s="1">
        <v>7.0000000000000007E-2</v>
      </c>
      <c r="F435" s="1">
        <v>14.98</v>
      </c>
      <c r="G435" s="1">
        <v>0</v>
      </c>
      <c r="H435" s="1">
        <v>26.08</v>
      </c>
      <c r="I435" s="2">
        <v>0</v>
      </c>
      <c r="J435" s="1">
        <v>0.02</v>
      </c>
      <c r="K435" s="2">
        <v>1.79</v>
      </c>
      <c r="L435" s="2">
        <v>0.08</v>
      </c>
      <c r="M435" s="1">
        <v>1.34</v>
      </c>
      <c r="N435" s="1">
        <v>7.0000000000000007E-2</v>
      </c>
      <c r="O435" s="1">
        <v>0.01</v>
      </c>
      <c r="P435" s="1">
        <v>9.83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/>
      <c r="W435" s="1" t="s">
        <v>3015</v>
      </c>
    </row>
    <row r="436" spans="1:23" ht="13.2">
      <c r="A436" s="1">
        <v>435</v>
      </c>
      <c r="B436" s="1" t="s">
        <v>3016</v>
      </c>
      <c r="C436" s="1" t="s">
        <v>3000</v>
      </c>
      <c r="D436" s="1">
        <v>50.1</v>
      </c>
      <c r="E436" s="1">
        <v>7.0000000000000007E-2</v>
      </c>
      <c r="F436" s="1">
        <v>16.329999999999998</v>
      </c>
      <c r="G436" s="1">
        <v>0</v>
      </c>
      <c r="H436" s="1">
        <v>11.84</v>
      </c>
      <c r="I436" s="2">
        <v>0</v>
      </c>
      <c r="J436" s="1">
        <v>0.02</v>
      </c>
      <c r="K436" s="2">
        <v>1.98</v>
      </c>
      <c r="L436" s="2">
        <v>0.19</v>
      </c>
      <c r="M436" s="1">
        <v>1.45</v>
      </c>
      <c r="N436" s="1">
        <v>0.08</v>
      </c>
      <c r="O436" s="1">
        <v>0.01</v>
      </c>
      <c r="P436" s="1">
        <v>18.03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/>
      <c r="W436" s="1" t="s">
        <v>3017</v>
      </c>
    </row>
    <row r="437" spans="1:23" ht="13.2">
      <c r="A437" s="1">
        <v>436</v>
      </c>
      <c r="B437" s="1" t="s">
        <v>3018</v>
      </c>
      <c r="C437" s="1" t="s">
        <v>3019</v>
      </c>
      <c r="D437" s="1">
        <v>7.4</v>
      </c>
      <c r="E437" s="1">
        <v>0.16</v>
      </c>
      <c r="F437" s="1">
        <v>4.26</v>
      </c>
      <c r="G437" s="1">
        <v>0</v>
      </c>
      <c r="H437" s="1">
        <v>34.1</v>
      </c>
      <c r="I437" s="2">
        <v>0</v>
      </c>
      <c r="J437" s="1">
        <v>1.25</v>
      </c>
      <c r="K437" s="2">
        <v>1.73</v>
      </c>
      <c r="L437" s="2">
        <v>22.6</v>
      </c>
      <c r="M437" s="1">
        <v>7.0000000000000007E-2</v>
      </c>
      <c r="N437" s="1">
        <v>0.32</v>
      </c>
      <c r="O437" s="1">
        <v>0.8</v>
      </c>
      <c r="P437" s="1">
        <v>25.8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 t="s">
        <v>3020</v>
      </c>
      <c r="W437" s="1" t="s">
        <v>3021</v>
      </c>
    </row>
    <row r="438" spans="1:23" ht="13.2">
      <c r="A438" s="1">
        <v>437</v>
      </c>
      <c r="B438" s="1" t="s">
        <v>3022</v>
      </c>
      <c r="C438" s="1" t="s">
        <v>2020</v>
      </c>
      <c r="D438" s="1">
        <v>57.73</v>
      </c>
      <c r="E438" s="1">
        <v>0.65</v>
      </c>
      <c r="F438" s="1">
        <v>16.079999999999998</v>
      </c>
      <c r="G438" s="1">
        <v>0</v>
      </c>
      <c r="H438" s="1">
        <v>7.2</v>
      </c>
      <c r="I438" s="2">
        <v>0</v>
      </c>
      <c r="J438" s="1">
        <v>0.08</v>
      </c>
      <c r="K438" s="2">
        <v>4.9400000000000004</v>
      </c>
      <c r="L438" s="2">
        <v>4.6900000000000004</v>
      </c>
      <c r="M438" s="1">
        <v>3.22</v>
      </c>
      <c r="N438" s="1">
        <v>2.88</v>
      </c>
      <c r="O438" s="1">
        <v>0.2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 t="s">
        <v>3023</v>
      </c>
      <c r="W438" s="1" t="s">
        <v>3024</v>
      </c>
    </row>
    <row r="439" spans="1:23" ht="13.2">
      <c r="A439" s="1">
        <v>438</v>
      </c>
      <c r="B439" s="1" t="s">
        <v>3025</v>
      </c>
      <c r="C439" s="1" t="s">
        <v>2020</v>
      </c>
      <c r="D439" s="1">
        <v>57.43</v>
      </c>
      <c r="E439" s="1">
        <v>0.88</v>
      </c>
      <c r="F439" s="1">
        <v>16.62</v>
      </c>
      <c r="G439" s="1">
        <v>0</v>
      </c>
      <c r="H439" s="1">
        <v>7.18</v>
      </c>
      <c r="I439" s="2">
        <v>0</v>
      </c>
      <c r="J439" s="1">
        <v>0</v>
      </c>
      <c r="K439" s="2">
        <v>5.91</v>
      </c>
      <c r="L439" s="2">
        <v>4.43</v>
      </c>
      <c r="M439" s="1">
        <v>2.76</v>
      </c>
      <c r="N439" s="1">
        <v>5.49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 t="s">
        <v>3026</v>
      </c>
      <c r="W439" s="1" t="s">
        <v>3027</v>
      </c>
    </row>
    <row r="440" spans="1:23" ht="26.4">
      <c r="A440" s="1">
        <v>439</v>
      </c>
      <c r="B440" s="1" t="s">
        <v>2761</v>
      </c>
      <c r="C440" s="1" t="s">
        <v>2020</v>
      </c>
      <c r="D440" s="1">
        <v>45.5</v>
      </c>
      <c r="E440" s="1">
        <v>1.64</v>
      </c>
      <c r="F440" s="1">
        <v>17.8</v>
      </c>
      <c r="G440" s="1">
        <v>0.2</v>
      </c>
      <c r="H440" s="1">
        <v>0</v>
      </c>
      <c r="I440" s="2">
        <v>8.5</v>
      </c>
      <c r="J440" s="1">
        <v>0.12</v>
      </c>
      <c r="K440" s="2">
        <v>12.2</v>
      </c>
      <c r="L440" s="2">
        <v>10.7</v>
      </c>
      <c r="M440" s="1">
        <v>0.61</v>
      </c>
      <c r="N440" s="1">
        <v>0.25</v>
      </c>
      <c r="O440" s="1">
        <v>0</v>
      </c>
      <c r="P440" s="1">
        <v>0</v>
      </c>
      <c r="Q440" s="1">
        <v>0</v>
      </c>
      <c r="R440" s="1">
        <v>213</v>
      </c>
      <c r="S440" s="1">
        <v>22.3</v>
      </c>
      <c r="T440" s="1">
        <v>0</v>
      </c>
      <c r="U440" s="1">
        <v>0</v>
      </c>
      <c r="V440" s="1" t="s">
        <v>3028</v>
      </c>
      <c r="W440" s="1" t="s">
        <v>3029</v>
      </c>
    </row>
    <row r="441" spans="1:23" ht="26.4">
      <c r="A441" s="1">
        <v>440</v>
      </c>
      <c r="B441" s="1" t="s">
        <v>3030</v>
      </c>
      <c r="C441" s="1" t="s">
        <v>2020</v>
      </c>
      <c r="D441" s="1">
        <v>46.1</v>
      </c>
      <c r="E441" s="1">
        <v>1.69</v>
      </c>
      <c r="F441" s="1">
        <v>17.899999999999999</v>
      </c>
      <c r="G441" s="1">
        <v>0.2</v>
      </c>
      <c r="H441" s="1">
        <v>0</v>
      </c>
      <c r="I441" s="2">
        <v>8.8000000000000007</v>
      </c>
      <c r="J441" s="1">
        <v>0.12</v>
      </c>
      <c r="K441" s="2">
        <v>10.9</v>
      </c>
      <c r="L441" s="2">
        <v>10.9</v>
      </c>
      <c r="M441" s="1">
        <v>0.61</v>
      </c>
      <c r="N441" s="1">
        <v>0.34</v>
      </c>
      <c r="O441" s="1">
        <v>0</v>
      </c>
      <c r="P441" s="1">
        <v>0</v>
      </c>
      <c r="Q441" s="1">
        <v>0</v>
      </c>
      <c r="R441" s="1">
        <v>0</v>
      </c>
      <c r="S441" s="1">
        <v>28.5</v>
      </c>
      <c r="T441" s="1">
        <v>0</v>
      </c>
      <c r="U441" s="1">
        <v>0</v>
      </c>
      <c r="V441" s="1" t="s">
        <v>3028</v>
      </c>
      <c r="W441" s="1" t="s">
        <v>3031</v>
      </c>
    </row>
    <row r="442" spans="1:23" ht="26.4">
      <c r="A442" s="1">
        <v>441</v>
      </c>
      <c r="B442" s="1" t="s">
        <v>3032</v>
      </c>
      <c r="C442" s="1" t="s">
        <v>2020</v>
      </c>
      <c r="D442" s="1">
        <v>52.7</v>
      </c>
      <c r="E442" s="1">
        <v>1.48</v>
      </c>
      <c r="F442" s="1">
        <v>18</v>
      </c>
      <c r="G442" s="1">
        <v>0.14000000000000001</v>
      </c>
      <c r="H442" s="1">
        <v>0</v>
      </c>
      <c r="I442" s="2">
        <v>6.9</v>
      </c>
      <c r="J442" s="1">
        <v>0.12</v>
      </c>
      <c r="K442" s="2">
        <v>3.45</v>
      </c>
      <c r="L442" s="2">
        <v>11.9</v>
      </c>
      <c r="M442" s="1">
        <v>0.79</v>
      </c>
      <c r="N442" s="1">
        <v>2.2999999999999998</v>
      </c>
      <c r="O442" s="1">
        <v>0</v>
      </c>
      <c r="P442" s="1">
        <v>0</v>
      </c>
      <c r="Q442" s="1">
        <v>0</v>
      </c>
      <c r="R442" s="1">
        <v>54</v>
      </c>
      <c r="S442" s="1">
        <v>19.399999999999999</v>
      </c>
      <c r="T442" s="1">
        <v>0</v>
      </c>
      <c r="U442" s="1">
        <v>0</v>
      </c>
      <c r="V442" s="1" t="s">
        <v>3028</v>
      </c>
      <c r="W442" s="1" t="s">
        <v>3033</v>
      </c>
    </row>
    <row r="443" spans="1:23" ht="26.4">
      <c r="A443" s="1">
        <v>442</v>
      </c>
      <c r="B443" s="1" t="s">
        <v>3034</v>
      </c>
      <c r="C443" s="1" t="s">
        <v>2020</v>
      </c>
      <c r="D443" s="1">
        <v>45.6</v>
      </c>
      <c r="E443" s="1">
        <v>1.47</v>
      </c>
      <c r="F443" s="1">
        <v>18.5</v>
      </c>
      <c r="G443" s="1">
        <v>0.18</v>
      </c>
      <c r="H443" s="1">
        <v>0</v>
      </c>
      <c r="I443" s="2">
        <v>8.1999999999999993</v>
      </c>
      <c r="J443" s="1">
        <v>0.12</v>
      </c>
      <c r="K443" s="2">
        <v>11.9</v>
      </c>
      <c r="L443" s="2">
        <v>11.1</v>
      </c>
      <c r="M443" s="1">
        <v>0.65</v>
      </c>
      <c r="N443" s="1">
        <v>0.26</v>
      </c>
      <c r="O443" s="1">
        <v>0</v>
      </c>
      <c r="P443" s="1">
        <v>0</v>
      </c>
      <c r="Q443" s="1">
        <v>0</v>
      </c>
      <c r="R443" s="1">
        <v>153</v>
      </c>
      <c r="S443" s="1">
        <v>17.7</v>
      </c>
      <c r="T443" s="1">
        <v>0</v>
      </c>
      <c r="U443" s="1">
        <v>0</v>
      </c>
      <c r="V443" s="1" t="s">
        <v>3028</v>
      </c>
      <c r="W443" s="1" t="s">
        <v>3035</v>
      </c>
    </row>
    <row r="444" spans="1:23" ht="26.4">
      <c r="A444" s="1">
        <v>443</v>
      </c>
      <c r="B444" s="1" t="s">
        <v>3036</v>
      </c>
      <c r="C444" s="1" t="s">
        <v>2020</v>
      </c>
      <c r="D444" s="1">
        <v>45.8</v>
      </c>
      <c r="E444" s="1">
        <v>1.43</v>
      </c>
      <c r="F444" s="1">
        <v>18.3</v>
      </c>
      <c r="G444" s="1">
        <v>0.19</v>
      </c>
      <c r="H444" s="1">
        <v>0</v>
      </c>
      <c r="I444" s="2">
        <v>8.4</v>
      </c>
      <c r="J444" s="1">
        <v>0.11</v>
      </c>
      <c r="K444" s="2">
        <v>13</v>
      </c>
      <c r="L444" s="2">
        <v>10.9</v>
      </c>
      <c r="M444" s="1">
        <v>0.62</v>
      </c>
      <c r="N444" s="1">
        <v>0.24</v>
      </c>
      <c r="O444" s="1">
        <v>0</v>
      </c>
      <c r="P444" s="1">
        <v>0</v>
      </c>
      <c r="Q444" s="1">
        <v>0</v>
      </c>
      <c r="R444" s="1">
        <v>227</v>
      </c>
      <c r="S444" s="1">
        <v>23.7</v>
      </c>
      <c r="T444" s="1">
        <v>0</v>
      </c>
      <c r="U444" s="1">
        <v>0</v>
      </c>
      <c r="V444" s="1" t="s">
        <v>3028</v>
      </c>
      <c r="W444" s="1" t="s">
        <v>3037</v>
      </c>
    </row>
    <row r="445" spans="1:23" ht="26.4">
      <c r="A445" s="1">
        <v>444</v>
      </c>
      <c r="B445" s="1" t="s">
        <v>3038</v>
      </c>
      <c r="C445" s="1" t="s">
        <v>2020</v>
      </c>
      <c r="D445" s="1">
        <v>46.4</v>
      </c>
      <c r="E445" s="1">
        <v>1.49</v>
      </c>
      <c r="F445" s="1">
        <v>18.2</v>
      </c>
      <c r="G445" s="1">
        <v>0.19</v>
      </c>
      <c r="H445" s="1">
        <v>0</v>
      </c>
      <c r="I445" s="2">
        <v>8.4</v>
      </c>
      <c r="J445" s="1">
        <v>0.12</v>
      </c>
      <c r="K445" s="2">
        <v>10.5</v>
      </c>
      <c r="L445" s="2">
        <v>11.2</v>
      </c>
      <c r="M445" s="1">
        <v>0.67</v>
      </c>
      <c r="N445" s="1">
        <v>0.3</v>
      </c>
      <c r="O445" s="1">
        <v>0</v>
      </c>
      <c r="P445" s="1">
        <v>0</v>
      </c>
      <c r="Q445" s="1">
        <v>0</v>
      </c>
      <c r="R445" s="1">
        <v>250</v>
      </c>
      <c r="S445" s="1">
        <v>28.35</v>
      </c>
      <c r="T445" s="1">
        <v>0</v>
      </c>
      <c r="U445" s="1">
        <v>0</v>
      </c>
      <c r="V445" s="1" t="s">
        <v>3028</v>
      </c>
      <c r="W445" s="1" t="s">
        <v>3039</v>
      </c>
    </row>
    <row r="446" spans="1:23" ht="26.4">
      <c r="A446" s="1">
        <v>445</v>
      </c>
      <c r="B446" s="1" t="s">
        <v>3040</v>
      </c>
      <c r="C446" s="1" t="s">
        <v>2020</v>
      </c>
      <c r="D446" s="1">
        <v>46</v>
      </c>
      <c r="E446" s="1">
        <v>1.52</v>
      </c>
      <c r="F446" s="1">
        <v>17.899999999999999</v>
      </c>
      <c r="G446" s="1">
        <v>0.19</v>
      </c>
      <c r="H446" s="1">
        <v>0</v>
      </c>
      <c r="I446" s="2">
        <v>9</v>
      </c>
      <c r="J446" s="1">
        <v>0.12</v>
      </c>
      <c r="K446" s="2">
        <v>13</v>
      </c>
      <c r="L446" s="2">
        <v>10.8</v>
      </c>
      <c r="M446" s="1">
        <v>0.62</v>
      </c>
      <c r="N446" s="1">
        <v>0.27</v>
      </c>
      <c r="O446" s="1">
        <v>0</v>
      </c>
      <c r="P446" s="1">
        <v>0</v>
      </c>
      <c r="Q446" s="1">
        <v>0</v>
      </c>
      <c r="R446" s="1">
        <v>250</v>
      </c>
      <c r="S446" s="1">
        <v>28.5</v>
      </c>
      <c r="T446" s="1">
        <v>0</v>
      </c>
      <c r="U446" s="1">
        <v>0</v>
      </c>
      <c r="V446" s="1" t="s">
        <v>3028</v>
      </c>
      <c r="W446" s="1" t="s">
        <v>3041</v>
      </c>
    </row>
    <row r="447" spans="1:23" ht="13.2">
      <c r="A447" s="1">
        <v>446</v>
      </c>
      <c r="B447" s="1" t="s">
        <v>3042</v>
      </c>
      <c r="C447" s="1" t="s">
        <v>2020</v>
      </c>
      <c r="D447" s="1">
        <v>80.7</v>
      </c>
      <c r="E447" s="1">
        <v>0</v>
      </c>
      <c r="F447" s="1">
        <v>7.5</v>
      </c>
      <c r="G447" s="1">
        <v>0</v>
      </c>
      <c r="H447" s="1">
        <v>0</v>
      </c>
      <c r="I447" s="2">
        <v>3.85</v>
      </c>
      <c r="J447" s="1">
        <v>0</v>
      </c>
      <c r="K447" s="2">
        <v>2.61</v>
      </c>
      <c r="L447" s="2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/>
      <c r="W447" s="1"/>
    </row>
    <row r="448" spans="1:23" ht="13.2">
      <c r="A448" s="1">
        <v>447</v>
      </c>
      <c r="B448" s="1" t="s">
        <v>3043</v>
      </c>
      <c r="C448" s="1" t="s">
        <v>2020</v>
      </c>
      <c r="D448" s="1">
        <v>58.7</v>
      </c>
      <c r="E448" s="1">
        <v>0</v>
      </c>
      <c r="F448" s="1">
        <v>10.9</v>
      </c>
      <c r="G448" s="1">
        <v>0</v>
      </c>
      <c r="H448" s="1">
        <v>0</v>
      </c>
      <c r="I448" s="2">
        <v>7.97</v>
      </c>
      <c r="J448" s="1">
        <v>0</v>
      </c>
      <c r="K448" s="2">
        <v>2.4500000000000002</v>
      </c>
      <c r="L448" s="2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/>
      <c r="W448" s="1"/>
    </row>
    <row r="449" spans="1:23" ht="13.2">
      <c r="A449" s="1">
        <v>448</v>
      </c>
      <c r="B449" s="1" t="s">
        <v>3044</v>
      </c>
      <c r="C449" s="1" t="s">
        <v>2020</v>
      </c>
      <c r="D449" s="1">
        <v>70.900000000000006</v>
      </c>
      <c r="E449" s="1">
        <v>0</v>
      </c>
      <c r="F449" s="1">
        <v>12.41</v>
      </c>
      <c r="G449" s="1">
        <v>0</v>
      </c>
      <c r="H449" s="1">
        <v>0</v>
      </c>
      <c r="I449" s="2">
        <v>4.79</v>
      </c>
      <c r="J449" s="1">
        <v>0</v>
      </c>
      <c r="K449" s="2">
        <v>2.76</v>
      </c>
      <c r="L449" s="2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/>
      <c r="W449" s="1"/>
    </row>
    <row r="450" spans="1:23" ht="13.2">
      <c r="A450" s="1">
        <v>449</v>
      </c>
      <c r="B450" s="1" t="s">
        <v>3045</v>
      </c>
      <c r="C450" s="1" t="s">
        <v>2020</v>
      </c>
      <c r="D450" s="1">
        <v>75.3</v>
      </c>
      <c r="E450" s="1">
        <v>0</v>
      </c>
      <c r="F450" s="1">
        <v>10.6</v>
      </c>
      <c r="G450" s="1">
        <v>0</v>
      </c>
      <c r="H450" s="1">
        <v>0</v>
      </c>
      <c r="I450" s="2">
        <v>4.7300000000000004</v>
      </c>
      <c r="J450" s="1">
        <v>0</v>
      </c>
      <c r="K450" s="2">
        <v>3.07</v>
      </c>
      <c r="L450" s="2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/>
      <c r="W450" s="1"/>
    </row>
    <row r="451" spans="1:23" ht="13.2">
      <c r="A451" s="1">
        <v>450</v>
      </c>
      <c r="B451" s="1" t="s">
        <v>3046</v>
      </c>
      <c r="C451" s="1" t="s">
        <v>2020</v>
      </c>
      <c r="D451" s="1">
        <v>80.5</v>
      </c>
      <c r="E451" s="1">
        <v>0</v>
      </c>
      <c r="F451" s="1">
        <v>8.16</v>
      </c>
      <c r="G451" s="1">
        <v>0</v>
      </c>
      <c r="H451" s="1">
        <v>0</v>
      </c>
      <c r="I451" s="2">
        <v>3.53</v>
      </c>
      <c r="J451" s="1">
        <v>0</v>
      </c>
      <c r="K451" s="2">
        <v>2.35</v>
      </c>
      <c r="L451" s="2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/>
      <c r="W451" s="1"/>
    </row>
    <row r="452" spans="1:23" ht="13.2">
      <c r="A452" s="1">
        <v>451</v>
      </c>
      <c r="B452" s="1" t="s">
        <v>3047</v>
      </c>
      <c r="C452" s="1" t="s">
        <v>2020</v>
      </c>
      <c r="D452" s="1">
        <v>68.7</v>
      </c>
      <c r="E452" s="1">
        <v>0</v>
      </c>
      <c r="F452" s="1">
        <v>12.7</v>
      </c>
      <c r="G452" s="1">
        <v>0</v>
      </c>
      <c r="H452" s="1">
        <v>0</v>
      </c>
      <c r="I452" s="2">
        <v>5.3</v>
      </c>
      <c r="J452" s="1">
        <v>0</v>
      </c>
      <c r="K452" s="2">
        <v>3.16</v>
      </c>
      <c r="L452" s="2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/>
      <c r="W452" s="1"/>
    </row>
    <row r="453" spans="1:23" ht="13.2">
      <c r="A453" s="1">
        <v>452</v>
      </c>
      <c r="B453" s="1" t="s">
        <v>3048</v>
      </c>
      <c r="C453" s="1" t="s">
        <v>3049</v>
      </c>
      <c r="D453" s="1">
        <v>7.0000000000000007E-2</v>
      </c>
      <c r="E453" s="1">
        <v>0.67</v>
      </c>
      <c r="F453" s="1">
        <v>59.84</v>
      </c>
      <c r="G453" s="1">
        <v>0.05</v>
      </c>
      <c r="H453" s="1">
        <v>0</v>
      </c>
      <c r="I453" s="2">
        <v>20.79</v>
      </c>
      <c r="J453" s="1">
        <v>0.12</v>
      </c>
      <c r="K453" s="2">
        <v>18.010000000000002</v>
      </c>
      <c r="L453" s="2">
        <v>0</v>
      </c>
      <c r="M453" s="1">
        <v>0.03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 t="s">
        <v>3050</v>
      </c>
      <c r="W453" s="1" t="s">
        <v>3051</v>
      </c>
    </row>
    <row r="454" spans="1:23" ht="13.2">
      <c r="A454" s="1">
        <v>453</v>
      </c>
      <c r="B454" s="1" t="s">
        <v>3052</v>
      </c>
      <c r="C454" s="1" t="s">
        <v>3053</v>
      </c>
      <c r="D454" s="1">
        <v>0</v>
      </c>
      <c r="E454" s="1">
        <v>0.15</v>
      </c>
      <c r="F454" s="1">
        <v>10.98</v>
      </c>
      <c r="G454" s="1">
        <v>57.56</v>
      </c>
      <c r="H454" s="1">
        <v>0.56000000000000005</v>
      </c>
      <c r="I454" s="2">
        <v>14.47</v>
      </c>
      <c r="J454" s="1">
        <v>0.26</v>
      </c>
      <c r="K454" s="2">
        <v>13.62</v>
      </c>
      <c r="L454" s="2">
        <v>0.09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0.23</v>
      </c>
      <c r="S454" s="1">
        <v>0</v>
      </c>
      <c r="T454" s="1">
        <v>0</v>
      </c>
      <c r="U454" s="1">
        <v>0.19</v>
      </c>
      <c r="V454" s="1" t="s">
        <v>3054</v>
      </c>
      <c r="W454" s="1" t="s">
        <v>3055</v>
      </c>
    </row>
    <row r="455" spans="1:23" ht="13.2">
      <c r="A455" s="1">
        <v>454</v>
      </c>
      <c r="B455" s="1" t="s">
        <v>3056</v>
      </c>
      <c r="C455" s="1" t="s">
        <v>3057</v>
      </c>
      <c r="D455" s="1">
        <v>39.090000000000003</v>
      </c>
      <c r="E455" s="1">
        <v>0.06</v>
      </c>
      <c r="F455" s="1">
        <v>0</v>
      </c>
      <c r="G455" s="1">
        <v>7.0000000000000007E-2</v>
      </c>
      <c r="H455" s="1">
        <v>0</v>
      </c>
      <c r="I455" s="2">
        <v>4.17</v>
      </c>
      <c r="J455" s="1">
        <v>0.2</v>
      </c>
      <c r="K455" s="2">
        <v>21.72</v>
      </c>
      <c r="L455" s="2">
        <v>35.74</v>
      </c>
      <c r="M455" s="1">
        <v>0.03</v>
      </c>
      <c r="N455" s="1">
        <v>0</v>
      </c>
      <c r="O455" s="1">
        <v>0.02</v>
      </c>
      <c r="P455" s="1">
        <v>0</v>
      </c>
      <c r="Q455" s="1">
        <v>0</v>
      </c>
      <c r="R455" s="1">
        <v>0.02</v>
      </c>
      <c r="S455" s="1">
        <v>0</v>
      </c>
      <c r="T455" s="1">
        <v>0</v>
      </c>
      <c r="U455" s="1">
        <v>0</v>
      </c>
      <c r="V455" s="1" t="s">
        <v>3054</v>
      </c>
      <c r="W455" s="1" t="s">
        <v>3058</v>
      </c>
    </row>
    <row r="456" spans="1:23" ht="13.2">
      <c r="A456" s="1">
        <v>455</v>
      </c>
      <c r="B456" s="1" t="s">
        <v>3059</v>
      </c>
      <c r="C456" s="1" t="s">
        <v>3057</v>
      </c>
      <c r="D456" s="1">
        <v>38.74</v>
      </c>
      <c r="E456" s="1">
        <v>0.05</v>
      </c>
      <c r="F456" s="1">
        <v>13.68</v>
      </c>
      <c r="G456" s="1">
        <v>0.1</v>
      </c>
      <c r="H456" s="1">
        <v>0</v>
      </c>
      <c r="I456" s="2">
        <v>1.42</v>
      </c>
      <c r="J456" s="1">
        <v>0.19</v>
      </c>
      <c r="K456" s="2">
        <v>5.93</v>
      </c>
      <c r="L456" s="2">
        <v>37.520000000000003</v>
      </c>
      <c r="M456" s="1">
        <v>2.33</v>
      </c>
      <c r="N456" s="1">
        <v>0.1</v>
      </c>
      <c r="O456" s="1">
        <v>0.02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 t="s">
        <v>3060</v>
      </c>
      <c r="W456" s="1" t="s">
        <v>3061</v>
      </c>
    </row>
    <row r="457" spans="1:23" ht="13.2">
      <c r="A457" s="1">
        <v>456</v>
      </c>
      <c r="B457" s="1" t="s">
        <v>3062</v>
      </c>
      <c r="C457" s="1" t="s">
        <v>3063</v>
      </c>
      <c r="D457" s="1">
        <v>0.05</v>
      </c>
      <c r="E457" s="1">
        <v>55.72</v>
      </c>
      <c r="F457" s="1">
        <v>0</v>
      </c>
      <c r="G457" s="1">
        <v>0.09</v>
      </c>
      <c r="H457" s="1">
        <v>0</v>
      </c>
      <c r="I457" s="2">
        <v>0.4</v>
      </c>
      <c r="J457" s="1">
        <v>0.12</v>
      </c>
      <c r="K457" s="2">
        <v>0</v>
      </c>
      <c r="L457" s="2">
        <v>42.26</v>
      </c>
      <c r="M457" s="1">
        <v>0.1</v>
      </c>
      <c r="N457" s="1">
        <v>0</v>
      </c>
      <c r="O457" s="1">
        <v>0.02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 t="s">
        <v>3060</v>
      </c>
      <c r="W457" s="1" t="s">
        <v>3064</v>
      </c>
    </row>
    <row r="458" spans="1:23" ht="13.2">
      <c r="A458" s="1">
        <v>457</v>
      </c>
      <c r="B458" s="1" t="s">
        <v>3065</v>
      </c>
      <c r="C458" s="1" t="s">
        <v>3053</v>
      </c>
      <c r="D458" s="1">
        <v>0.13</v>
      </c>
      <c r="E458" s="1">
        <v>0.84</v>
      </c>
      <c r="F458" s="1">
        <v>18.75</v>
      </c>
      <c r="G458" s="1">
        <v>40.98</v>
      </c>
      <c r="H458" s="1">
        <v>2.97</v>
      </c>
      <c r="I458" s="2">
        <v>25.27</v>
      </c>
      <c r="J458" s="1">
        <v>0.35</v>
      </c>
      <c r="K458" s="2">
        <v>9.11</v>
      </c>
      <c r="L458" s="2">
        <v>0.08</v>
      </c>
      <c r="M458" s="1">
        <v>0</v>
      </c>
      <c r="N458" s="1">
        <v>0</v>
      </c>
      <c r="O458" s="1">
        <v>0.01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 t="s">
        <v>3060</v>
      </c>
      <c r="W458" s="1" t="s">
        <v>3066</v>
      </c>
    </row>
    <row r="459" spans="1:23" ht="13.2">
      <c r="A459" s="1">
        <v>458</v>
      </c>
      <c r="B459" s="1" t="s">
        <v>1788</v>
      </c>
      <c r="C459" s="1" t="s">
        <v>2026</v>
      </c>
      <c r="D459" s="1">
        <v>41.09</v>
      </c>
      <c r="E459" s="1">
        <v>0.01</v>
      </c>
      <c r="F459" s="1">
        <v>0</v>
      </c>
      <c r="G459" s="1">
        <v>0.03</v>
      </c>
      <c r="H459" s="1">
        <v>0</v>
      </c>
      <c r="I459" s="2">
        <v>10.01</v>
      </c>
      <c r="J459" s="1">
        <v>0.17</v>
      </c>
      <c r="K459" s="2">
        <v>50.81</v>
      </c>
      <c r="L459" s="2">
        <v>0.06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/>
      <c r="W459" s="1" t="s">
        <v>1789</v>
      </c>
    </row>
    <row r="460" spans="1:23" ht="13.2">
      <c r="A460" s="1">
        <v>459</v>
      </c>
      <c r="B460" s="1" t="s">
        <v>3067</v>
      </c>
      <c r="C460" s="1" t="s">
        <v>2034</v>
      </c>
      <c r="D460" s="1">
        <v>52.49</v>
      </c>
      <c r="E460" s="1">
        <v>0.04</v>
      </c>
      <c r="F460" s="1">
        <v>4.4800000000000004</v>
      </c>
      <c r="G460" s="1">
        <v>0.99</v>
      </c>
      <c r="H460" s="1">
        <v>0.34</v>
      </c>
      <c r="I460" s="2">
        <v>2.62</v>
      </c>
      <c r="J460" s="1">
        <v>0</v>
      </c>
      <c r="K460" s="2">
        <v>15.28</v>
      </c>
      <c r="L460" s="2">
        <v>22.47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 t="s">
        <v>3050</v>
      </c>
      <c r="W460" s="1" t="s">
        <v>3068</v>
      </c>
    </row>
    <row r="461" spans="1:23" ht="13.2">
      <c r="A461" s="1">
        <v>460</v>
      </c>
      <c r="B461" s="1" t="s">
        <v>1278</v>
      </c>
      <c r="C461" s="1" t="s">
        <v>2034</v>
      </c>
      <c r="D461" s="1">
        <v>48.11</v>
      </c>
      <c r="E461" s="1">
        <v>1.07</v>
      </c>
      <c r="F461" s="1">
        <v>7.92</v>
      </c>
      <c r="G461" s="1">
        <v>0.04</v>
      </c>
      <c r="H461" s="1">
        <v>0</v>
      </c>
      <c r="I461" s="2">
        <v>1.86</v>
      </c>
      <c r="J461" s="1">
        <v>0</v>
      </c>
      <c r="K461" s="2">
        <v>14.44</v>
      </c>
      <c r="L461" s="2">
        <v>25.95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 t="s">
        <v>3050</v>
      </c>
      <c r="W461" s="1" t="s">
        <v>1279</v>
      </c>
    </row>
    <row r="462" spans="1:23" ht="13.2">
      <c r="A462" s="1">
        <v>461</v>
      </c>
      <c r="B462" s="1" t="s">
        <v>3069</v>
      </c>
      <c r="C462" s="1" t="s">
        <v>2034</v>
      </c>
      <c r="D462" s="1">
        <v>50.46</v>
      </c>
      <c r="E462" s="1">
        <v>0.51</v>
      </c>
      <c r="F462" s="1">
        <v>4.6500000000000004</v>
      </c>
      <c r="G462" s="1">
        <v>0.17</v>
      </c>
      <c r="H462" s="1">
        <v>0</v>
      </c>
      <c r="I462" s="2">
        <v>8.44</v>
      </c>
      <c r="J462" s="1">
        <v>0.15</v>
      </c>
      <c r="K462" s="2">
        <v>12.09</v>
      </c>
      <c r="L462" s="2">
        <v>23.97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 t="s">
        <v>3050</v>
      </c>
      <c r="W462" s="1" t="s">
        <v>3070</v>
      </c>
    </row>
    <row r="463" spans="1:23" ht="13.2">
      <c r="A463" s="1">
        <v>462</v>
      </c>
      <c r="B463" s="1" t="s">
        <v>1272</v>
      </c>
      <c r="C463" s="1" t="s">
        <v>2034</v>
      </c>
      <c r="D463" s="1">
        <v>53.39</v>
      </c>
      <c r="E463" s="1">
        <v>0.56000000000000005</v>
      </c>
      <c r="F463" s="1">
        <v>0.54</v>
      </c>
      <c r="G463" s="1">
        <v>0</v>
      </c>
      <c r="H463" s="1">
        <v>0</v>
      </c>
      <c r="I463" s="2">
        <v>16.420000000000002</v>
      </c>
      <c r="J463" s="1">
        <v>0.35</v>
      </c>
      <c r="K463" s="2">
        <v>18.760000000000002</v>
      </c>
      <c r="L463" s="2">
        <v>10.87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 t="s">
        <v>3050</v>
      </c>
      <c r="W463" s="1" t="s">
        <v>1273</v>
      </c>
    </row>
    <row r="464" spans="1:23" ht="13.2">
      <c r="A464" s="1">
        <v>463</v>
      </c>
      <c r="B464" s="1" t="s">
        <v>3071</v>
      </c>
      <c r="C464" s="1" t="s">
        <v>2034</v>
      </c>
      <c r="D464" s="1">
        <v>52.16</v>
      </c>
      <c r="E464" s="1">
        <v>0</v>
      </c>
      <c r="F464" s="1">
        <v>0.35</v>
      </c>
      <c r="G464" s="1">
        <v>0.05</v>
      </c>
      <c r="H464" s="1">
        <v>10.55</v>
      </c>
      <c r="I464" s="2">
        <v>12.79</v>
      </c>
      <c r="J464" s="1">
        <v>0.87</v>
      </c>
      <c r="K464" s="2">
        <v>0.99</v>
      </c>
      <c r="L464" s="2">
        <v>19.46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 t="s">
        <v>3072</v>
      </c>
      <c r="W464" s="1" t="s">
        <v>3073</v>
      </c>
    </row>
    <row r="465" spans="1:23" ht="13.2">
      <c r="A465" s="1">
        <v>464</v>
      </c>
      <c r="B465" s="1" t="s">
        <v>3074</v>
      </c>
      <c r="C465" s="1" t="s">
        <v>2034</v>
      </c>
      <c r="D465" s="1">
        <v>29.63</v>
      </c>
      <c r="E465" s="1">
        <v>1.01</v>
      </c>
      <c r="F465" s="1">
        <v>0</v>
      </c>
      <c r="G465" s="1">
        <v>0.1</v>
      </c>
      <c r="H465" s="1">
        <v>0</v>
      </c>
      <c r="I465" s="2">
        <v>1.24</v>
      </c>
      <c r="J465" s="1">
        <v>0.62</v>
      </c>
      <c r="K465" s="2">
        <v>0.04</v>
      </c>
      <c r="L465" s="2">
        <v>26.52</v>
      </c>
      <c r="M465" s="1">
        <v>6.22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 t="s">
        <v>3072</v>
      </c>
      <c r="W465" s="1" t="s">
        <v>3075</v>
      </c>
    </row>
    <row r="466" spans="1:23" ht="13.2">
      <c r="A466" s="1">
        <v>465</v>
      </c>
      <c r="B466" s="1" t="s">
        <v>3076</v>
      </c>
      <c r="C466" s="1" t="s">
        <v>2020</v>
      </c>
      <c r="D466" s="1">
        <v>34.5</v>
      </c>
      <c r="E466" s="1">
        <v>3</v>
      </c>
      <c r="F466" s="1">
        <v>18.5</v>
      </c>
      <c r="G466" s="1">
        <v>0</v>
      </c>
      <c r="H466" s="1">
        <v>12.4</v>
      </c>
      <c r="I466" s="2">
        <v>0</v>
      </c>
      <c r="J466" s="1">
        <v>0.2</v>
      </c>
      <c r="K466" s="2">
        <v>2.7</v>
      </c>
      <c r="L466" s="2">
        <v>4.9000000000000004</v>
      </c>
      <c r="M466" s="1">
        <v>1.9</v>
      </c>
      <c r="N466" s="1">
        <v>0.5</v>
      </c>
      <c r="O466" s="1">
        <v>0.7</v>
      </c>
      <c r="P466" s="1">
        <v>21.8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 t="s">
        <v>3077</v>
      </c>
      <c r="W466" s="1" t="s">
        <v>3078</v>
      </c>
    </row>
    <row r="467" spans="1:23" ht="13.2">
      <c r="A467" s="1">
        <v>466</v>
      </c>
      <c r="B467" s="1" t="s">
        <v>3076</v>
      </c>
      <c r="C467" s="1" t="s">
        <v>2020</v>
      </c>
      <c r="D467" s="1">
        <v>43.5</v>
      </c>
      <c r="E467" s="1">
        <v>3.8</v>
      </c>
      <c r="F467" s="1">
        <v>23.3</v>
      </c>
      <c r="G467" s="1">
        <v>0</v>
      </c>
      <c r="H467" s="1">
        <v>15.6</v>
      </c>
      <c r="I467" s="2">
        <v>0</v>
      </c>
      <c r="J467" s="1">
        <v>0.3</v>
      </c>
      <c r="K467" s="2">
        <v>3.4</v>
      </c>
      <c r="L467" s="2">
        <v>6.2</v>
      </c>
      <c r="M467" s="1">
        <v>2.4</v>
      </c>
      <c r="N467" s="1">
        <v>0.6</v>
      </c>
      <c r="O467" s="1">
        <v>0.9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 t="s">
        <v>3077</v>
      </c>
      <c r="W467" s="1" t="s">
        <v>3078</v>
      </c>
    </row>
    <row r="468" spans="1:23" ht="13.2">
      <c r="A468" s="1">
        <v>467</v>
      </c>
      <c r="B468" s="1" t="s">
        <v>3079</v>
      </c>
      <c r="C468" s="1" t="s">
        <v>2020</v>
      </c>
      <c r="D468" s="1">
        <v>46.5</v>
      </c>
      <c r="E468" s="1">
        <v>2.9</v>
      </c>
      <c r="F468" s="1">
        <v>15.2</v>
      </c>
      <c r="G468" s="1">
        <v>0.26</v>
      </c>
      <c r="H468" s="1">
        <v>0</v>
      </c>
      <c r="I468" s="2">
        <v>14.1</v>
      </c>
      <c r="J468" s="1">
        <v>0.2</v>
      </c>
      <c r="K468" s="2">
        <v>9.4</v>
      </c>
      <c r="L468" s="2">
        <v>10.7</v>
      </c>
      <c r="M468" s="1">
        <v>0.59</v>
      </c>
      <c r="N468" s="1">
        <v>0.36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 t="s">
        <v>3080</v>
      </c>
      <c r="W468" s="1" t="s">
        <v>3081</v>
      </c>
    </row>
    <row r="469" spans="1:23" ht="13.2">
      <c r="A469" s="1">
        <v>468</v>
      </c>
      <c r="B469" s="1" t="s">
        <v>3082</v>
      </c>
      <c r="C469" s="1" t="s">
        <v>2020</v>
      </c>
      <c r="D469" s="1">
        <v>48.2</v>
      </c>
      <c r="E469" s="1">
        <v>2.33</v>
      </c>
      <c r="F469" s="1">
        <v>15.1</v>
      </c>
      <c r="G469" s="1">
        <v>0.37</v>
      </c>
      <c r="H469" s="1">
        <v>0</v>
      </c>
      <c r="I469" s="2">
        <v>12.9</v>
      </c>
      <c r="J469" s="1">
        <v>0.18</v>
      </c>
      <c r="K469" s="2">
        <v>8.43</v>
      </c>
      <c r="L469" s="2">
        <v>10.6</v>
      </c>
      <c r="M469" s="1">
        <v>0.87</v>
      </c>
      <c r="N469" s="1">
        <v>0.54</v>
      </c>
      <c r="O469" s="1">
        <v>0.55000000000000004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 t="s">
        <v>3083</v>
      </c>
      <c r="W469" s="1" t="s">
        <v>3081</v>
      </c>
    </row>
    <row r="470" spans="1:23" ht="26.4">
      <c r="A470" s="1">
        <v>469</v>
      </c>
      <c r="B470" s="1" t="s">
        <v>3084</v>
      </c>
      <c r="C470" s="1" t="s">
        <v>3085</v>
      </c>
      <c r="D470" s="1">
        <v>47.8</v>
      </c>
      <c r="E470" s="1">
        <v>0.63</v>
      </c>
      <c r="F470" s="1">
        <v>23.6</v>
      </c>
      <c r="G470" s="1">
        <v>0.15</v>
      </c>
      <c r="H470" s="1">
        <v>0</v>
      </c>
      <c r="I470" s="2">
        <v>5.4</v>
      </c>
      <c r="J470" s="1">
        <v>7.0000000000000007E-2</v>
      </c>
      <c r="K470" s="2">
        <v>8.5</v>
      </c>
      <c r="L470" s="2">
        <v>13.5</v>
      </c>
      <c r="M470" s="1">
        <v>0.43</v>
      </c>
      <c r="N470" s="1">
        <v>0.22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3</v>
      </c>
      <c r="U470" s="1">
        <v>0</v>
      </c>
      <c r="V470" s="1" t="s">
        <v>3086</v>
      </c>
      <c r="W470" s="1" t="s">
        <v>3087</v>
      </c>
    </row>
    <row r="471" spans="1:23" ht="26.4">
      <c r="A471" s="1">
        <v>470</v>
      </c>
      <c r="B471" s="1" t="s">
        <v>3084</v>
      </c>
      <c r="C471" s="1" t="s">
        <v>2578</v>
      </c>
      <c r="D471" s="1">
        <v>44.1</v>
      </c>
      <c r="E471" s="1">
        <v>0.42</v>
      </c>
      <c r="F471" s="1">
        <v>25.1</v>
      </c>
      <c r="G471" s="1">
        <v>0.15</v>
      </c>
      <c r="H471" s="1">
        <v>0</v>
      </c>
      <c r="I471" s="2">
        <v>6.1</v>
      </c>
      <c r="J471" s="1">
        <v>7.0000000000000007E-2</v>
      </c>
      <c r="K471" s="2">
        <v>8</v>
      </c>
      <c r="L471" s="2">
        <v>14.5</v>
      </c>
      <c r="M471" s="1">
        <v>0.36</v>
      </c>
      <c r="N471" s="1">
        <v>0.08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2.4</v>
      </c>
      <c r="U471" s="1">
        <v>0</v>
      </c>
      <c r="V471" s="1" t="s">
        <v>3086</v>
      </c>
      <c r="W471" s="1" t="s">
        <v>3088</v>
      </c>
    </row>
    <row r="472" spans="1:23" ht="26.4">
      <c r="A472" s="1">
        <v>471</v>
      </c>
      <c r="B472" s="1" t="s">
        <v>3084</v>
      </c>
      <c r="C472" s="1" t="s">
        <v>3089</v>
      </c>
      <c r="D472" s="1">
        <v>48.6</v>
      </c>
      <c r="E472" s="1">
        <v>0.67</v>
      </c>
      <c r="F472" s="1">
        <v>17.5</v>
      </c>
      <c r="G472" s="1">
        <v>0.25</v>
      </c>
      <c r="H472" s="1">
        <v>0</v>
      </c>
      <c r="I472" s="2">
        <v>6.5</v>
      </c>
      <c r="J472" s="1">
        <v>7.0000000000000007E-2</v>
      </c>
      <c r="K472" s="2">
        <v>14</v>
      </c>
      <c r="L472" s="2">
        <v>11.3</v>
      </c>
      <c r="M472" s="1">
        <v>0.84</v>
      </c>
      <c r="N472" s="1">
        <v>0.26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 t="s">
        <v>3086</v>
      </c>
      <c r="W472" s="1" t="s">
        <v>3087</v>
      </c>
    </row>
    <row r="473" spans="1:23" ht="13.2">
      <c r="A473" s="1">
        <v>472</v>
      </c>
      <c r="B473" s="1" t="s">
        <v>3090</v>
      </c>
      <c r="C473" s="1" t="s">
        <v>2020</v>
      </c>
      <c r="D473" s="1">
        <v>0</v>
      </c>
      <c r="E473" s="1">
        <v>0.92</v>
      </c>
      <c r="F473" s="1">
        <v>9.6999999999999993</v>
      </c>
      <c r="G473" s="1">
        <v>0.05</v>
      </c>
      <c r="H473" s="1">
        <v>0</v>
      </c>
      <c r="I473" s="2">
        <v>21.5</v>
      </c>
      <c r="J473" s="1">
        <v>0.52</v>
      </c>
      <c r="K473" s="2">
        <v>5.1100000000000003</v>
      </c>
      <c r="L473" s="2">
        <v>10.32</v>
      </c>
      <c r="M473" s="1">
        <v>1.86</v>
      </c>
      <c r="N473" s="1">
        <v>0</v>
      </c>
      <c r="O473" s="1">
        <v>1.08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/>
      <c r="W473" s="1"/>
    </row>
    <row r="474" spans="1:23" ht="13.2">
      <c r="A474" s="1">
        <v>473</v>
      </c>
      <c r="B474" s="1" t="s">
        <v>3091</v>
      </c>
      <c r="C474" s="1" t="s">
        <v>2578</v>
      </c>
      <c r="D474" s="1">
        <v>50.01</v>
      </c>
      <c r="E474" s="1">
        <v>1.61</v>
      </c>
      <c r="F474" s="1">
        <v>8.9600000000000009</v>
      </c>
      <c r="G474" s="1">
        <v>0</v>
      </c>
      <c r="H474" s="1">
        <v>0</v>
      </c>
      <c r="I474" s="2">
        <v>20.47</v>
      </c>
      <c r="J474" s="1">
        <v>0.53</v>
      </c>
      <c r="K474" s="2">
        <v>5.16</v>
      </c>
      <c r="L474" s="2">
        <v>9.92</v>
      </c>
      <c r="M474" s="1">
        <v>1.85</v>
      </c>
      <c r="N474" s="1">
        <v>0.35</v>
      </c>
      <c r="O474" s="1">
        <v>0.48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/>
      <c r="W474" s="1" t="s">
        <v>3092</v>
      </c>
    </row>
    <row r="475" spans="1:23" ht="13.2">
      <c r="A475" s="1">
        <v>474</v>
      </c>
      <c r="B475" s="1" t="s">
        <v>3091</v>
      </c>
      <c r="C475" s="1" t="s">
        <v>2670</v>
      </c>
      <c r="D475" s="1">
        <v>53.25</v>
      </c>
      <c r="E475" s="1">
        <v>0.2</v>
      </c>
      <c r="F475" s="1">
        <v>0.67</v>
      </c>
      <c r="G475" s="1">
        <v>0</v>
      </c>
      <c r="H475" s="1">
        <v>0</v>
      </c>
      <c r="I475" s="2">
        <v>18.2</v>
      </c>
      <c r="J475" s="1">
        <v>0.66</v>
      </c>
      <c r="K475" s="2">
        <v>22.57</v>
      </c>
      <c r="L475" s="2">
        <v>4.21</v>
      </c>
      <c r="M475" s="1">
        <v>0.06</v>
      </c>
      <c r="N475" s="1">
        <v>0.01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/>
      <c r="W475" s="1" t="s">
        <v>3093</v>
      </c>
    </row>
    <row r="476" spans="1:23" ht="13.2">
      <c r="A476" s="1">
        <v>475</v>
      </c>
      <c r="B476" s="1" t="s">
        <v>3094</v>
      </c>
      <c r="C476" s="1" t="s">
        <v>2578</v>
      </c>
      <c r="D476" s="1">
        <v>51.35</v>
      </c>
      <c r="E476" s="1">
        <v>0.99</v>
      </c>
      <c r="F476" s="1">
        <v>8.33</v>
      </c>
      <c r="G476" s="1">
        <v>0</v>
      </c>
      <c r="H476" s="1">
        <v>0</v>
      </c>
      <c r="I476" s="2">
        <v>18.05</v>
      </c>
      <c r="J476" s="1">
        <v>0.49</v>
      </c>
      <c r="K476" s="2">
        <v>7.27</v>
      </c>
      <c r="L476" s="2">
        <v>10.16</v>
      </c>
      <c r="M476" s="1">
        <v>1.71</v>
      </c>
      <c r="N476" s="1">
        <v>0.46</v>
      </c>
      <c r="O476" s="1">
        <v>0.62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/>
      <c r="W476" s="1" t="s">
        <v>3095</v>
      </c>
    </row>
    <row r="477" spans="1:23" ht="13.2">
      <c r="A477" s="1">
        <v>476</v>
      </c>
      <c r="B477" s="1" t="s">
        <v>3096</v>
      </c>
      <c r="C477" s="1" t="s">
        <v>2020</v>
      </c>
      <c r="D477" s="1">
        <v>57.7</v>
      </c>
      <c r="E477" s="1">
        <v>0.6</v>
      </c>
      <c r="F477" s="1">
        <v>11.5</v>
      </c>
      <c r="G477" s="1">
        <v>0</v>
      </c>
      <c r="H477" s="1">
        <v>0</v>
      </c>
      <c r="I477" s="2">
        <v>16.600000000000001</v>
      </c>
      <c r="J477" s="1">
        <v>0.34</v>
      </c>
      <c r="K477" s="2">
        <v>1.8</v>
      </c>
      <c r="L477" s="2">
        <v>6.9</v>
      </c>
      <c r="M477" s="1">
        <v>2.5</v>
      </c>
      <c r="N477" s="1">
        <v>1.17</v>
      </c>
      <c r="O477" s="1">
        <v>0.54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 t="s">
        <v>3097</v>
      </c>
      <c r="W477" s="1" t="s">
        <v>3098</v>
      </c>
    </row>
    <row r="478" spans="1:23" ht="13.2">
      <c r="A478" s="1">
        <v>477</v>
      </c>
      <c r="B478" s="1" t="s">
        <v>3099</v>
      </c>
      <c r="C478" s="1" t="s">
        <v>2020</v>
      </c>
      <c r="D478" s="1">
        <v>62</v>
      </c>
      <c r="E478" s="1">
        <v>0.7</v>
      </c>
      <c r="F478" s="1">
        <v>10.6</v>
      </c>
      <c r="G478" s="1">
        <v>0</v>
      </c>
      <c r="H478" s="1">
        <v>0</v>
      </c>
      <c r="I478" s="2">
        <v>12</v>
      </c>
      <c r="J478" s="1">
        <v>0.4</v>
      </c>
      <c r="K478" s="2">
        <v>2</v>
      </c>
      <c r="L478" s="2">
        <v>0</v>
      </c>
      <c r="M478" s="1">
        <v>2.6</v>
      </c>
      <c r="N478" s="1">
        <v>0.7</v>
      </c>
      <c r="O478" s="1">
        <v>0.5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 t="s">
        <v>3097</v>
      </c>
      <c r="W478" s="1" t="s">
        <v>3100</v>
      </c>
    </row>
    <row r="479" spans="1:23" ht="26.4">
      <c r="A479" s="1">
        <v>478</v>
      </c>
      <c r="B479" s="1" t="s">
        <v>3101</v>
      </c>
      <c r="C479" s="1" t="s">
        <v>3102</v>
      </c>
      <c r="D479" s="1">
        <v>45</v>
      </c>
      <c r="E479" s="1">
        <v>1.58</v>
      </c>
      <c r="F479" s="1">
        <v>38</v>
      </c>
      <c r="G479" s="1">
        <v>0</v>
      </c>
      <c r="H479" s="1">
        <v>0.26</v>
      </c>
      <c r="I479" s="2">
        <v>0.02</v>
      </c>
      <c r="J479" s="1">
        <v>0</v>
      </c>
      <c r="K479" s="2">
        <v>0.02</v>
      </c>
      <c r="L479" s="2">
        <v>0.02</v>
      </c>
      <c r="M479" s="1">
        <v>0.01</v>
      </c>
      <c r="N479" s="1">
        <v>0.04</v>
      </c>
      <c r="O479" s="1">
        <v>0.05</v>
      </c>
      <c r="P479" s="1">
        <v>14.31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 t="s">
        <v>3103</v>
      </c>
      <c r="W479" s="1" t="s">
        <v>3104</v>
      </c>
    </row>
    <row r="480" spans="1:23" ht="26.4">
      <c r="A480" s="1">
        <v>479</v>
      </c>
      <c r="B480" s="1" t="s">
        <v>3105</v>
      </c>
      <c r="C480" s="1" t="s">
        <v>3102</v>
      </c>
      <c r="D480" s="1">
        <v>44.2</v>
      </c>
      <c r="E480" s="1">
        <v>2.17</v>
      </c>
      <c r="F480" s="1">
        <v>37.200000000000003</v>
      </c>
      <c r="G480" s="1">
        <v>0</v>
      </c>
      <c r="H480" s="1">
        <v>1.1399999999999999</v>
      </c>
      <c r="I480" s="2">
        <v>0.05</v>
      </c>
      <c r="J480" s="1">
        <v>0</v>
      </c>
      <c r="K480" s="2">
        <v>0.04</v>
      </c>
      <c r="L480" s="2">
        <v>0.04</v>
      </c>
      <c r="M480" s="1">
        <v>0.02</v>
      </c>
      <c r="N480" s="1">
        <v>0.02</v>
      </c>
      <c r="O480" s="1">
        <v>0.06</v>
      </c>
      <c r="P480" s="1">
        <v>14.24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 t="s">
        <v>3106</v>
      </c>
      <c r="W480" s="1" t="s">
        <v>3107</v>
      </c>
    </row>
    <row r="481" spans="1:23" ht="13.2">
      <c r="A481" s="1">
        <v>480</v>
      </c>
      <c r="B481" s="1" t="s">
        <v>3108</v>
      </c>
      <c r="C481" s="1" t="s">
        <v>2578</v>
      </c>
      <c r="D481" s="1">
        <v>51.9</v>
      </c>
      <c r="E481" s="1">
        <v>1.69</v>
      </c>
      <c r="F481" s="1">
        <v>9.08</v>
      </c>
      <c r="G481" s="1">
        <v>0</v>
      </c>
      <c r="H481" s="1">
        <v>0</v>
      </c>
      <c r="I481" s="2">
        <v>19.14</v>
      </c>
      <c r="J481" s="1">
        <v>0.48</v>
      </c>
      <c r="K481" s="2">
        <v>4.96</v>
      </c>
      <c r="L481" s="2">
        <v>9.41</v>
      </c>
      <c r="M481" s="1">
        <v>2.11</v>
      </c>
      <c r="N481" s="1">
        <v>0.44</v>
      </c>
      <c r="O481" s="1">
        <v>0.51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/>
      <c r="W481" s="1" t="s">
        <v>3109</v>
      </c>
    </row>
    <row r="482" spans="1:23" ht="13.2">
      <c r="A482" s="1">
        <v>481</v>
      </c>
      <c r="B482" s="1" t="s">
        <v>3110</v>
      </c>
      <c r="C482" s="1" t="s">
        <v>2578</v>
      </c>
      <c r="D482" s="1">
        <v>49</v>
      </c>
      <c r="E482" s="1">
        <v>1.4</v>
      </c>
      <c r="F482" s="1">
        <v>10.199999999999999</v>
      </c>
      <c r="G482" s="1">
        <v>0</v>
      </c>
      <c r="H482" s="1">
        <v>0</v>
      </c>
      <c r="I482" s="2">
        <v>22.8</v>
      </c>
      <c r="J482" s="1">
        <v>0.4</v>
      </c>
      <c r="K482" s="2">
        <v>3</v>
      </c>
      <c r="L482" s="2">
        <v>9.4</v>
      </c>
      <c r="M482" s="1">
        <v>1.8</v>
      </c>
      <c r="N482" s="1">
        <v>0.5</v>
      </c>
      <c r="O482" s="1">
        <v>0.9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/>
      <c r="W482" s="1" t="s">
        <v>3111</v>
      </c>
    </row>
    <row r="483" spans="1:23" ht="13.2">
      <c r="A483" s="1">
        <v>482</v>
      </c>
      <c r="B483" s="1" t="s">
        <v>3112</v>
      </c>
      <c r="C483" s="1" t="s">
        <v>2578</v>
      </c>
      <c r="D483" s="1">
        <v>50.7</v>
      </c>
      <c r="E483" s="1">
        <v>2.2999999999999998</v>
      </c>
      <c r="F483" s="1">
        <v>9.8000000000000007</v>
      </c>
      <c r="G483" s="1">
        <v>0</v>
      </c>
      <c r="H483" s="1">
        <v>0</v>
      </c>
      <c r="I483" s="2">
        <v>21.8</v>
      </c>
      <c r="J483" s="1">
        <v>0.3</v>
      </c>
      <c r="K483" s="2">
        <v>1.8</v>
      </c>
      <c r="L483" s="2">
        <v>8.1999999999999993</v>
      </c>
      <c r="M483" s="1">
        <v>2.2999999999999998</v>
      </c>
      <c r="N483" s="1">
        <v>1</v>
      </c>
      <c r="O483" s="1">
        <v>1.1000000000000001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50.7</v>
      </c>
      <c r="W483" s="1" t="s">
        <v>3113</v>
      </c>
    </row>
    <row r="484" spans="1:23" ht="13.2">
      <c r="A484" s="1">
        <v>483</v>
      </c>
      <c r="B484" s="1" t="s">
        <v>3114</v>
      </c>
      <c r="C484" s="1" t="s">
        <v>2578</v>
      </c>
      <c r="D484" s="1">
        <v>50.3</v>
      </c>
      <c r="E484" s="1">
        <v>1.7</v>
      </c>
      <c r="F484" s="1">
        <v>10.3</v>
      </c>
      <c r="G484" s="1">
        <v>0</v>
      </c>
      <c r="H484" s="1">
        <v>0</v>
      </c>
      <c r="I484" s="2">
        <v>21.7</v>
      </c>
      <c r="J484" s="1">
        <v>0.4</v>
      </c>
      <c r="K484" s="2">
        <v>2.4</v>
      </c>
      <c r="L484" s="2">
        <v>8.8000000000000007</v>
      </c>
      <c r="M484" s="1">
        <v>2.1</v>
      </c>
      <c r="N484" s="1">
        <v>0.8</v>
      </c>
      <c r="O484" s="1">
        <v>0.8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/>
      <c r="W484" s="1" t="s">
        <v>3115</v>
      </c>
    </row>
    <row r="485" spans="1:23" ht="13.2">
      <c r="A485" s="1">
        <v>484</v>
      </c>
      <c r="B485" s="1" t="s">
        <v>3116</v>
      </c>
      <c r="C485" s="1" t="s">
        <v>2578</v>
      </c>
      <c r="D485" s="1">
        <v>63.7</v>
      </c>
      <c r="E485" s="1">
        <v>1.33</v>
      </c>
      <c r="F485" s="1">
        <v>11.8</v>
      </c>
      <c r="G485" s="1">
        <v>0</v>
      </c>
      <c r="H485" s="1">
        <v>0</v>
      </c>
      <c r="I485" s="2">
        <v>11.14</v>
      </c>
      <c r="J485" s="1">
        <v>0.22</v>
      </c>
      <c r="K485" s="2">
        <v>0.98</v>
      </c>
      <c r="L485" s="2">
        <v>5.03</v>
      </c>
      <c r="M485" s="1">
        <v>2.2799999999999998</v>
      </c>
      <c r="N485" s="1">
        <v>1.71</v>
      </c>
      <c r="O485" s="1">
        <v>0.92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/>
      <c r="W485" s="1" t="s">
        <v>3117</v>
      </c>
    </row>
    <row r="486" spans="1:23" ht="13.2">
      <c r="A486" s="1">
        <v>485</v>
      </c>
      <c r="B486" s="1" t="s">
        <v>3118</v>
      </c>
      <c r="C486" s="1" t="s">
        <v>2578</v>
      </c>
      <c r="D486" s="1">
        <v>52.04</v>
      </c>
      <c r="E486" s="1">
        <v>1.71</v>
      </c>
      <c r="F486" s="1">
        <v>9.61</v>
      </c>
      <c r="G486" s="1">
        <v>0</v>
      </c>
      <c r="H486" s="1">
        <v>0</v>
      </c>
      <c r="I486" s="2">
        <v>18.79</v>
      </c>
      <c r="J486" s="1">
        <v>0.46</v>
      </c>
      <c r="K486" s="2">
        <v>4.46</v>
      </c>
      <c r="L486" s="2">
        <v>9.57</v>
      </c>
      <c r="M486" s="1">
        <v>2.19</v>
      </c>
      <c r="N486" s="1">
        <v>0.44</v>
      </c>
      <c r="O486" s="1">
        <v>0.5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/>
      <c r="W486" s="1" t="s">
        <v>3119</v>
      </c>
    </row>
    <row r="487" spans="1:23" ht="13.2">
      <c r="A487" s="1">
        <v>486</v>
      </c>
      <c r="B487" s="1" t="s">
        <v>3116</v>
      </c>
      <c r="C487" s="1" t="s">
        <v>2670</v>
      </c>
      <c r="D487" s="1">
        <v>49.46</v>
      </c>
      <c r="E487" s="1">
        <v>0.31</v>
      </c>
      <c r="F487" s="1">
        <v>0.59</v>
      </c>
      <c r="G487" s="1">
        <v>0</v>
      </c>
      <c r="H487" s="1">
        <v>0</v>
      </c>
      <c r="I487" s="2">
        <v>29.75</v>
      </c>
      <c r="J487" s="1">
        <v>0.89</v>
      </c>
      <c r="K487" s="2">
        <v>13.41</v>
      </c>
      <c r="L487" s="2">
        <v>4.9400000000000004</v>
      </c>
      <c r="M487" s="1">
        <v>0.04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/>
      <c r="W487" s="1" t="s">
        <v>3120</v>
      </c>
    </row>
    <row r="488" spans="1:23" ht="13.2">
      <c r="A488" s="1">
        <v>487</v>
      </c>
      <c r="B488" s="1" t="s">
        <v>3116</v>
      </c>
      <c r="C488" s="1" t="s">
        <v>2677</v>
      </c>
      <c r="D488" s="1">
        <v>49.89</v>
      </c>
      <c r="E488" s="1">
        <v>0.7</v>
      </c>
      <c r="F488" s="1">
        <v>1.53</v>
      </c>
      <c r="G488" s="1">
        <v>0</v>
      </c>
      <c r="H488" s="1">
        <v>0</v>
      </c>
      <c r="I488" s="2">
        <v>20.48</v>
      </c>
      <c r="J488" s="1">
        <v>0.71</v>
      </c>
      <c r="K488" s="2">
        <v>11.89</v>
      </c>
      <c r="L488" s="2">
        <v>14.16</v>
      </c>
      <c r="M488" s="1">
        <v>0.15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/>
      <c r="W488" s="1" t="s">
        <v>3121</v>
      </c>
    </row>
    <row r="489" spans="1:23" ht="13.2">
      <c r="A489" s="1">
        <v>488</v>
      </c>
      <c r="B489" s="1" t="s">
        <v>3116</v>
      </c>
      <c r="C489" s="1" t="s">
        <v>51</v>
      </c>
      <c r="D489" s="1">
        <v>55.27</v>
      </c>
      <c r="E489" s="1">
        <v>0</v>
      </c>
      <c r="F489" s="1">
        <v>26.69</v>
      </c>
      <c r="G489" s="1">
        <v>0</v>
      </c>
      <c r="H489" s="1">
        <v>0</v>
      </c>
      <c r="I489" s="2">
        <v>1.32</v>
      </c>
      <c r="J489" s="1">
        <v>0</v>
      </c>
      <c r="K489" s="2">
        <v>0</v>
      </c>
      <c r="L489" s="2">
        <v>10.36</v>
      </c>
      <c r="M489" s="1">
        <v>4.8600000000000003</v>
      </c>
      <c r="N489" s="1">
        <v>0.28000000000000003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/>
      <c r="W489" s="1" t="s">
        <v>3122</v>
      </c>
    </row>
    <row r="490" spans="1:23" ht="13.2">
      <c r="A490" s="1">
        <v>489</v>
      </c>
      <c r="B490" s="1" t="s">
        <v>3116</v>
      </c>
      <c r="C490" s="1" t="s">
        <v>2070</v>
      </c>
      <c r="D490" s="1">
        <v>0</v>
      </c>
      <c r="E490" s="1">
        <v>19.95</v>
      </c>
      <c r="F490" s="1">
        <v>1.84</v>
      </c>
      <c r="G490" s="1">
        <v>0</v>
      </c>
      <c r="H490" s="1">
        <v>0</v>
      </c>
      <c r="I490" s="2">
        <v>69.900000000000006</v>
      </c>
      <c r="J490" s="1">
        <v>0.52</v>
      </c>
      <c r="K490" s="2">
        <v>1.42</v>
      </c>
      <c r="L490" s="2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/>
      <c r="W490" s="1" t="s">
        <v>3123</v>
      </c>
    </row>
    <row r="491" spans="1:23" ht="13.2">
      <c r="A491" s="1">
        <v>490</v>
      </c>
      <c r="B491" s="1" t="s">
        <v>3118</v>
      </c>
      <c r="C491" s="1" t="s">
        <v>2670</v>
      </c>
      <c r="D491" s="1">
        <v>52.76</v>
      </c>
      <c r="E491" s="1">
        <v>0.22</v>
      </c>
      <c r="F491" s="1">
        <v>0.67</v>
      </c>
      <c r="G491" s="1">
        <v>0</v>
      </c>
      <c r="H491" s="1">
        <v>0</v>
      </c>
      <c r="I491" s="2">
        <v>19.510000000000002</v>
      </c>
      <c r="J491" s="1">
        <v>0.78</v>
      </c>
      <c r="K491" s="2">
        <v>20.64</v>
      </c>
      <c r="L491" s="2">
        <v>5.28</v>
      </c>
      <c r="M491" s="1">
        <v>0.06</v>
      </c>
      <c r="N491" s="1">
        <v>0.01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/>
      <c r="W491" s="1" t="s">
        <v>3124</v>
      </c>
    </row>
    <row r="492" spans="1:23" ht="13.2">
      <c r="A492" s="1">
        <v>491</v>
      </c>
      <c r="B492" s="1" t="s">
        <v>3125</v>
      </c>
      <c r="C492" s="1" t="s">
        <v>2578</v>
      </c>
      <c r="D492" s="1">
        <v>53.19</v>
      </c>
      <c r="E492" s="1">
        <v>2.29</v>
      </c>
      <c r="F492" s="1">
        <v>10.130000000000001</v>
      </c>
      <c r="G492" s="1">
        <v>0</v>
      </c>
      <c r="H492" s="1">
        <v>0</v>
      </c>
      <c r="I492" s="2">
        <v>18.93</v>
      </c>
      <c r="J492" s="1">
        <v>0.35</v>
      </c>
      <c r="K492" s="2">
        <v>1.97</v>
      </c>
      <c r="L492" s="2">
        <v>7.84</v>
      </c>
      <c r="M492" s="1">
        <v>2.6</v>
      </c>
      <c r="N492" s="1">
        <v>0.89</v>
      </c>
      <c r="O492" s="1">
        <v>1.31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/>
      <c r="W492" s="1" t="s">
        <v>3126</v>
      </c>
    </row>
    <row r="493" spans="1:23" ht="13.2">
      <c r="A493" s="1">
        <v>492</v>
      </c>
      <c r="B493" s="1" t="s">
        <v>3125</v>
      </c>
      <c r="C493" s="1" t="s">
        <v>2670</v>
      </c>
      <c r="D493" s="1">
        <v>49.7</v>
      </c>
      <c r="E493" s="1">
        <v>0.38</v>
      </c>
      <c r="F493" s="1">
        <v>0.68</v>
      </c>
      <c r="G493" s="1">
        <v>0</v>
      </c>
      <c r="H493" s="1">
        <v>0</v>
      </c>
      <c r="I493" s="2">
        <v>28.79</v>
      </c>
      <c r="J493" s="1">
        <v>0.97</v>
      </c>
      <c r="K493" s="2">
        <v>13.44</v>
      </c>
      <c r="L493" s="2">
        <v>5.27</v>
      </c>
      <c r="M493" s="1">
        <v>7.0000000000000007E-2</v>
      </c>
      <c r="N493" s="1">
        <v>0.02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/>
      <c r="W493" s="1" t="s">
        <v>3127</v>
      </c>
    </row>
    <row r="494" spans="1:23" ht="13.2">
      <c r="A494" s="1">
        <v>493</v>
      </c>
      <c r="B494" s="1" t="s">
        <v>3125</v>
      </c>
      <c r="C494" s="1" t="s">
        <v>2677</v>
      </c>
      <c r="D494" s="1">
        <v>49.85</v>
      </c>
      <c r="E494" s="1">
        <v>0.49</v>
      </c>
      <c r="F494" s="1">
        <v>2.12</v>
      </c>
      <c r="G494" s="1">
        <v>0</v>
      </c>
      <c r="H494" s="1">
        <v>0</v>
      </c>
      <c r="I494" s="2">
        <v>16</v>
      </c>
      <c r="J494" s="1">
        <v>0.67</v>
      </c>
      <c r="K494" s="2">
        <v>12.65</v>
      </c>
      <c r="L494" s="2">
        <v>17.149999999999999</v>
      </c>
      <c r="M494" s="1">
        <v>0.18</v>
      </c>
      <c r="N494" s="1">
        <v>0.01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/>
      <c r="W494" s="1" t="s">
        <v>3128</v>
      </c>
    </row>
    <row r="495" spans="1:23" ht="13.2">
      <c r="A495" s="1">
        <v>494</v>
      </c>
      <c r="B495" s="1" t="s">
        <v>3125</v>
      </c>
      <c r="C495" s="1" t="s">
        <v>51</v>
      </c>
      <c r="D495" s="1">
        <v>55</v>
      </c>
      <c r="E495" s="1">
        <v>0</v>
      </c>
      <c r="F495" s="1">
        <v>27.76</v>
      </c>
      <c r="G495" s="1">
        <v>0</v>
      </c>
      <c r="H495" s="1">
        <v>0</v>
      </c>
      <c r="I495" s="2">
        <v>1.31</v>
      </c>
      <c r="J495" s="1">
        <v>0</v>
      </c>
      <c r="K495" s="2">
        <v>0</v>
      </c>
      <c r="L495" s="2">
        <v>11.3</v>
      </c>
      <c r="M495" s="1">
        <v>4.57</v>
      </c>
      <c r="N495" s="1">
        <v>0.2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/>
      <c r="W495" s="1" t="s">
        <v>3129</v>
      </c>
    </row>
    <row r="496" spans="1:23" ht="13.2">
      <c r="A496" s="1">
        <v>495</v>
      </c>
      <c r="B496" s="1" t="s">
        <v>3125</v>
      </c>
      <c r="C496" s="1" t="s">
        <v>2070</v>
      </c>
      <c r="D496" s="1">
        <v>0</v>
      </c>
      <c r="E496" s="1">
        <v>18.98</v>
      </c>
      <c r="F496" s="1">
        <v>2.13</v>
      </c>
      <c r="G496" s="1">
        <v>0</v>
      </c>
      <c r="H496" s="1">
        <v>0</v>
      </c>
      <c r="I496" s="2">
        <v>71.92</v>
      </c>
      <c r="J496" s="1">
        <v>0.57999999999999996</v>
      </c>
      <c r="K496" s="2">
        <v>1.57</v>
      </c>
      <c r="L496" s="2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/>
      <c r="W496" s="1" t="s">
        <v>3130</v>
      </c>
    </row>
    <row r="497" spans="1:23" ht="13.2">
      <c r="A497" s="1">
        <v>496</v>
      </c>
      <c r="B497" s="1" t="s">
        <v>3131</v>
      </c>
      <c r="C497" s="1" t="s">
        <v>2020</v>
      </c>
      <c r="D497" s="1">
        <v>57</v>
      </c>
      <c r="E497" s="1">
        <v>0</v>
      </c>
      <c r="F497" s="1">
        <v>0</v>
      </c>
      <c r="G497" s="1">
        <v>0</v>
      </c>
      <c r="H497" s="1">
        <v>0</v>
      </c>
      <c r="I497" s="2">
        <v>0</v>
      </c>
      <c r="J497" s="1">
        <v>0</v>
      </c>
      <c r="K497" s="2">
        <v>0</v>
      </c>
      <c r="L497" s="2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/>
      <c r="W497" s="1" t="s">
        <v>3132</v>
      </c>
    </row>
    <row r="498" spans="1:23" ht="13.2">
      <c r="A498" s="1">
        <v>497</v>
      </c>
      <c r="B498" s="1" t="s">
        <v>3133</v>
      </c>
      <c r="C498" s="1" t="s">
        <v>2020</v>
      </c>
      <c r="D498" s="1">
        <v>57</v>
      </c>
      <c r="E498" s="1">
        <v>0</v>
      </c>
      <c r="F498" s="1">
        <v>0</v>
      </c>
      <c r="G498" s="1">
        <v>0</v>
      </c>
      <c r="H498" s="1">
        <v>0</v>
      </c>
      <c r="I498" s="2">
        <v>0</v>
      </c>
      <c r="J498" s="1">
        <v>0</v>
      </c>
      <c r="K498" s="2">
        <v>0</v>
      </c>
      <c r="L498" s="2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/>
      <c r="W498" s="1" t="s">
        <v>3134</v>
      </c>
    </row>
    <row r="499" spans="1:23" ht="13.2">
      <c r="A499" s="1">
        <v>498</v>
      </c>
      <c r="B499" s="1" t="s">
        <v>3135</v>
      </c>
      <c r="C499" s="1" t="s">
        <v>2020</v>
      </c>
      <c r="D499" s="1">
        <v>57</v>
      </c>
      <c r="E499" s="1">
        <v>0</v>
      </c>
      <c r="F499" s="1">
        <v>0</v>
      </c>
      <c r="G499" s="1">
        <v>0</v>
      </c>
      <c r="H499" s="1">
        <v>0</v>
      </c>
      <c r="I499" s="2">
        <v>0</v>
      </c>
      <c r="J499" s="1">
        <v>0</v>
      </c>
      <c r="K499" s="2">
        <v>0</v>
      </c>
      <c r="L499" s="2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/>
      <c r="W499" s="1" t="s">
        <v>3136</v>
      </c>
    </row>
    <row r="500" spans="1:23" ht="13.2">
      <c r="A500" s="1">
        <v>499</v>
      </c>
      <c r="B500" s="1" t="s">
        <v>3137</v>
      </c>
      <c r="C500" s="1" t="s">
        <v>2020</v>
      </c>
      <c r="D500" s="1">
        <v>57</v>
      </c>
      <c r="E500" s="1">
        <v>0</v>
      </c>
      <c r="F500" s="1">
        <v>0</v>
      </c>
      <c r="G500" s="1">
        <v>0</v>
      </c>
      <c r="H500" s="1">
        <v>0</v>
      </c>
      <c r="I500" s="2">
        <v>0</v>
      </c>
      <c r="J500" s="1">
        <v>0</v>
      </c>
      <c r="K500" s="2">
        <v>0</v>
      </c>
      <c r="L500" s="2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/>
      <c r="W500" s="1" t="s">
        <v>3138</v>
      </c>
    </row>
    <row r="501" spans="1:23" ht="13.2">
      <c r="A501" s="1">
        <v>500</v>
      </c>
      <c r="B501" s="1" t="s">
        <v>3139</v>
      </c>
      <c r="C501" s="1" t="s">
        <v>3053</v>
      </c>
      <c r="D501" s="1">
        <v>0.02</v>
      </c>
      <c r="E501" s="1">
        <v>0.05</v>
      </c>
      <c r="F501" s="1">
        <v>6.99</v>
      </c>
      <c r="G501" s="1">
        <v>63.1</v>
      </c>
      <c r="H501" s="1">
        <v>4.66</v>
      </c>
      <c r="I501" s="2">
        <v>11.94</v>
      </c>
      <c r="J501" s="1">
        <v>0.31</v>
      </c>
      <c r="K501" s="2">
        <v>12.16</v>
      </c>
      <c r="L501" s="2">
        <v>0.03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/>
      <c r="W501" s="1" t="s">
        <v>3140</v>
      </c>
    </row>
    <row r="502" spans="1:23" ht="13.2">
      <c r="A502" s="1">
        <v>501</v>
      </c>
      <c r="B502" s="1" t="s">
        <v>3141</v>
      </c>
      <c r="C502" s="1" t="s">
        <v>3053</v>
      </c>
      <c r="D502" s="1">
        <v>0.01</v>
      </c>
      <c r="E502" s="1">
        <v>0.06</v>
      </c>
      <c r="F502" s="1">
        <v>30.05</v>
      </c>
      <c r="G502" s="1">
        <v>35.799999999999997</v>
      </c>
      <c r="H502" s="1">
        <v>3.28</v>
      </c>
      <c r="I502" s="2">
        <v>10.46</v>
      </c>
      <c r="J502" s="1">
        <v>0.2</v>
      </c>
      <c r="K502" s="2">
        <v>17.420000000000002</v>
      </c>
      <c r="L502" s="2">
        <v>0.01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/>
      <c r="W502" s="1" t="s">
        <v>3142</v>
      </c>
    </row>
    <row r="503" spans="1:23" ht="13.2">
      <c r="A503" s="1">
        <v>502</v>
      </c>
      <c r="B503" s="1" t="s">
        <v>3143</v>
      </c>
      <c r="C503" s="1" t="s">
        <v>3053</v>
      </c>
      <c r="D503" s="1">
        <v>0.02</v>
      </c>
      <c r="E503" s="1">
        <v>0.36</v>
      </c>
      <c r="F503" s="1">
        <v>17.07</v>
      </c>
      <c r="G503" s="1">
        <v>51.28</v>
      </c>
      <c r="H503" s="1">
        <v>2.8</v>
      </c>
      <c r="I503" s="2">
        <v>13.23</v>
      </c>
      <c r="J503" s="1">
        <v>0.28999999999999998</v>
      </c>
      <c r="K503" s="2">
        <v>13.44</v>
      </c>
      <c r="L503" s="2">
        <v>0.01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/>
      <c r="W503" s="1" t="s">
        <v>3144</v>
      </c>
    </row>
    <row r="504" spans="1:23" ht="13.2">
      <c r="A504" s="1">
        <v>503</v>
      </c>
      <c r="B504" s="1" t="s">
        <v>3145</v>
      </c>
      <c r="C504" s="1" t="s">
        <v>3053</v>
      </c>
      <c r="D504" s="1">
        <v>0.06</v>
      </c>
      <c r="E504" s="1">
        <v>0.14000000000000001</v>
      </c>
      <c r="F504" s="1">
        <v>9.89</v>
      </c>
      <c r="G504" s="1">
        <v>56.66</v>
      </c>
      <c r="H504" s="1">
        <v>6.07</v>
      </c>
      <c r="I504" s="2">
        <v>15.55</v>
      </c>
      <c r="J504" s="1">
        <v>0.62</v>
      </c>
      <c r="K504" s="2">
        <v>10.26</v>
      </c>
      <c r="L504" s="2">
        <v>0.01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/>
      <c r="W504" s="1" t="s">
        <v>3146</v>
      </c>
    </row>
    <row r="505" spans="1:23" ht="13.2">
      <c r="A505" s="1">
        <v>504</v>
      </c>
      <c r="B505" s="1" t="s">
        <v>3147</v>
      </c>
      <c r="C505" s="1" t="s">
        <v>3053</v>
      </c>
      <c r="D505" s="1">
        <v>0.01</v>
      </c>
      <c r="E505" s="1">
        <v>0.13</v>
      </c>
      <c r="F505" s="1">
        <v>5.49</v>
      </c>
      <c r="G505" s="1">
        <v>63.99</v>
      </c>
      <c r="H505" s="1">
        <v>3.32</v>
      </c>
      <c r="I505" s="2">
        <v>13.63</v>
      </c>
      <c r="J505" s="1">
        <v>0.31</v>
      </c>
      <c r="K505" s="2">
        <v>12.4</v>
      </c>
      <c r="L505" s="2">
        <v>0.01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/>
      <c r="W505" s="1" t="s">
        <v>3148</v>
      </c>
    </row>
    <row r="506" spans="1:23" ht="13.2">
      <c r="A506" s="1">
        <v>505</v>
      </c>
      <c r="B506" s="1" t="s">
        <v>3149</v>
      </c>
      <c r="C506" s="1" t="s">
        <v>3053</v>
      </c>
      <c r="D506" s="1">
        <v>0.01</v>
      </c>
      <c r="E506" s="1">
        <v>0.28000000000000003</v>
      </c>
      <c r="F506" s="1">
        <v>16.78</v>
      </c>
      <c r="G506" s="1">
        <v>52.06</v>
      </c>
      <c r="H506" s="1">
        <v>1.42</v>
      </c>
      <c r="I506" s="2">
        <v>12.94</v>
      </c>
      <c r="J506" s="1">
        <v>0.25</v>
      </c>
      <c r="K506" s="2">
        <v>14.35</v>
      </c>
      <c r="L506" s="2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/>
      <c r="W506" s="1" t="s">
        <v>3150</v>
      </c>
    </row>
    <row r="507" spans="1:23" ht="13.2">
      <c r="A507" s="1">
        <v>506</v>
      </c>
      <c r="B507" s="1" t="s">
        <v>3151</v>
      </c>
      <c r="C507" s="1" t="s">
        <v>3053</v>
      </c>
      <c r="D507" s="1">
        <v>0.01</v>
      </c>
      <c r="E507" s="1">
        <v>0.32</v>
      </c>
      <c r="F507" s="1">
        <v>8.51</v>
      </c>
      <c r="G507" s="1">
        <v>58.84</v>
      </c>
      <c r="H507" s="1">
        <v>3.47</v>
      </c>
      <c r="I507" s="2">
        <v>14.24</v>
      </c>
      <c r="J507" s="1">
        <v>0.31</v>
      </c>
      <c r="K507" s="2">
        <v>12.36</v>
      </c>
      <c r="L507" s="2">
        <v>0.01</v>
      </c>
      <c r="M507" s="1">
        <v>0.01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/>
      <c r="W507" s="1" t="s">
        <v>3152</v>
      </c>
    </row>
    <row r="508" spans="1:23" ht="13.2">
      <c r="A508" s="1">
        <v>507</v>
      </c>
      <c r="B508" s="1" t="s">
        <v>3153</v>
      </c>
      <c r="C508" s="1" t="s">
        <v>3154</v>
      </c>
      <c r="D508" s="1">
        <v>0.38</v>
      </c>
      <c r="E508" s="1">
        <v>0.14000000000000001</v>
      </c>
      <c r="F508" s="1">
        <v>70.33</v>
      </c>
      <c r="G508" s="1">
        <v>0.41</v>
      </c>
      <c r="H508" s="1">
        <v>0</v>
      </c>
      <c r="I508" s="2">
        <v>0.52</v>
      </c>
      <c r="J508" s="1">
        <v>0</v>
      </c>
      <c r="K508" s="2">
        <v>26.72</v>
      </c>
      <c r="L508" s="2">
        <v>0.02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/>
      <c r="W508" s="1" t="s">
        <v>3155</v>
      </c>
    </row>
    <row r="509" spans="1:23" ht="13.2">
      <c r="A509" s="1">
        <v>508</v>
      </c>
      <c r="B509" s="1" t="s">
        <v>3156</v>
      </c>
      <c r="C509" s="1" t="s">
        <v>3157</v>
      </c>
      <c r="D509" s="1">
        <v>0.06</v>
      </c>
      <c r="E509" s="1">
        <v>0.18</v>
      </c>
      <c r="F509" s="1">
        <v>1.54</v>
      </c>
      <c r="G509" s="1">
        <v>0.05</v>
      </c>
      <c r="H509" s="1">
        <v>70.5</v>
      </c>
      <c r="I509" s="2">
        <v>0</v>
      </c>
      <c r="J509" s="1">
        <v>4.68</v>
      </c>
      <c r="K509" s="2">
        <v>0.35</v>
      </c>
      <c r="L509" s="2">
        <v>0.02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/>
      <c r="W509" s="1" t="s">
        <v>3158</v>
      </c>
    </row>
    <row r="510" spans="1:23" ht="13.2">
      <c r="A510" s="1">
        <v>509</v>
      </c>
      <c r="B510" s="1" t="s">
        <v>3159</v>
      </c>
      <c r="C510" s="1" t="s">
        <v>3160</v>
      </c>
      <c r="D510" s="1">
        <v>0.13</v>
      </c>
      <c r="E510" s="1">
        <v>0.57999999999999996</v>
      </c>
      <c r="F510" s="1">
        <v>61.82</v>
      </c>
      <c r="G510" s="1">
        <v>0.15</v>
      </c>
      <c r="H510" s="1">
        <v>4.4000000000000004</v>
      </c>
      <c r="I510" s="2">
        <v>14.04</v>
      </c>
      <c r="J510" s="1">
        <v>0.09</v>
      </c>
      <c r="K510" s="2">
        <v>18.559999999999999</v>
      </c>
      <c r="L510" s="2">
        <v>0</v>
      </c>
      <c r="M510" s="1">
        <v>0.01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/>
      <c r="W510" s="1" t="s">
        <v>3161</v>
      </c>
    </row>
    <row r="511" spans="1:23" ht="13.2">
      <c r="A511" s="1">
        <v>510</v>
      </c>
      <c r="B511" s="1" t="s">
        <v>3162</v>
      </c>
      <c r="C511" s="1" t="s">
        <v>3160</v>
      </c>
      <c r="D511" s="1">
        <v>0.01</v>
      </c>
      <c r="E511" s="1">
        <v>0.21</v>
      </c>
      <c r="F511" s="1">
        <v>65.55</v>
      </c>
      <c r="G511" s="1">
        <v>0</v>
      </c>
      <c r="H511" s="1">
        <v>3.82</v>
      </c>
      <c r="I511" s="2">
        <v>3.17</v>
      </c>
      <c r="J511" s="1">
        <v>0.14000000000000001</v>
      </c>
      <c r="K511" s="2">
        <v>25.74</v>
      </c>
      <c r="L511" s="2">
        <v>0</v>
      </c>
      <c r="M511" s="1">
        <v>0.01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/>
      <c r="W511" s="1" t="s">
        <v>3163</v>
      </c>
    </row>
    <row r="512" spans="1:23" ht="13.2">
      <c r="A512" s="1">
        <v>511</v>
      </c>
      <c r="B512" s="1" t="s">
        <v>3164</v>
      </c>
      <c r="C512" s="1" t="s">
        <v>3154</v>
      </c>
      <c r="D512" s="1">
        <v>0.01</v>
      </c>
      <c r="E512" s="1">
        <v>0</v>
      </c>
      <c r="F512" s="1">
        <v>69.22</v>
      </c>
      <c r="G512" s="1">
        <v>0</v>
      </c>
      <c r="H512" s="1">
        <v>0</v>
      </c>
      <c r="I512" s="2">
        <v>2.04</v>
      </c>
      <c r="J512" s="1">
        <v>0.17</v>
      </c>
      <c r="K512" s="2">
        <v>25.77</v>
      </c>
      <c r="L512" s="2">
        <v>0.01</v>
      </c>
      <c r="M512" s="1">
        <v>0.04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/>
      <c r="W512" s="1" t="s">
        <v>3165</v>
      </c>
    </row>
    <row r="513" spans="1:23" ht="13.2">
      <c r="A513" s="1">
        <v>512</v>
      </c>
      <c r="B513" s="1" t="s">
        <v>3166</v>
      </c>
      <c r="C513" s="1" t="s">
        <v>3154</v>
      </c>
      <c r="D513" s="1">
        <v>0</v>
      </c>
      <c r="E513" s="1">
        <v>0</v>
      </c>
      <c r="F513" s="1">
        <v>69.16</v>
      </c>
      <c r="G513" s="1">
        <v>0.15</v>
      </c>
      <c r="H513" s="1">
        <v>0</v>
      </c>
      <c r="I513" s="2">
        <v>2.92</v>
      </c>
      <c r="J513" s="1">
        <v>0.12</v>
      </c>
      <c r="K513" s="2">
        <v>24.54</v>
      </c>
      <c r="L513" s="2">
        <v>0</v>
      </c>
      <c r="M513" s="1">
        <v>0.06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/>
      <c r="W513" s="1" t="s">
        <v>3167</v>
      </c>
    </row>
    <row r="514" spans="1:23" ht="13.2">
      <c r="A514" s="1">
        <v>513</v>
      </c>
      <c r="B514" s="1" t="s">
        <v>3168</v>
      </c>
      <c r="C514" s="1" t="s">
        <v>3169</v>
      </c>
      <c r="D514" s="1">
        <v>0.01</v>
      </c>
      <c r="E514" s="1">
        <v>0.13</v>
      </c>
      <c r="F514" s="1">
        <v>56.64</v>
      </c>
      <c r="G514" s="1">
        <v>0.04</v>
      </c>
      <c r="H514" s="1">
        <v>0.38</v>
      </c>
      <c r="I514" s="2">
        <v>6.55</v>
      </c>
      <c r="J514" s="1">
        <v>0.06</v>
      </c>
      <c r="K514" s="2">
        <v>1.77</v>
      </c>
      <c r="L514" s="2">
        <v>0.04</v>
      </c>
      <c r="M514" s="1">
        <v>1.1599999999999999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/>
      <c r="W514" s="1" t="s">
        <v>3170</v>
      </c>
    </row>
    <row r="515" spans="1:23" ht="13.2">
      <c r="A515" s="1">
        <v>514</v>
      </c>
      <c r="B515" s="1" t="s">
        <v>3171</v>
      </c>
      <c r="C515" s="1" t="s">
        <v>3154</v>
      </c>
      <c r="D515" s="1">
        <v>0.01</v>
      </c>
      <c r="E515" s="1">
        <v>0.05</v>
      </c>
      <c r="F515" s="1">
        <v>64.75</v>
      </c>
      <c r="G515" s="1">
        <v>0.06</v>
      </c>
      <c r="H515" s="1">
        <v>3.27</v>
      </c>
      <c r="I515" s="2">
        <v>9.33</v>
      </c>
      <c r="J515" s="1">
        <v>0.18</v>
      </c>
      <c r="K515" s="2">
        <v>21.36</v>
      </c>
      <c r="L515" s="2">
        <v>0.01</v>
      </c>
      <c r="M515" s="1">
        <v>0.01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/>
      <c r="W515" s="1" t="s">
        <v>3172</v>
      </c>
    </row>
    <row r="516" spans="1:23" ht="13.2">
      <c r="A516" s="1">
        <v>515</v>
      </c>
      <c r="B516" s="1" t="s">
        <v>3173</v>
      </c>
      <c r="C516" s="1" t="s">
        <v>3157</v>
      </c>
      <c r="D516" s="1">
        <v>0.04</v>
      </c>
      <c r="E516" s="1">
        <v>0.05</v>
      </c>
      <c r="F516" s="1">
        <v>1.01</v>
      </c>
      <c r="G516" s="1">
        <v>0.08</v>
      </c>
      <c r="H516" s="1">
        <v>61.9</v>
      </c>
      <c r="I516" s="2">
        <v>0</v>
      </c>
      <c r="J516" s="1">
        <v>11.15</v>
      </c>
      <c r="K516" s="2">
        <v>0.3</v>
      </c>
      <c r="L516" s="2">
        <v>0.02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/>
      <c r="W516" s="1" t="s">
        <v>3174</v>
      </c>
    </row>
    <row r="517" spans="1:23" ht="13.2">
      <c r="A517" s="1">
        <v>516</v>
      </c>
      <c r="B517" s="1" t="s">
        <v>3175</v>
      </c>
      <c r="C517" s="1" t="s">
        <v>3154</v>
      </c>
      <c r="D517" s="1">
        <v>0</v>
      </c>
      <c r="E517" s="1">
        <v>0</v>
      </c>
      <c r="F517" s="1">
        <v>69.88</v>
      </c>
      <c r="G517" s="1">
        <v>0.19</v>
      </c>
      <c r="H517" s="1">
        <v>0</v>
      </c>
      <c r="I517" s="2">
        <v>0</v>
      </c>
      <c r="J517" s="1">
        <v>0.02</v>
      </c>
      <c r="K517" s="2">
        <v>27.76</v>
      </c>
      <c r="L517" s="2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/>
      <c r="W517" s="1" t="s">
        <v>3176</v>
      </c>
    </row>
    <row r="518" spans="1:23" ht="13.2">
      <c r="A518" s="1">
        <v>517</v>
      </c>
      <c r="B518" s="1" t="s">
        <v>3177</v>
      </c>
      <c r="C518" s="1" t="s">
        <v>3154</v>
      </c>
      <c r="D518" s="1">
        <v>0</v>
      </c>
      <c r="E518" s="1">
        <v>0</v>
      </c>
      <c r="F518" s="1">
        <v>70.84</v>
      </c>
      <c r="G518" s="1">
        <v>0.25</v>
      </c>
      <c r="H518" s="1">
        <v>0</v>
      </c>
      <c r="I518" s="2">
        <v>0</v>
      </c>
      <c r="J518" s="1">
        <v>0.02</v>
      </c>
      <c r="K518" s="2">
        <v>27.73</v>
      </c>
      <c r="L518" s="2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/>
      <c r="W518" s="1" t="s">
        <v>3178</v>
      </c>
    </row>
    <row r="519" spans="1:23" ht="13.2">
      <c r="A519" s="1">
        <v>518</v>
      </c>
      <c r="B519" s="1" t="s">
        <v>3179</v>
      </c>
      <c r="C519" s="1" t="s">
        <v>3169</v>
      </c>
      <c r="D519" s="1">
        <v>0.01</v>
      </c>
      <c r="E519" s="1">
        <v>0.04</v>
      </c>
      <c r="F519" s="1">
        <v>65.790000000000006</v>
      </c>
      <c r="G519" s="1">
        <v>0.11</v>
      </c>
      <c r="H519" s="1">
        <v>0.88</v>
      </c>
      <c r="I519" s="2">
        <v>12.42</v>
      </c>
      <c r="J519" s="1">
        <v>0.33</v>
      </c>
      <c r="K519" s="2">
        <v>19.100000000000001</v>
      </c>
      <c r="L519" s="2">
        <v>0.01</v>
      </c>
      <c r="M519" s="1">
        <v>0.01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/>
      <c r="W519" s="1" t="s">
        <v>3180</v>
      </c>
    </row>
    <row r="520" spans="1:23" ht="13.2">
      <c r="A520" s="1">
        <v>519</v>
      </c>
      <c r="B520" s="1" t="s">
        <v>3181</v>
      </c>
      <c r="C520" s="1" t="s">
        <v>3154</v>
      </c>
      <c r="D520" s="1">
        <v>0.01</v>
      </c>
      <c r="E520" s="1">
        <v>0.02</v>
      </c>
      <c r="F520" s="1">
        <v>67.849999999999994</v>
      </c>
      <c r="G520" s="1">
        <v>0.03</v>
      </c>
      <c r="H520" s="1">
        <v>0.4</v>
      </c>
      <c r="I520" s="2">
        <v>6.88</v>
      </c>
      <c r="J520" s="1">
        <v>0.09</v>
      </c>
      <c r="K520" s="2">
        <v>22.49</v>
      </c>
      <c r="L520" s="2">
        <v>0</v>
      </c>
      <c r="M520" s="1">
        <v>0.03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/>
      <c r="W520" s="1" t="s">
        <v>3182</v>
      </c>
    </row>
    <row r="521" spans="1:23" ht="13.2">
      <c r="A521" s="1">
        <v>520</v>
      </c>
      <c r="B521" s="1" t="s">
        <v>3183</v>
      </c>
      <c r="C521" s="1" t="s">
        <v>3160</v>
      </c>
      <c r="D521" s="1">
        <v>0.05</v>
      </c>
      <c r="E521" s="1">
        <v>0.43</v>
      </c>
      <c r="F521" s="1">
        <v>65.3</v>
      </c>
      <c r="G521" s="1">
        <v>0.02</v>
      </c>
      <c r="H521" s="1">
        <v>3.98</v>
      </c>
      <c r="I521" s="2">
        <v>3.59</v>
      </c>
      <c r="J521" s="1">
        <v>0.16</v>
      </c>
      <c r="K521" s="2">
        <v>25.9</v>
      </c>
      <c r="L521" s="2">
        <v>0</v>
      </c>
      <c r="M521" s="1">
        <v>0.01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/>
      <c r="W521" s="1" t="s">
        <v>3184</v>
      </c>
    </row>
    <row r="522" spans="1:23" ht="13.2">
      <c r="A522" s="1">
        <v>521</v>
      </c>
      <c r="B522" s="1" t="s">
        <v>3185</v>
      </c>
      <c r="C522" s="1" t="s">
        <v>3154</v>
      </c>
      <c r="D522" s="1">
        <v>0.02</v>
      </c>
      <c r="E522" s="1">
        <v>0.03</v>
      </c>
      <c r="F522" s="1">
        <v>64.680000000000007</v>
      </c>
      <c r="G522" s="1">
        <v>0.04</v>
      </c>
      <c r="H522" s="1">
        <v>2</v>
      </c>
      <c r="I522" s="2">
        <v>12.03</v>
      </c>
      <c r="J522" s="1">
        <v>0.18</v>
      </c>
      <c r="K522" s="2">
        <v>19.11</v>
      </c>
      <c r="L522" s="2">
        <v>0.01</v>
      </c>
      <c r="M522" s="1">
        <v>0.01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/>
      <c r="W522" s="1" t="s">
        <v>3186</v>
      </c>
    </row>
    <row r="523" spans="1:23" ht="13.2">
      <c r="A523" s="1">
        <v>522</v>
      </c>
      <c r="B523" s="1" t="s">
        <v>3187</v>
      </c>
      <c r="C523" s="1" t="s">
        <v>3169</v>
      </c>
      <c r="D523" s="1">
        <v>0.13</v>
      </c>
      <c r="E523" s="1">
        <v>0.68</v>
      </c>
      <c r="F523" s="1">
        <v>61.29</v>
      </c>
      <c r="G523" s="1">
        <v>0.23</v>
      </c>
      <c r="H523" s="1">
        <v>5.98</v>
      </c>
      <c r="I523" s="2">
        <v>12.58</v>
      </c>
      <c r="J523" s="1">
        <v>0.15</v>
      </c>
      <c r="K523" s="2">
        <v>19.37</v>
      </c>
      <c r="L523" s="2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/>
      <c r="W523" s="1" t="s">
        <v>3188</v>
      </c>
    </row>
    <row r="524" spans="1:23" ht="13.2">
      <c r="A524" s="1">
        <v>523</v>
      </c>
      <c r="B524" s="1" t="s">
        <v>3189</v>
      </c>
      <c r="C524" s="1" t="s">
        <v>3169</v>
      </c>
      <c r="D524" s="1">
        <v>0</v>
      </c>
      <c r="E524" s="1">
        <v>0.01</v>
      </c>
      <c r="F524" s="1">
        <v>56.05</v>
      </c>
      <c r="G524" s="1">
        <v>0</v>
      </c>
      <c r="H524" s="1">
        <v>0.96</v>
      </c>
      <c r="I524" s="2">
        <v>5.31</v>
      </c>
      <c r="J524" s="1">
        <v>0.08</v>
      </c>
      <c r="K524" s="2">
        <v>0</v>
      </c>
      <c r="L524" s="2">
        <v>0.01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/>
      <c r="W524" s="1" t="s">
        <v>3190</v>
      </c>
    </row>
    <row r="525" spans="1:23" ht="13.2">
      <c r="A525" s="1">
        <v>524</v>
      </c>
      <c r="B525" s="1" t="s">
        <v>3191</v>
      </c>
      <c r="C525" s="1" t="s">
        <v>2020</v>
      </c>
      <c r="D525" s="1">
        <v>49.4</v>
      </c>
      <c r="E525" s="1">
        <v>1.63</v>
      </c>
      <c r="F525" s="1">
        <v>14.4</v>
      </c>
      <c r="G525" s="1">
        <v>0</v>
      </c>
      <c r="H525" s="1">
        <v>1.51</v>
      </c>
      <c r="I525" s="2">
        <v>10</v>
      </c>
      <c r="J525" s="1">
        <v>0.2</v>
      </c>
      <c r="K525" s="2">
        <v>7.23</v>
      </c>
      <c r="L525" s="2">
        <v>12.6</v>
      </c>
      <c r="M525" s="1">
        <v>2.2400000000000002</v>
      </c>
      <c r="N525" s="1">
        <v>0.21</v>
      </c>
      <c r="O525" s="1">
        <v>0.2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 t="s">
        <v>3192</v>
      </c>
      <c r="W525" s="1" t="s">
        <v>3193</v>
      </c>
    </row>
    <row r="526" spans="1:23" ht="13.2">
      <c r="A526" s="1">
        <v>525</v>
      </c>
      <c r="B526" s="1" t="s">
        <v>3194</v>
      </c>
      <c r="C526" s="1" t="s">
        <v>2020</v>
      </c>
      <c r="D526" s="1">
        <v>49</v>
      </c>
      <c r="E526" s="1">
        <v>1.6</v>
      </c>
      <c r="F526" s="1">
        <v>16.8</v>
      </c>
      <c r="G526" s="1">
        <v>0</v>
      </c>
      <c r="H526" s="1">
        <v>1.37</v>
      </c>
      <c r="I526" s="2">
        <v>9.17</v>
      </c>
      <c r="J526" s="1">
        <v>0.2</v>
      </c>
      <c r="K526" s="2">
        <v>6.12</v>
      </c>
      <c r="L526" s="2">
        <v>12.8</v>
      </c>
      <c r="M526" s="1">
        <v>2.2200000000000002</v>
      </c>
      <c r="N526" s="1">
        <v>0.22</v>
      </c>
      <c r="O526" s="1">
        <v>0.19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 t="s">
        <v>3192</v>
      </c>
      <c r="W526" s="1" t="s">
        <v>3195</v>
      </c>
    </row>
    <row r="527" spans="1:23" ht="13.2">
      <c r="A527" s="1">
        <v>526</v>
      </c>
      <c r="B527" s="1" t="s">
        <v>3196</v>
      </c>
      <c r="C527" s="1" t="s">
        <v>2020</v>
      </c>
      <c r="D527" s="1">
        <v>52.5</v>
      </c>
      <c r="E527" s="1">
        <v>2.8</v>
      </c>
      <c r="F527" s="1">
        <v>13.45</v>
      </c>
      <c r="G527" s="1">
        <v>0</v>
      </c>
      <c r="H527" s="1">
        <v>0</v>
      </c>
      <c r="I527" s="2">
        <v>14.11</v>
      </c>
      <c r="J527" s="1">
        <v>0.22</v>
      </c>
      <c r="K527" s="2">
        <v>4.54</v>
      </c>
      <c r="L527" s="2">
        <v>8.32</v>
      </c>
      <c r="M527" s="1">
        <v>2.86</v>
      </c>
      <c r="N527" s="1">
        <v>1.4</v>
      </c>
      <c r="O527" s="1">
        <v>0.54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 t="s">
        <v>3192</v>
      </c>
      <c r="W527" s="1" t="s">
        <v>3197</v>
      </c>
    </row>
    <row r="528" spans="1:23" ht="13.2">
      <c r="A528" s="1">
        <v>527</v>
      </c>
      <c r="B528" s="1" t="s">
        <v>3198</v>
      </c>
      <c r="C528" s="1" t="s">
        <v>2020</v>
      </c>
      <c r="D528" s="1">
        <v>50.91</v>
      </c>
      <c r="E528" s="1">
        <v>3.58</v>
      </c>
      <c r="F528" s="1">
        <v>12.78</v>
      </c>
      <c r="G528" s="1">
        <v>0</v>
      </c>
      <c r="H528" s="1">
        <v>0</v>
      </c>
      <c r="I528" s="2">
        <v>15.26</v>
      </c>
      <c r="J528" s="1">
        <v>0.25</v>
      </c>
      <c r="K528" s="2">
        <v>4.43</v>
      </c>
      <c r="L528" s="2">
        <v>8.58</v>
      </c>
      <c r="M528" s="1">
        <v>2.52</v>
      </c>
      <c r="N528" s="1">
        <v>1.3</v>
      </c>
      <c r="O528" s="1">
        <v>0.8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 t="s">
        <v>3199</v>
      </c>
      <c r="W528" s="1" t="s">
        <v>3200</v>
      </c>
    </row>
    <row r="529" spans="1:23" ht="13.2">
      <c r="A529" s="1">
        <v>528</v>
      </c>
      <c r="B529" s="1" t="s">
        <v>3201</v>
      </c>
      <c r="C529" s="1" t="s">
        <v>2020</v>
      </c>
      <c r="D529" s="1">
        <v>51.55</v>
      </c>
      <c r="E529" s="1">
        <v>3.13</v>
      </c>
      <c r="F529" s="1">
        <v>13.19</v>
      </c>
      <c r="G529" s="1">
        <v>0</v>
      </c>
      <c r="H529" s="1">
        <v>0</v>
      </c>
      <c r="I529" s="2">
        <v>14.36</v>
      </c>
      <c r="J529" s="1">
        <v>0.23</v>
      </c>
      <c r="K529" s="2">
        <v>4.59</v>
      </c>
      <c r="L529" s="2">
        <v>8.5500000000000007</v>
      </c>
      <c r="M529" s="1">
        <v>2.9</v>
      </c>
      <c r="N529" s="1">
        <v>1.29</v>
      </c>
      <c r="O529" s="1">
        <v>0.69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 t="s">
        <v>3199</v>
      </c>
      <c r="W529" s="1" t="s">
        <v>3202</v>
      </c>
    </row>
    <row r="530" spans="1:23" ht="13.2">
      <c r="A530" s="1">
        <v>529</v>
      </c>
      <c r="B530" s="1" t="s">
        <v>888</v>
      </c>
      <c r="C530" s="1" t="s">
        <v>51</v>
      </c>
      <c r="D530" s="1">
        <v>54.85</v>
      </c>
      <c r="E530" s="1">
        <v>0.06</v>
      </c>
      <c r="F530" s="1">
        <v>27.71</v>
      </c>
      <c r="G530" s="1">
        <v>0.02</v>
      </c>
      <c r="H530" s="1">
        <v>0.46</v>
      </c>
      <c r="I530" s="2">
        <v>0</v>
      </c>
      <c r="J530" s="1">
        <v>0.01</v>
      </c>
      <c r="K530" s="2">
        <v>0</v>
      </c>
      <c r="L530" s="2">
        <v>10.97</v>
      </c>
      <c r="M530" s="1">
        <v>5.15</v>
      </c>
      <c r="N530" s="1">
        <v>0.4</v>
      </c>
      <c r="O530" s="1">
        <v>0</v>
      </c>
      <c r="P530" s="1">
        <v>0</v>
      </c>
      <c r="Q530" s="1">
        <v>0</v>
      </c>
      <c r="R530" s="1">
        <v>700</v>
      </c>
      <c r="S530" s="1">
        <v>300</v>
      </c>
      <c r="T530" s="1">
        <v>100</v>
      </c>
      <c r="U530" s="1">
        <v>200</v>
      </c>
      <c r="V530" s="1" t="s">
        <v>3203</v>
      </c>
      <c r="W530" s="1" t="s">
        <v>889</v>
      </c>
    </row>
    <row r="531" spans="1:23" ht="13.2">
      <c r="A531" s="1">
        <v>530</v>
      </c>
      <c r="B531" s="1" t="s">
        <v>3204</v>
      </c>
      <c r="C531" s="1" t="s">
        <v>51</v>
      </c>
      <c r="D531" s="1">
        <v>55.58</v>
      </c>
      <c r="E531" s="1">
        <v>0.03</v>
      </c>
      <c r="F531" s="1">
        <v>27.29</v>
      </c>
      <c r="G531" s="1">
        <v>0.03</v>
      </c>
      <c r="H531" s="1">
        <v>0.11</v>
      </c>
      <c r="I531" s="2">
        <v>0</v>
      </c>
      <c r="J531" s="1">
        <v>0.01</v>
      </c>
      <c r="K531" s="2">
        <v>0</v>
      </c>
      <c r="L531" s="2">
        <v>10.19</v>
      </c>
      <c r="M531" s="1">
        <v>5.99</v>
      </c>
      <c r="N531" s="1">
        <v>0.05</v>
      </c>
      <c r="O531" s="1">
        <v>0</v>
      </c>
      <c r="P531" s="1">
        <v>0</v>
      </c>
      <c r="Q531" s="1">
        <v>0</v>
      </c>
      <c r="R531" s="1">
        <v>600</v>
      </c>
      <c r="S531" s="1">
        <v>300</v>
      </c>
      <c r="T531" s="1">
        <v>100</v>
      </c>
      <c r="U531" s="1">
        <v>200</v>
      </c>
      <c r="V531" s="1" t="s">
        <v>3203</v>
      </c>
      <c r="W531" s="1" t="s">
        <v>3205</v>
      </c>
    </row>
    <row r="532" spans="1:23" ht="13.2">
      <c r="A532" s="1">
        <v>531</v>
      </c>
      <c r="B532" s="1" t="s">
        <v>3206</v>
      </c>
      <c r="C532" s="1" t="s">
        <v>51</v>
      </c>
      <c r="D532" s="1">
        <v>69.08</v>
      </c>
      <c r="E532" s="1">
        <v>0.02</v>
      </c>
      <c r="F532" s="1">
        <v>19.16</v>
      </c>
      <c r="G532" s="1">
        <v>0.03</v>
      </c>
      <c r="H532" s="1">
        <v>0.03</v>
      </c>
      <c r="I532" s="2">
        <v>0</v>
      </c>
      <c r="J532" s="1">
        <v>0.01</v>
      </c>
      <c r="K532" s="2">
        <v>0</v>
      </c>
      <c r="L532" s="2">
        <v>0.01</v>
      </c>
      <c r="M532" s="1">
        <v>11.79</v>
      </c>
      <c r="N532" s="1">
        <v>0.03</v>
      </c>
      <c r="O532" s="1">
        <v>0</v>
      </c>
      <c r="P532" s="1">
        <v>0</v>
      </c>
      <c r="Q532" s="1">
        <v>0</v>
      </c>
      <c r="R532" s="1">
        <v>400</v>
      </c>
      <c r="S532" s="1">
        <v>300</v>
      </c>
      <c r="T532" s="1">
        <v>100</v>
      </c>
      <c r="U532" s="1">
        <v>200</v>
      </c>
      <c r="V532" s="1" t="s">
        <v>3203</v>
      </c>
      <c r="W532" s="1" t="s">
        <v>3207</v>
      </c>
    </row>
    <row r="533" spans="1:23" ht="13.2">
      <c r="A533" s="1">
        <v>532</v>
      </c>
      <c r="B533" s="1" t="s">
        <v>893</v>
      </c>
      <c r="C533" s="1" t="s">
        <v>51</v>
      </c>
      <c r="D533" s="1">
        <v>54.9</v>
      </c>
      <c r="E533" s="1">
        <v>0.06</v>
      </c>
      <c r="F533" s="1">
        <v>27.85</v>
      </c>
      <c r="G533" s="1">
        <v>0.04</v>
      </c>
      <c r="H533" s="1">
        <v>0.41</v>
      </c>
      <c r="I533" s="2">
        <v>0</v>
      </c>
      <c r="J533" s="1">
        <v>0.01</v>
      </c>
      <c r="K533" s="2">
        <v>7.0000000000000007E-2</v>
      </c>
      <c r="L533" s="2">
        <v>11.05</v>
      </c>
      <c r="M533" s="1">
        <v>5.21</v>
      </c>
      <c r="N533" s="1">
        <v>0.37</v>
      </c>
      <c r="O533" s="1">
        <v>0</v>
      </c>
      <c r="P533" s="1">
        <v>0</v>
      </c>
      <c r="Q533" s="1">
        <v>0</v>
      </c>
      <c r="R533" s="1">
        <v>500</v>
      </c>
      <c r="S533" s="1">
        <v>300</v>
      </c>
      <c r="T533" s="1">
        <v>100</v>
      </c>
      <c r="U533" s="1">
        <v>100</v>
      </c>
      <c r="V533" s="1" t="s">
        <v>3203</v>
      </c>
      <c r="W533" s="1" t="s">
        <v>894</v>
      </c>
    </row>
    <row r="534" spans="1:23" ht="13.2">
      <c r="A534" s="1">
        <v>533</v>
      </c>
      <c r="B534" s="1" t="s">
        <v>3208</v>
      </c>
      <c r="C534" s="1" t="s">
        <v>51</v>
      </c>
      <c r="D534" s="1">
        <v>58.73</v>
      </c>
      <c r="E534" s="1">
        <v>0.02</v>
      </c>
      <c r="F534" s="1">
        <v>24.99</v>
      </c>
      <c r="G534" s="1">
        <v>0</v>
      </c>
      <c r="H534" s="1">
        <v>7.0000000000000007E-2</v>
      </c>
      <c r="I534" s="2">
        <v>0</v>
      </c>
      <c r="J534" s="1">
        <v>0.01</v>
      </c>
      <c r="K534" s="2">
        <v>0</v>
      </c>
      <c r="L534" s="2">
        <v>7.95</v>
      </c>
      <c r="M534" s="1">
        <v>7.33</v>
      </c>
      <c r="N534" s="1">
        <v>0.05</v>
      </c>
      <c r="O534" s="1">
        <v>0</v>
      </c>
      <c r="P534" s="1">
        <v>0</v>
      </c>
      <c r="Q534" s="1">
        <v>0</v>
      </c>
      <c r="R534" s="1">
        <v>500</v>
      </c>
      <c r="S534" s="1">
        <v>100</v>
      </c>
      <c r="T534" s="1">
        <v>0</v>
      </c>
      <c r="U534" s="1">
        <v>0</v>
      </c>
      <c r="V534" s="1" t="s">
        <v>3203</v>
      </c>
      <c r="W534" s="1" t="s">
        <v>3209</v>
      </c>
    </row>
    <row r="535" spans="1:23" ht="13.2">
      <c r="A535" s="1">
        <v>534</v>
      </c>
      <c r="B535" s="1" t="s">
        <v>3210</v>
      </c>
      <c r="C535" s="1" t="s">
        <v>51</v>
      </c>
      <c r="D535" s="1">
        <v>65.89</v>
      </c>
      <c r="E535" s="1">
        <v>0.02</v>
      </c>
      <c r="F535" s="1">
        <v>21.21</v>
      </c>
      <c r="G535" s="1">
        <v>0.03</v>
      </c>
      <c r="H535" s="1">
        <v>7.0000000000000007E-2</v>
      </c>
      <c r="I535" s="2">
        <v>0</v>
      </c>
      <c r="J535" s="1">
        <v>0.01</v>
      </c>
      <c r="K535" s="2">
        <v>0</v>
      </c>
      <c r="L535" s="2">
        <v>2.08</v>
      </c>
      <c r="M535" s="1">
        <v>10.51</v>
      </c>
      <c r="N535" s="1">
        <v>0.09</v>
      </c>
      <c r="O535" s="1">
        <v>0</v>
      </c>
      <c r="P535" s="1">
        <v>0</v>
      </c>
      <c r="Q535" s="1">
        <v>0</v>
      </c>
      <c r="R535" s="1">
        <v>400</v>
      </c>
      <c r="S535" s="1">
        <v>100</v>
      </c>
      <c r="T535" s="1">
        <v>0</v>
      </c>
      <c r="U535" s="1">
        <v>0</v>
      </c>
      <c r="V535" s="1" t="s">
        <v>3203</v>
      </c>
      <c r="W535" s="1" t="s">
        <v>3211</v>
      </c>
    </row>
    <row r="536" spans="1:23" ht="13.2">
      <c r="A536" s="1">
        <v>535</v>
      </c>
      <c r="B536" s="1" t="s">
        <v>899</v>
      </c>
      <c r="C536" s="1" t="s">
        <v>51</v>
      </c>
      <c r="D536" s="1">
        <v>46.55</v>
      </c>
      <c r="E536" s="1">
        <v>0.05</v>
      </c>
      <c r="F536" s="1">
        <v>32.700000000000003</v>
      </c>
      <c r="G536" s="1">
        <v>0.03</v>
      </c>
      <c r="H536" s="1">
        <v>0.64</v>
      </c>
      <c r="I536" s="2">
        <v>0</v>
      </c>
      <c r="J536" s="1">
        <v>0.01</v>
      </c>
      <c r="K536" s="2">
        <v>0.04</v>
      </c>
      <c r="L536" s="2">
        <v>17.28</v>
      </c>
      <c r="M536" s="1">
        <v>1.71</v>
      </c>
      <c r="N536" s="1">
        <v>0.2</v>
      </c>
      <c r="O536" s="1">
        <v>0</v>
      </c>
      <c r="P536" s="1">
        <v>0</v>
      </c>
      <c r="Q536" s="1">
        <v>0</v>
      </c>
      <c r="R536" s="1">
        <v>900</v>
      </c>
      <c r="S536" s="1">
        <v>300</v>
      </c>
      <c r="T536" s="1">
        <v>200</v>
      </c>
      <c r="U536" s="1">
        <v>100</v>
      </c>
      <c r="V536" s="1" t="s">
        <v>3203</v>
      </c>
      <c r="W536" s="1" t="s">
        <v>900</v>
      </c>
    </row>
    <row r="537" spans="1:23" ht="13.2">
      <c r="A537" s="1">
        <v>536</v>
      </c>
      <c r="B537" s="1" t="s">
        <v>902</v>
      </c>
      <c r="C537" s="1" t="s">
        <v>51</v>
      </c>
      <c r="D537" s="1">
        <v>50.77</v>
      </c>
      <c r="E537" s="1">
        <v>0.03</v>
      </c>
      <c r="F537" s="1">
        <v>31.19</v>
      </c>
      <c r="G537" s="1">
        <v>0.05</v>
      </c>
      <c r="H537" s="1">
        <v>0.43</v>
      </c>
      <c r="I537" s="2">
        <v>0</v>
      </c>
      <c r="J537" s="1">
        <v>0</v>
      </c>
      <c r="K537" s="2">
        <v>0.02</v>
      </c>
      <c r="L537" s="2">
        <v>13.71</v>
      </c>
      <c r="M537" s="1">
        <v>3.6</v>
      </c>
      <c r="N537" s="1">
        <v>0.12</v>
      </c>
      <c r="O537" s="1">
        <v>0</v>
      </c>
      <c r="P537" s="1">
        <v>0</v>
      </c>
      <c r="Q537" s="1">
        <v>0</v>
      </c>
      <c r="R537" s="1">
        <v>700</v>
      </c>
      <c r="S537" s="1">
        <v>300</v>
      </c>
      <c r="T537" s="1">
        <v>200</v>
      </c>
      <c r="U537" s="1">
        <v>100</v>
      </c>
      <c r="V537" s="1" t="s">
        <v>3203</v>
      </c>
      <c r="W537" s="1" t="s">
        <v>903</v>
      </c>
    </row>
    <row r="538" spans="1:23" ht="13.2">
      <c r="A538" s="1">
        <v>537</v>
      </c>
      <c r="B538" s="1" t="s">
        <v>3212</v>
      </c>
      <c r="C538" s="1" t="s">
        <v>51</v>
      </c>
      <c r="D538" s="1">
        <v>68.040000000000006</v>
      </c>
      <c r="E538" s="1">
        <v>0.03</v>
      </c>
      <c r="F538" s="1">
        <v>20.53</v>
      </c>
      <c r="G538" s="1">
        <v>0.02</v>
      </c>
      <c r="H538" s="1">
        <v>0.06</v>
      </c>
      <c r="I538" s="2">
        <v>0</v>
      </c>
      <c r="J538" s="1">
        <v>0.01</v>
      </c>
      <c r="K538" s="2">
        <v>0</v>
      </c>
      <c r="L538" s="2">
        <v>0.36</v>
      </c>
      <c r="M538" s="1">
        <v>11.58</v>
      </c>
      <c r="N538" s="1">
        <v>0.19</v>
      </c>
      <c r="O538" s="1">
        <v>0</v>
      </c>
      <c r="P538" s="1">
        <v>0</v>
      </c>
      <c r="Q538" s="1">
        <v>0</v>
      </c>
      <c r="R538" s="1">
        <v>400</v>
      </c>
      <c r="S538" s="1">
        <v>100</v>
      </c>
      <c r="T538" s="1">
        <v>0</v>
      </c>
      <c r="U538" s="1">
        <v>100</v>
      </c>
      <c r="V538" s="1" t="s">
        <v>3203</v>
      </c>
      <c r="W538" s="1" t="s">
        <v>3213</v>
      </c>
    </row>
    <row r="539" spans="1:23" ht="13.2">
      <c r="A539" s="1">
        <v>538</v>
      </c>
      <c r="B539" s="1" t="s">
        <v>3214</v>
      </c>
      <c r="C539" s="1" t="s">
        <v>51</v>
      </c>
      <c r="D539" s="1">
        <v>48.6</v>
      </c>
      <c r="E539" s="1">
        <v>0.06</v>
      </c>
      <c r="F539" s="1">
        <v>33.520000000000003</v>
      </c>
      <c r="G539" s="1">
        <v>0</v>
      </c>
      <c r="H539" s="1">
        <v>0.59</v>
      </c>
      <c r="I539" s="2">
        <v>0</v>
      </c>
      <c r="J539" s="1">
        <v>0</v>
      </c>
      <c r="K539" s="2">
        <v>0.14000000000000001</v>
      </c>
      <c r="L539" s="2">
        <v>15.46</v>
      </c>
      <c r="M539" s="1">
        <v>2.3199999999999998</v>
      </c>
      <c r="N539" s="1">
        <v>0.01</v>
      </c>
      <c r="O539" s="1">
        <v>0</v>
      </c>
      <c r="P539" s="1">
        <v>0</v>
      </c>
      <c r="Q539" s="1">
        <v>0</v>
      </c>
      <c r="R539" s="1">
        <v>1000</v>
      </c>
      <c r="S539" s="1">
        <v>300</v>
      </c>
      <c r="T539" s="1">
        <v>0</v>
      </c>
      <c r="U539" s="1">
        <v>100</v>
      </c>
      <c r="V539" s="1" t="s">
        <v>3203</v>
      </c>
      <c r="W539" s="1" t="s">
        <v>3215</v>
      </c>
    </row>
    <row r="540" spans="1:23" ht="13.2">
      <c r="A540" s="1">
        <v>539</v>
      </c>
      <c r="B540" s="1" t="s">
        <v>904</v>
      </c>
      <c r="C540" s="1" t="s">
        <v>51</v>
      </c>
      <c r="D540" s="1">
        <v>54.76</v>
      </c>
      <c r="E540" s="1">
        <v>0.04</v>
      </c>
      <c r="F540" s="1">
        <v>28.3</v>
      </c>
      <c r="G540" s="1">
        <v>0.01</v>
      </c>
      <c r="H540" s="1">
        <v>0.36</v>
      </c>
      <c r="I540" s="2">
        <v>0</v>
      </c>
      <c r="J540" s="1">
        <v>0.01</v>
      </c>
      <c r="K540" s="2">
        <v>0</v>
      </c>
      <c r="L540" s="2">
        <v>11.15</v>
      </c>
      <c r="M540" s="1">
        <v>5.23</v>
      </c>
      <c r="N540" s="1">
        <v>0.25</v>
      </c>
      <c r="O540" s="1">
        <v>0</v>
      </c>
      <c r="P540" s="1">
        <v>0</v>
      </c>
      <c r="Q540" s="1">
        <v>0</v>
      </c>
      <c r="R540" s="1">
        <v>700</v>
      </c>
      <c r="S540" s="1">
        <v>300</v>
      </c>
      <c r="T540" s="1">
        <v>100</v>
      </c>
      <c r="U540" s="1">
        <v>100</v>
      </c>
      <c r="V540" s="1" t="s">
        <v>3203</v>
      </c>
      <c r="W540" s="1" t="s">
        <v>905</v>
      </c>
    </row>
    <row r="541" spans="1:23" ht="13.2">
      <c r="A541" s="1">
        <v>540</v>
      </c>
      <c r="B541" s="1" t="s">
        <v>3216</v>
      </c>
      <c r="C541" s="1" t="s">
        <v>51</v>
      </c>
      <c r="D541" s="1">
        <v>43.97</v>
      </c>
      <c r="E541" s="1">
        <v>0.05</v>
      </c>
      <c r="F541" s="1">
        <v>34.659999999999997</v>
      </c>
      <c r="G541" s="1">
        <v>0.03</v>
      </c>
      <c r="H541" s="1">
        <v>0.57999999999999996</v>
      </c>
      <c r="I541" s="2">
        <v>0</v>
      </c>
      <c r="J541" s="1">
        <v>0.01</v>
      </c>
      <c r="K541" s="2">
        <v>0.01</v>
      </c>
      <c r="L541" s="2">
        <v>19.03</v>
      </c>
      <c r="M541" s="1">
        <v>0.65</v>
      </c>
      <c r="N541" s="1">
        <v>0</v>
      </c>
      <c r="O541" s="1">
        <v>0</v>
      </c>
      <c r="P541" s="1">
        <v>0</v>
      </c>
      <c r="Q541" s="1">
        <v>0</v>
      </c>
      <c r="R541" s="1">
        <v>800</v>
      </c>
      <c r="S541" s="1">
        <v>400</v>
      </c>
      <c r="T541" s="1">
        <v>300</v>
      </c>
      <c r="U541" s="1">
        <v>200</v>
      </c>
      <c r="V541" s="1" t="s">
        <v>3203</v>
      </c>
      <c r="W541" s="1" t="s">
        <v>3217</v>
      </c>
    </row>
    <row r="542" spans="1:23" ht="13.2">
      <c r="A542" s="1">
        <v>541</v>
      </c>
      <c r="B542" s="1" t="s">
        <v>3218</v>
      </c>
      <c r="C542" s="1" t="s">
        <v>51</v>
      </c>
      <c r="D542" s="1">
        <v>62.07</v>
      </c>
      <c r="E542" s="1">
        <v>0.02</v>
      </c>
      <c r="F542" s="1">
        <v>23.58</v>
      </c>
      <c r="G542" s="1">
        <v>0.02</v>
      </c>
      <c r="H542" s="1">
        <v>7.0000000000000007E-2</v>
      </c>
      <c r="I542" s="2">
        <v>0</v>
      </c>
      <c r="J542" s="1">
        <v>0.01</v>
      </c>
      <c r="K542" s="2">
        <v>0.03</v>
      </c>
      <c r="L542" s="2">
        <v>4.99</v>
      </c>
      <c r="M542" s="1">
        <v>8.98</v>
      </c>
      <c r="N542" s="1">
        <v>0.03</v>
      </c>
      <c r="O542" s="1">
        <v>0</v>
      </c>
      <c r="P542" s="1">
        <v>0</v>
      </c>
      <c r="Q542" s="1">
        <v>0</v>
      </c>
      <c r="R542" s="1">
        <v>500</v>
      </c>
      <c r="S542" s="1">
        <v>100</v>
      </c>
      <c r="T542" s="1">
        <v>0</v>
      </c>
      <c r="U542" s="1">
        <v>0</v>
      </c>
      <c r="V542" s="1" t="s">
        <v>3203</v>
      </c>
      <c r="W542" s="1" t="s">
        <v>3219</v>
      </c>
    </row>
    <row r="543" spans="1:23" ht="13.2">
      <c r="A543" s="1">
        <v>542</v>
      </c>
      <c r="B543" s="1" t="s">
        <v>3220</v>
      </c>
      <c r="C543" s="1" t="s">
        <v>51</v>
      </c>
      <c r="D543" s="1">
        <v>46.95</v>
      </c>
      <c r="E543" s="1">
        <v>0.05</v>
      </c>
      <c r="F543" s="1">
        <v>33.6</v>
      </c>
      <c r="G543" s="1">
        <v>0.01</v>
      </c>
      <c r="H543" s="1">
        <v>0.54</v>
      </c>
      <c r="I543" s="2">
        <v>0</v>
      </c>
      <c r="J543" s="1">
        <v>0</v>
      </c>
      <c r="K543" s="2">
        <v>0.03</v>
      </c>
      <c r="L543" s="2">
        <v>17.38</v>
      </c>
      <c r="M543" s="1">
        <v>1.58</v>
      </c>
      <c r="N543" s="1">
        <v>0.01</v>
      </c>
      <c r="O543" s="1">
        <v>0</v>
      </c>
      <c r="P543" s="1">
        <v>0</v>
      </c>
      <c r="Q543" s="1">
        <v>0</v>
      </c>
      <c r="R543" s="1">
        <v>800</v>
      </c>
      <c r="S543" s="1">
        <v>400</v>
      </c>
      <c r="T543" s="1">
        <v>500</v>
      </c>
      <c r="U543" s="1">
        <v>100</v>
      </c>
      <c r="V543" s="1" t="s">
        <v>3203</v>
      </c>
      <c r="W543" s="1" t="s">
        <v>3221</v>
      </c>
    </row>
    <row r="544" spans="1:23" ht="13.2">
      <c r="A544" s="1">
        <v>543</v>
      </c>
      <c r="B544" s="1" t="s">
        <v>3222</v>
      </c>
      <c r="C544" s="1" t="s">
        <v>51</v>
      </c>
      <c r="D544" s="1">
        <v>66.75</v>
      </c>
      <c r="E544" s="1">
        <v>0.01</v>
      </c>
      <c r="F544" s="1">
        <v>18.41</v>
      </c>
      <c r="G544" s="1">
        <v>0.02</v>
      </c>
      <c r="H544" s="1">
        <v>0.13</v>
      </c>
      <c r="I544" s="2">
        <v>0</v>
      </c>
      <c r="J544" s="1">
        <v>0.01</v>
      </c>
      <c r="K544" s="2">
        <v>0</v>
      </c>
      <c r="L544" s="2">
        <v>0.31</v>
      </c>
      <c r="M544" s="1">
        <v>5.46</v>
      </c>
      <c r="N544" s="1">
        <v>8.83</v>
      </c>
      <c r="O544" s="1">
        <v>0</v>
      </c>
      <c r="P544" s="1">
        <v>0</v>
      </c>
      <c r="Q544" s="1">
        <v>0</v>
      </c>
      <c r="R544" s="1">
        <v>500</v>
      </c>
      <c r="S544" s="1">
        <v>300</v>
      </c>
      <c r="T544" s="1">
        <v>100</v>
      </c>
      <c r="U544" s="1">
        <v>100</v>
      </c>
      <c r="V544" s="1" t="s">
        <v>3203</v>
      </c>
      <c r="W544" s="1" t="s">
        <v>3223</v>
      </c>
    </row>
    <row r="545" spans="1:23" ht="13.2">
      <c r="A545" s="1">
        <v>544</v>
      </c>
      <c r="B545" s="1" t="s">
        <v>910</v>
      </c>
      <c r="C545" s="1" t="s">
        <v>51</v>
      </c>
      <c r="D545" s="1">
        <v>62.22</v>
      </c>
      <c r="E545" s="1">
        <v>0</v>
      </c>
      <c r="F545" s="1">
        <v>22.61</v>
      </c>
      <c r="G545" s="1">
        <v>0</v>
      </c>
      <c r="H545" s="1">
        <v>0</v>
      </c>
      <c r="I545" s="2">
        <v>0</v>
      </c>
      <c r="J545" s="1">
        <v>0</v>
      </c>
      <c r="K545" s="2">
        <v>0</v>
      </c>
      <c r="L545" s="2">
        <v>5.0599999999999996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 t="s">
        <v>3203</v>
      </c>
      <c r="W545" s="1" t="s">
        <v>911</v>
      </c>
    </row>
    <row r="546" spans="1:23" ht="13.2">
      <c r="A546" s="1">
        <v>545</v>
      </c>
      <c r="B546" s="1" t="s">
        <v>3224</v>
      </c>
      <c r="C546" s="1" t="s">
        <v>51</v>
      </c>
      <c r="D546" s="1">
        <v>65.28</v>
      </c>
      <c r="E546" s="1">
        <v>0.03</v>
      </c>
      <c r="F546" s="1">
        <v>21.94</v>
      </c>
      <c r="G546" s="1">
        <v>0.03</v>
      </c>
      <c r="H546" s="1">
        <v>0.14000000000000001</v>
      </c>
      <c r="I546" s="2">
        <v>0</v>
      </c>
      <c r="J546" s="1">
        <v>0</v>
      </c>
      <c r="K546" s="2">
        <v>0</v>
      </c>
      <c r="L546" s="2">
        <v>3.1</v>
      </c>
      <c r="M546" s="1">
        <v>9.89</v>
      </c>
      <c r="N546" s="1">
        <v>0.4</v>
      </c>
      <c r="O546" s="1">
        <v>0</v>
      </c>
      <c r="P546" s="1">
        <v>0</v>
      </c>
      <c r="Q546" s="1">
        <v>0</v>
      </c>
      <c r="R546" s="1">
        <v>500</v>
      </c>
      <c r="S546" s="1">
        <v>100</v>
      </c>
      <c r="T546" s="1">
        <v>0</v>
      </c>
      <c r="U546" s="1">
        <v>0</v>
      </c>
      <c r="V546" s="1" t="s">
        <v>3203</v>
      </c>
      <c r="W546" s="1" t="s">
        <v>3225</v>
      </c>
    </row>
    <row r="547" spans="1:23" ht="13.2">
      <c r="A547" s="1">
        <v>546</v>
      </c>
      <c r="B547" s="1" t="s">
        <v>3226</v>
      </c>
      <c r="C547" s="1" t="s">
        <v>51</v>
      </c>
      <c r="D547" s="1">
        <v>44.8</v>
      </c>
      <c r="E547" s="1">
        <v>0.05</v>
      </c>
      <c r="F547" s="1">
        <v>35.049999999999997</v>
      </c>
      <c r="G547" s="1">
        <v>0.02</v>
      </c>
      <c r="H547" s="1">
        <v>0.61</v>
      </c>
      <c r="I547" s="2">
        <v>0</v>
      </c>
      <c r="J547" s="1">
        <v>0.01</v>
      </c>
      <c r="K547" s="2">
        <v>0.01</v>
      </c>
      <c r="L547" s="2">
        <v>18.760000000000002</v>
      </c>
      <c r="M547" s="1">
        <v>0.81</v>
      </c>
      <c r="N547" s="1">
        <v>0</v>
      </c>
      <c r="O547" s="1">
        <v>0</v>
      </c>
      <c r="P547" s="1">
        <v>0</v>
      </c>
      <c r="Q547" s="1">
        <v>0</v>
      </c>
      <c r="R547" s="1">
        <v>800</v>
      </c>
      <c r="S547" s="1">
        <v>400</v>
      </c>
      <c r="T547" s="1">
        <v>300</v>
      </c>
      <c r="U547" s="1">
        <v>100</v>
      </c>
      <c r="V547" s="1" t="s">
        <v>3203</v>
      </c>
      <c r="W547" s="1" t="s">
        <v>3227</v>
      </c>
    </row>
    <row r="548" spans="1:23" ht="13.2">
      <c r="A548" s="1">
        <v>547</v>
      </c>
      <c r="B548" s="1" t="s">
        <v>916</v>
      </c>
      <c r="C548" s="1" t="s">
        <v>51</v>
      </c>
      <c r="D548" s="1">
        <v>55.35</v>
      </c>
      <c r="E548" s="1">
        <v>0.1</v>
      </c>
      <c r="F548" s="1">
        <v>26.17</v>
      </c>
      <c r="G548" s="1">
        <v>0</v>
      </c>
      <c r="H548" s="1">
        <v>1.61</v>
      </c>
      <c r="I548" s="2">
        <v>0</v>
      </c>
      <c r="J548" s="1">
        <v>0</v>
      </c>
      <c r="K548" s="2">
        <v>0</v>
      </c>
      <c r="L548" s="2">
        <v>9.93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1500</v>
      </c>
      <c r="S548" s="1">
        <v>0</v>
      </c>
      <c r="T548" s="1">
        <v>0</v>
      </c>
      <c r="U548" s="1">
        <v>0</v>
      </c>
      <c r="V548" s="1" t="s">
        <v>3203</v>
      </c>
      <c r="W548" s="1" t="s">
        <v>917</v>
      </c>
    </row>
    <row r="549" spans="1:23" ht="13.2">
      <c r="A549" s="1">
        <v>548</v>
      </c>
      <c r="B549" s="1" t="s">
        <v>3228</v>
      </c>
      <c r="C549" s="1" t="s">
        <v>3229</v>
      </c>
      <c r="D549" s="1">
        <v>0.05</v>
      </c>
      <c r="E549" s="1">
        <v>0.09</v>
      </c>
      <c r="F549" s="1">
        <v>0</v>
      </c>
      <c r="G549" s="1">
        <v>0.11</v>
      </c>
      <c r="H549" s="1">
        <v>0</v>
      </c>
      <c r="I549" s="2">
        <v>0.28000000000000003</v>
      </c>
      <c r="J549" s="1">
        <v>0.15</v>
      </c>
      <c r="K549" s="2">
        <v>0.22</v>
      </c>
      <c r="L549" s="2">
        <v>53.33</v>
      </c>
      <c r="M549" s="1">
        <v>0</v>
      </c>
      <c r="N549" s="1">
        <v>0</v>
      </c>
      <c r="O549" s="1">
        <v>38.729999999999997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 t="s">
        <v>3203</v>
      </c>
      <c r="W549" s="1" t="s">
        <v>3230</v>
      </c>
    </row>
    <row r="550" spans="1:23" ht="13.2">
      <c r="A550" s="1">
        <v>549</v>
      </c>
      <c r="B550" s="1" t="s">
        <v>3231</v>
      </c>
      <c r="C550" s="1" t="s">
        <v>3232</v>
      </c>
      <c r="D550" s="1">
        <v>0.09</v>
      </c>
      <c r="E550" s="1">
        <v>0</v>
      </c>
      <c r="F550" s="1">
        <v>0</v>
      </c>
      <c r="G550" s="1">
        <v>0.02</v>
      </c>
      <c r="H550" s="1">
        <v>13.79</v>
      </c>
      <c r="I550" s="2">
        <v>32.869999999999997</v>
      </c>
      <c r="J550" s="1">
        <v>12.44</v>
      </c>
      <c r="K550" s="2">
        <v>0.12</v>
      </c>
      <c r="L550" s="2">
        <v>0</v>
      </c>
      <c r="M550" s="1">
        <v>0</v>
      </c>
      <c r="N550" s="1">
        <v>0</v>
      </c>
      <c r="O550" s="1">
        <v>38.869999999999997</v>
      </c>
      <c r="P550" s="1">
        <v>0</v>
      </c>
      <c r="Q550" s="1">
        <v>0</v>
      </c>
      <c r="R550" s="1">
        <v>300</v>
      </c>
      <c r="S550" s="1">
        <v>0</v>
      </c>
      <c r="T550" s="1">
        <v>0</v>
      </c>
      <c r="U550" s="1">
        <v>0</v>
      </c>
      <c r="V550" s="1" t="s">
        <v>3203</v>
      </c>
      <c r="W550" s="1" t="s">
        <v>3233</v>
      </c>
    </row>
    <row r="551" spans="1:23" ht="13.2">
      <c r="A551" s="1">
        <v>550</v>
      </c>
      <c r="B551" s="1" t="s">
        <v>896</v>
      </c>
      <c r="C551" s="1" t="s">
        <v>51</v>
      </c>
      <c r="D551" s="1">
        <v>55.47</v>
      </c>
      <c r="E551" s="1">
        <v>0.11</v>
      </c>
      <c r="F551" s="1">
        <v>27.17</v>
      </c>
      <c r="G551" s="1">
        <v>0.03</v>
      </c>
      <c r="H551" s="1">
        <v>0.54</v>
      </c>
      <c r="I551" s="2">
        <v>0</v>
      </c>
      <c r="J551" s="1">
        <v>0.02</v>
      </c>
      <c r="K551" s="2">
        <v>0.03</v>
      </c>
      <c r="L551" s="2">
        <v>10.3</v>
      </c>
      <c r="M551" s="1">
        <v>5.68</v>
      </c>
      <c r="N551" s="1">
        <v>0.32</v>
      </c>
      <c r="O551" s="1">
        <v>0</v>
      </c>
      <c r="P551" s="1">
        <v>0</v>
      </c>
      <c r="Q551" s="1">
        <v>0</v>
      </c>
      <c r="R551" s="1">
        <v>700</v>
      </c>
      <c r="S551" s="1">
        <v>300</v>
      </c>
      <c r="T551" s="1">
        <v>200</v>
      </c>
      <c r="U551" s="1">
        <v>200</v>
      </c>
      <c r="V551" s="1" t="s">
        <v>3203</v>
      </c>
      <c r="W551" s="1" t="s">
        <v>897</v>
      </c>
    </row>
    <row r="552" spans="1:23" ht="13.2">
      <c r="A552" s="1">
        <v>551</v>
      </c>
      <c r="B552" s="1" t="s">
        <v>907</v>
      </c>
      <c r="C552" s="1" t="s">
        <v>51</v>
      </c>
      <c r="D552" s="1">
        <v>53.67</v>
      </c>
      <c r="E552" s="1">
        <v>0.13</v>
      </c>
      <c r="F552" s="1">
        <v>29.11</v>
      </c>
      <c r="G552" s="1">
        <v>0.02</v>
      </c>
      <c r="H552" s="1">
        <v>0.52</v>
      </c>
      <c r="I552" s="2">
        <v>0</v>
      </c>
      <c r="J552" s="1">
        <v>0.02</v>
      </c>
      <c r="K552" s="2">
        <v>0.03</v>
      </c>
      <c r="L552" s="2">
        <v>12.04</v>
      </c>
      <c r="M552" s="1">
        <v>4.6399999999999997</v>
      </c>
      <c r="N552" s="1">
        <v>0.28999999999999998</v>
      </c>
      <c r="O552" s="1">
        <v>0</v>
      </c>
      <c r="P552" s="1">
        <v>0</v>
      </c>
      <c r="Q552" s="1">
        <v>0</v>
      </c>
      <c r="R552" s="1">
        <v>600</v>
      </c>
      <c r="S552" s="1">
        <v>300</v>
      </c>
      <c r="T552" s="1">
        <v>100</v>
      </c>
      <c r="U552" s="1">
        <v>0</v>
      </c>
      <c r="V552" s="1" t="s">
        <v>3203</v>
      </c>
      <c r="W552" s="1" t="s">
        <v>908</v>
      </c>
    </row>
    <row r="553" spans="1:23" ht="13.2">
      <c r="A553" s="1">
        <v>552</v>
      </c>
      <c r="B553" s="1" t="s">
        <v>913</v>
      </c>
      <c r="C553" s="1" t="s">
        <v>51</v>
      </c>
      <c r="D553" s="1">
        <v>65.34</v>
      </c>
      <c r="E553" s="1">
        <v>0.01</v>
      </c>
      <c r="F553" s="1">
        <v>21.79</v>
      </c>
      <c r="G553" s="1">
        <v>0.02</v>
      </c>
      <c r="H553" s="1">
        <v>0.12</v>
      </c>
      <c r="I553" s="2">
        <v>0</v>
      </c>
      <c r="J553" s="1">
        <v>0</v>
      </c>
      <c r="K553" s="2">
        <v>0</v>
      </c>
      <c r="L553" s="2">
        <v>2.4500000000000002</v>
      </c>
      <c r="M553" s="1">
        <v>10.41</v>
      </c>
      <c r="N553" s="1">
        <v>0.16</v>
      </c>
      <c r="O553" s="1">
        <v>0</v>
      </c>
      <c r="P553" s="1">
        <v>0</v>
      </c>
      <c r="Q553" s="1">
        <v>0</v>
      </c>
      <c r="R553" s="1">
        <v>600</v>
      </c>
      <c r="S553" s="1">
        <v>0</v>
      </c>
      <c r="T553" s="1">
        <v>0</v>
      </c>
      <c r="U553" s="1">
        <v>0</v>
      </c>
      <c r="V553" s="1" t="s">
        <v>3203</v>
      </c>
      <c r="W553" s="1" t="s">
        <v>914</v>
      </c>
    </row>
    <row r="554" spans="1:23" ht="13.2">
      <c r="A554" s="1">
        <v>553</v>
      </c>
      <c r="B554" s="1" t="s">
        <v>918</v>
      </c>
      <c r="C554" s="1" t="s">
        <v>51</v>
      </c>
      <c r="D554" s="1">
        <v>46.55</v>
      </c>
      <c r="E554" s="1">
        <v>0</v>
      </c>
      <c r="F554" s="1">
        <v>27.21</v>
      </c>
      <c r="G554" s="1">
        <v>0.01</v>
      </c>
      <c r="H554" s="1">
        <v>0.1</v>
      </c>
      <c r="I554" s="2">
        <v>0</v>
      </c>
      <c r="J554" s="1">
        <v>0.01</v>
      </c>
      <c r="K554" s="2">
        <v>0</v>
      </c>
      <c r="L554" s="2">
        <v>17</v>
      </c>
      <c r="M554" s="1">
        <v>3.75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600</v>
      </c>
      <c r="T554" s="1">
        <v>0</v>
      </c>
      <c r="U554" s="1">
        <v>500</v>
      </c>
      <c r="V554" s="1" t="s">
        <v>3203</v>
      </c>
      <c r="W554" s="1" t="s">
        <v>919</v>
      </c>
    </row>
    <row r="555" spans="1:23" ht="13.2">
      <c r="A555" s="1">
        <v>554</v>
      </c>
      <c r="B555" s="1" t="s">
        <v>3234</v>
      </c>
      <c r="C555" s="1" t="s">
        <v>3235</v>
      </c>
      <c r="D555" s="1">
        <v>39.76</v>
      </c>
      <c r="E555" s="1">
        <v>0.36</v>
      </c>
      <c r="F555" s="1">
        <v>18.100000000000001</v>
      </c>
      <c r="G555" s="1">
        <v>0.06</v>
      </c>
      <c r="H555" s="1">
        <v>4.9000000000000004</v>
      </c>
      <c r="I555" s="2">
        <v>1.77</v>
      </c>
      <c r="J555" s="1">
        <v>0.1</v>
      </c>
      <c r="K555" s="2">
        <v>0.84</v>
      </c>
      <c r="L555" s="2">
        <v>36.909999999999997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2200</v>
      </c>
      <c r="S555" s="1">
        <v>0</v>
      </c>
      <c r="T555" s="1">
        <v>0</v>
      </c>
      <c r="U555" s="1">
        <v>1500</v>
      </c>
      <c r="V555" s="1" t="s">
        <v>3203</v>
      </c>
      <c r="W555" s="1" t="s">
        <v>3236</v>
      </c>
    </row>
    <row r="556" spans="1:23" ht="13.2">
      <c r="A556" s="1">
        <v>555</v>
      </c>
      <c r="B556" s="1" t="s">
        <v>3237</v>
      </c>
      <c r="C556" s="1" t="s">
        <v>3238</v>
      </c>
      <c r="D556" s="1">
        <v>0</v>
      </c>
      <c r="E556" s="1">
        <v>0.02</v>
      </c>
      <c r="F556" s="1">
        <v>0</v>
      </c>
      <c r="G556" s="1">
        <v>0.04</v>
      </c>
      <c r="H556" s="1">
        <v>0</v>
      </c>
      <c r="I556" s="2">
        <v>31.23</v>
      </c>
      <c r="J556" s="1">
        <v>14.33</v>
      </c>
      <c r="K556" s="2">
        <v>1.54</v>
      </c>
      <c r="L556" s="2">
        <v>10.98</v>
      </c>
      <c r="M556" s="1">
        <v>0</v>
      </c>
      <c r="N556" s="1">
        <v>0</v>
      </c>
      <c r="O556" s="1">
        <v>40.29</v>
      </c>
      <c r="P556" s="1">
        <v>0</v>
      </c>
      <c r="Q556" s="1">
        <v>0</v>
      </c>
      <c r="R556" s="1">
        <v>200</v>
      </c>
      <c r="S556" s="1">
        <v>0</v>
      </c>
      <c r="T556" s="1">
        <v>2200</v>
      </c>
      <c r="U556" s="1">
        <v>0</v>
      </c>
      <c r="V556" s="1" t="s">
        <v>3203</v>
      </c>
      <c r="W556" s="1" t="s">
        <v>3239</v>
      </c>
    </row>
    <row r="557" spans="1:23" ht="13.2">
      <c r="A557" s="1">
        <v>556</v>
      </c>
      <c r="B557" s="1" t="s">
        <v>3240</v>
      </c>
      <c r="C557" s="1" t="s">
        <v>3241</v>
      </c>
      <c r="D557" s="1">
        <v>0.34</v>
      </c>
      <c r="E557" s="1">
        <v>0</v>
      </c>
      <c r="F557" s="1">
        <v>2.48</v>
      </c>
      <c r="G557" s="1">
        <v>0</v>
      </c>
      <c r="H557" s="1">
        <v>0</v>
      </c>
      <c r="I557" s="2">
        <v>29.49</v>
      </c>
      <c r="J557" s="1">
        <v>8.6999999999999993</v>
      </c>
      <c r="K557" s="2">
        <v>3.16</v>
      </c>
      <c r="L557" s="2">
        <v>3.54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 t="s">
        <v>3203</v>
      </c>
      <c r="W557" s="1" t="s">
        <v>3242</v>
      </c>
    </row>
    <row r="558" spans="1:23" ht="13.2">
      <c r="A558" s="1">
        <v>557</v>
      </c>
      <c r="B558" s="1" t="s">
        <v>3243</v>
      </c>
      <c r="C558" s="1" t="s">
        <v>2020</v>
      </c>
      <c r="D558" s="1">
        <v>44.84</v>
      </c>
      <c r="E558" s="1">
        <v>0.14000000000000001</v>
      </c>
      <c r="F558" s="1">
        <v>2.56</v>
      </c>
      <c r="G558" s="1">
        <v>0.62</v>
      </c>
      <c r="H558" s="1">
        <v>0</v>
      </c>
      <c r="I558" s="2">
        <v>20.95</v>
      </c>
      <c r="J558" s="1">
        <v>0.36</v>
      </c>
      <c r="K558" s="2">
        <v>27.86</v>
      </c>
      <c r="L558" s="2">
        <v>1.97</v>
      </c>
      <c r="M558" s="1">
        <v>0.01</v>
      </c>
      <c r="N558" s="1">
        <v>0.15</v>
      </c>
      <c r="O558" s="1">
        <v>0.48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/>
      <c r="W558" s="1" t="s">
        <v>3244</v>
      </c>
    </row>
    <row r="559" spans="1:23" ht="13.2">
      <c r="A559" s="1">
        <v>558</v>
      </c>
      <c r="B559" s="1" t="s">
        <v>3245</v>
      </c>
      <c r="C559" s="1" t="s">
        <v>3246</v>
      </c>
      <c r="D559" s="1">
        <v>40.71</v>
      </c>
      <c r="E559" s="1">
        <v>0.02</v>
      </c>
      <c r="F559" s="1">
        <v>0.48</v>
      </c>
      <c r="G559" s="1">
        <v>0.43</v>
      </c>
      <c r="H559" s="1">
        <v>0</v>
      </c>
      <c r="I559" s="2">
        <v>4.7300000000000004</v>
      </c>
      <c r="J559" s="1">
        <v>0.04</v>
      </c>
      <c r="K559" s="2">
        <v>39.67</v>
      </c>
      <c r="L559" s="2">
        <v>0.01</v>
      </c>
      <c r="M559" s="1">
        <v>0.01</v>
      </c>
      <c r="N559" s="1">
        <v>0.01</v>
      </c>
      <c r="O559" s="1">
        <v>0.03</v>
      </c>
      <c r="P559" s="1">
        <v>12.98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/>
      <c r="W559" s="1"/>
    </row>
    <row r="560" spans="1:23" ht="13.2">
      <c r="A560" s="1">
        <v>559</v>
      </c>
      <c r="B560" s="1" t="s">
        <v>3247</v>
      </c>
      <c r="C560" s="1" t="s">
        <v>3248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2">
        <v>0</v>
      </c>
      <c r="J560" s="1">
        <v>0</v>
      </c>
      <c r="K560" s="2">
        <v>0</v>
      </c>
      <c r="L560" s="2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/>
      <c r="W560" s="1" t="s">
        <v>3249</v>
      </c>
    </row>
    <row r="561" spans="1:23" ht="13.2">
      <c r="A561" s="1">
        <v>560</v>
      </c>
      <c r="B561" s="1" t="s">
        <v>3250</v>
      </c>
      <c r="C561" s="1" t="s">
        <v>2020</v>
      </c>
      <c r="D561" s="1">
        <v>39.24</v>
      </c>
      <c r="E561" s="1">
        <v>0.08</v>
      </c>
      <c r="F561" s="1">
        <v>1.43</v>
      </c>
      <c r="G561" s="1">
        <v>0.47</v>
      </c>
      <c r="H561" s="1">
        <v>0</v>
      </c>
      <c r="I561" s="2">
        <v>13.54</v>
      </c>
      <c r="J561" s="1">
        <v>0.2</v>
      </c>
      <c r="K561" s="2">
        <v>31.45</v>
      </c>
      <c r="L561" s="2">
        <v>1.93</v>
      </c>
      <c r="M561" s="1">
        <v>0.01</v>
      </c>
      <c r="N561" s="1">
        <v>0.04</v>
      </c>
      <c r="O561" s="1">
        <v>0.23</v>
      </c>
      <c r="P561" s="1">
        <v>10.92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/>
      <c r="W561" s="1"/>
    </row>
    <row r="562" spans="1:23" ht="39.6">
      <c r="A562" s="1">
        <v>561</v>
      </c>
      <c r="B562" s="1" t="s">
        <v>3251</v>
      </c>
      <c r="C562" s="1" t="s">
        <v>2020</v>
      </c>
      <c r="D562" s="1">
        <v>70.760000000000005</v>
      </c>
      <c r="E562" s="1">
        <v>0</v>
      </c>
      <c r="F562" s="1">
        <v>17.79</v>
      </c>
      <c r="G562" s="1">
        <v>0</v>
      </c>
      <c r="H562" s="1">
        <v>0.04</v>
      </c>
      <c r="I562" s="2">
        <v>0.04</v>
      </c>
      <c r="J562" s="1">
        <v>0</v>
      </c>
      <c r="K562" s="2">
        <v>1.1200000000000001</v>
      </c>
      <c r="L562" s="2">
        <v>0.27</v>
      </c>
      <c r="M562" s="1">
        <v>8.93</v>
      </c>
      <c r="N562" s="1">
        <v>0.28999999999999998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 t="s">
        <v>3252</v>
      </c>
      <c r="W562" s="1" t="s">
        <v>3253</v>
      </c>
    </row>
    <row r="563" spans="1:23" ht="66">
      <c r="A563" s="1">
        <v>562</v>
      </c>
      <c r="B563" s="1" t="s">
        <v>3254</v>
      </c>
      <c r="C563" s="1" t="s">
        <v>2020</v>
      </c>
      <c r="D563" s="1">
        <v>48.98</v>
      </c>
      <c r="E563" s="1">
        <v>0.15</v>
      </c>
      <c r="F563" s="1">
        <v>28.66</v>
      </c>
      <c r="G563" s="1">
        <v>0</v>
      </c>
      <c r="H563" s="1">
        <v>0</v>
      </c>
      <c r="I563" s="2">
        <v>2.81</v>
      </c>
      <c r="J563" s="1">
        <v>0.03</v>
      </c>
      <c r="K563" s="2">
        <v>1.37</v>
      </c>
      <c r="L563" s="2">
        <v>15.23</v>
      </c>
      <c r="M563" s="1">
        <v>2.4</v>
      </c>
      <c r="N563" s="1">
        <v>0.09</v>
      </c>
      <c r="O563" s="1">
        <v>0</v>
      </c>
      <c r="P563" s="1">
        <v>0.51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 t="s">
        <v>3255</v>
      </c>
      <c r="W563" s="1"/>
    </row>
    <row r="564" spans="1:23" ht="52.8">
      <c r="A564" s="1">
        <v>563</v>
      </c>
      <c r="B564" s="1" t="s">
        <v>995</v>
      </c>
      <c r="C564" s="1" t="s">
        <v>2677</v>
      </c>
      <c r="D564" s="1">
        <v>47.97</v>
      </c>
      <c r="E564" s="1">
        <v>0.56000000000000005</v>
      </c>
      <c r="F564" s="1">
        <v>0.89</v>
      </c>
      <c r="G564" s="1">
        <v>0.04</v>
      </c>
      <c r="H564" s="1">
        <v>0</v>
      </c>
      <c r="I564" s="2">
        <v>29.78</v>
      </c>
      <c r="J564" s="1">
        <v>0.81</v>
      </c>
      <c r="K564" s="2">
        <v>8.31</v>
      </c>
      <c r="L564" s="2">
        <v>12.9</v>
      </c>
      <c r="M564" s="1">
        <v>0.11</v>
      </c>
      <c r="N564" s="1">
        <v>0.05</v>
      </c>
      <c r="O564" s="1">
        <v>0.11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 t="s">
        <v>3256</v>
      </c>
      <c r="W564" s="1" t="s">
        <v>3257</v>
      </c>
    </row>
    <row r="565" spans="1:23" ht="26.4">
      <c r="A565" s="1">
        <v>564</v>
      </c>
      <c r="B565" s="1" t="s">
        <v>999</v>
      </c>
      <c r="C565" s="1" t="s">
        <v>2034</v>
      </c>
      <c r="D565" s="1">
        <v>51.1</v>
      </c>
      <c r="E565" s="1">
        <v>0.41</v>
      </c>
      <c r="F565" s="1">
        <v>0</v>
      </c>
      <c r="G565" s="1">
        <v>0.54</v>
      </c>
      <c r="H565" s="1">
        <v>0</v>
      </c>
      <c r="I565" s="2">
        <v>16.05</v>
      </c>
      <c r="J565" s="1">
        <v>0.57999999999999996</v>
      </c>
      <c r="K565" s="2">
        <v>0.87</v>
      </c>
      <c r="L565" s="2">
        <v>16.100000000000001</v>
      </c>
      <c r="M565" s="1">
        <v>14.35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 t="s">
        <v>3258</v>
      </c>
      <c r="W565" s="1"/>
    </row>
    <row r="566" spans="1:23" ht="13.2">
      <c r="A566" s="1">
        <v>565</v>
      </c>
      <c r="B566" s="1" t="s">
        <v>3259</v>
      </c>
      <c r="C566" s="1" t="s">
        <v>2020</v>
      </c>
      <c r="D566" s="1">
        <v>42.37</v>
      </c>
      <c r="E566" s="1">
        <v>2.0299999999999998</v>
      </c>
      <c r="F566" s="1">
        <v>11.5</v>
      </c>
      <c r="G566" s="1">
        <v>0</v>
      </c>
      <c r="H566" s="1">
        <v>13.31</v>
      </c>
      <c r="I566" s="2">
        <v>0</v>
      </c>
      <c r="J566" s="1">
        <v>0.4</v>
      </c>
      <c r="K566" s="2">
        <v>14.02</v>
      </c>
      <c r="L566" s="2">
        <v>10.32</v>
      </c>
      <c r="M566" s="1">
        <v>2.59</v>
      </c>
      <c r="N566" s="1">
        <v>1.0900000000000001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/>
      <c r="W566" s="1"/>
    </row>
    <row r="567" spans="1:23" ht="13.2">
      <c r="A567" s="1">
        <v>566</v>
      </c>
      <c r="B567" s="5" t="s">
        <v>3260</v>
      </c>
      <c r="C567" s="1" t="s">
        <v>2020</v>
      </c>
      <c r="D567" s="1">
        <v>48.19</v>
      </c>
      <c r="E567" s="1">
        <v>1.78</v>
      </c>
      <c r="F567" s="1">
        <v>17.45</v>
      </c>
      <c r="G567" s="1">
        <v>0</v>
      </c>
      <c r="H567" s="1">
        <v>11.83</v>
      </c>
      <c r="I567" s="2">
        <v>0</v>
      </c>
      <c r="J567" s="1">
        <v>0.17</v>
      </c>
      <c r="K567" s="2">
        <v>4.72</v>
      </c>
      <c r="L567" s="2">
        <v>10.18</v>
      </c>
      <c r="M567" s="1">
        <v>3.92</v>
      </c>
      <c r="N567" s="1">
        <v>0.79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/>
      <c r="W567" s="1"/>
    </row>
    <row r="568" spans="1:23" ht="13.2">
      <c r="A568" s="1">
        <v>567</v>
      </c>
      <c r="B568" s="5" t="s">
        <v>3261</v>
      </c>
      <c r="C568" s="1" t="s">
        <v>2020</v>
      </c>
      <c r="D568" s="1">
        <v>46.51</v>
      </c>
      <c r="E568" s="1">
        <v>0.61</v>
      </c>
      <c r="F568" s="1">
        <v>20.079999999999998</v>
      </c>
      <c r="G568" s="1">
        <v>0</v>
      </c>
      <c r="H568" s="1">
        <v>7.61</v>
      </c>
      <c r="I568" s="2">
        <v>0</v>
      </c>
      <c r="J568" s="1">
        <v>0.09</v>
      </c>
      <c r="K568" s="2">
        <v>2.78</v>
      </c>
      <c r="L568" s="2">
        <v>4.53</v>
      </c>
      <c r="M568" s="1">
        <v>2.0499999999999998</v>
      </c>
      <c r="N568" s="1">
        <v>4.28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/>
      <c r="W568" s="1"/>
    </row>
    <row r="569" spans="1:23" ht="13.2">
      <c r="A569" s="1">
        <v>568</v>
      </c>
      <c r="B569" s="5" t="s">
        <v>3262</v>
      </c>
      <c r="C569" s="1" t="s">
        <v>2020</v>
      </c>
      <c r="D569" s="1">
        <v>43.31</v>
      </c>
      <c r="E569" s="1">
        <v>2.37</v>
      </c>
      <c r="F569" s="1">
        <v>12.66</v>
      </c>
      <c r="G569" s="1">
        <v>0</v>
      </c>
      <c r="H569" s="1">
        <v>11.92</v>
      </c>
      <c r="I569" s="2">
        <v>0</v>
      </c>
      <c r="J569" s="1">
        <v>0.18</v>
      </c>
      <c r="K569" s="2">
        <v>13.48</v>
      </c>
      <c r="L569" s="2">
        <v>10.16</v>
      </c>
      <c r="M569" s="1">
        <v>3.15</v>
      </c>
      <c r="N569" s="1">
        <v>1.4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/>
      <c r="W569" s="1"/>
    </row>
    <row r="570" spans="1:23" ht="13.2">
      <c r="A570" s="1">
        <v>569</v>
      </c>
      <c r="B570" s="5" t="s">
        <v>3263</v>
      </c>
      <c r="C570" s="1" t="s">
        <v>2020</v>
      </c>
      <c r="D570" s="1">
        <v>47.76</v>
      </c>
      <c r="E570" s="1">
        <v>1.54</v>
      </c>
      <c r="F570" s="1">
        <v>18.350000000000001</v>
      </c>
      <c r="G570" s="1">
        <v>0</v>
      </c>
      <c r="H570" s="1">
        <v>11.47</v>
      </c>
      <c r="I570" s="2">
        <v>0</v>
      </c>
      <c r="J570" s="1">
        <v>0.15</v>
      </c>
      <c r="K570" s="2">
        <v>6.35</v>
      </c>
      <c r="L570" s="2">
        <v>9.69</v>
      </c>
      <c r="M570" s="1">
        <v>3.52</v>
      </c>
      <c r="N570" s="1">
        <v>0.65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/>
      <c r="W570" s="1"/>
    </row>
    <row r="571" spans="1:23" ht="13.2">
      <c r="A571" s="1">
        <v>570</v>
      </c>
      <c r="B571" s="1" t="s">
        <v>3264</v>
      </c>
      <c r="C571" s="1" t="s">
        <v>2020</v>
      </c>
      <c r="D571" s="1">
        <v>42.7</v>
      </c>
      <c r="E571" s="1">
        <v>1.89</v>
      </c>
      <c r="F571" s="1">
        <v>10.89</v>
      </c>
      <c r="G571" s="1">
        <v>0</v>
      </c>
      <c r="H571" s="1">
        <v>13.73</v>
      </c>
      <c r="I571" s="2">
        <v>0</v>
      </c>
      <c r="J571" s="1">
        <v>0.41</v>
      </c>
      <c r="K571" s="2">
        <v>16.66</v>
      </c>
      <c r="L571" s="2">
        <v>8.98</v>
      </c>
      <c r="M571" s="1">
        <v>2.5499999999999998</v>
      </c>
      <c r="N571" s="1">
        <v>1.1000000000000001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/>
      <c r="W571" s="1"/>
    </row>
    <row r="572" spans="1:23" ht="13.2">
      <c r="A572" s="1">
        <v>571</v>
      </c>
      <c r="B572" s="1" t="s">
        <v>3265</v>
      </c>
      <c r="C572" s="1" t="s">
        <v>2020</v>
      </c>
      <c r="D572" s="1">
        <v>42.78</v>
      </c>
      <c r="E572" s="1">
        <v>1.99</v>
      </c>
      <c r="F572" s="1">
        <v>10.93</v>
      </c>
      <c r="G572" s="1">
        <v>0</v>
      </c>
      <c r="H572" s="1">
        <v>12.75</v>
      </c>
      <c r="I572" s="2">
        <v>0</v>
      </c>
      <c r="J572" s="1">
        <v>0.3</v>
      </c>
      <c r="K572" s="2">
        <v>17.100000000000001</v>
      </c>
      <c r="L572" s="2">
        <v>8.85</v>
      </c>
      <c r="M572" s="1">
        <v>2.67</v>
      </c>
      <c r="N572" s="1">
        <v>1.18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/>
      <c r="W572" s="1"/>
    </row>
    <row r="573" spans="1:23" ht="13.2">
      <c r="A573" s="1">
        <v>572</v>
      </c>
      <c r="B573" s="5" t="s">
        <v>3266</v>
      </c>
      <c r="C573" s="1" t="s">
        <v>2020</v>
      </c>
      <c r="D573" s="1">
        <v>44.47</v>
      </c>
      <c r="E573" s="1">
        <v>0.56999999999999995</v>
      </c>
      <c r="F573" s="1">
        <v>17.96</v>
      </c>
      <c r="G573" s="1">
        <v>0</v>
      </c>
      <c r="H573" s="1">
        <v>6.62</v>
      </c>
      <c r="I573" s="2">
        <v>0</v>
      </c>
      <c r="J573" s="1">
        <v>0.18</v>
      </c>
      <c r="K573" s="2">
        <v>3.97</v>
      </c>
      <c r="L573" s="2">
        <v>7.38</v>
      </c>
      <c r="M573" s="1">
        <v>2.31</v>
      </c>
      <c r="N573" s="1">
        <v>3.57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/>
      <c r="W573" s="1"/>
    </row>
    <row r="574" spans="1:23" ht="13.2">
      <c r="A574" s="1">
        <v>573</v>
      </c>
      <c r="B574" s="5" t="s">
        <v>3267</v>
      </c>
      <c r="C574" s="1" t="s">
        <v>2020</v>
      </c>
      <c r="D574" s="1">
        <v>45.75</v>
      </c>
      <c r="E574" s="1">
        <v>0.61</v>
      </c>
      <c r="F574" s="1">
        <v>19.52</v>
      </c>
      <c r="G574" s="1">
        <v>0</v>
      </c>
      <c r="H574" s="1">
        <v>7.26</v>
      </c>
      <c r="I574" s="2">
        <v>0</v>
      </c>
      <c r="J574" s="1">
        <v>0.11</v>
      </c>
      <c r="K574" s="2">
        <v>3.16</v>
      </c>
      <c r="L574" s="2">
        <v>5.7</v>
      </c>
      <c r="M574" s="1">
        <v>2.1</v>
      </c>
      <c r="N574" s="1">
        <v>4.1100000000000003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/>
      <c r="W574" s="1"/>
    </row>
    <row r="575" spans="1:23" ht="13.2">
      <c r="A575" s="1">
        <v>574</v>
      </c>
      <c r="B575" s="5" t="s">
        <v>3268</v>
      </c>
      <c r="C575" s="1" t="s">
        <v>2020</v>
      </c>
      <c r="D575" s="1">
        <v>46.56</v>
      </c>
      <c r="E575" s="1">
        <v>0.61</v>
      </c>
      <c r="F575" s="1">
        <v>20.04</v>
      </c>
      <c r="G575" s="1">
        <v>0</v>
      </c>
      <c r="H575" s="1">
        <v>7.53</v>
      </c>
      <c r="I575" s="2">
        <v>0</v>
      </c>
      <c r="J575" s="1">
        <v>0.09</v>
      </c>
      <c r="K575" s="2">
        <v>2.75</v>
      </c>
      <c r="L575" s="2">
        <v>4.17</v>
      </c>
      <c r="M575" s="1">
        <v>2.19</v>
      </c>
      <c r="N575" s="1">
        <v>4.26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/>
      <c r="W575" s="1"/>
    </row>
    <row r="576" spans="1:23" ht="13.2">
      <c r="A576" s="1">
        <v>575</v>
      </c>
      <c r="B576" s="5" t="s">
        <v>3269</v>
      </c>
      <c r="C576" s="1" t="s">
        <v>2020</v>
      </c>
      <c r="D576" s="1">
        <v>48.17</v>
      </c>
      <c r="E576" s="1">
        <v>1.73</v>
      </c>
      <c r="F576" s="1">
        <v>17.71</v>
      </c>
      <c r="G576" s="1">
        <v>0</v>
      </c>
      <c r="H576" s="1">
        <v>11.87</v>
      </c>
      <c r="I576" s="2">
        <v>0</v>
      </c>
      <c r="J576" s="1">
        <v>0.17</v>
      </c>
      <c r="K576" s="2">
        <v>5.52</v>
      </c>
      <c r="L576" s="2">
        <v>9.5399999999999991</v>
      </c>
      <c r="M576" s="1">
        <v>3.83</v>
      </c>
      <c r="N576" s="1">
        <v>0.8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/>
      <c r="W576" s="1"/>
    </row>
    <row r="577" spans="1:23" ht="13.2">
      <c r="A577" s="1">
        <v>576</v>
      </c>
      <c r="B577" s="5" t="s">
        <v>3270</v>
      </c>
      <c r="C577" s="1" t="s">
        <v>2020</v>
      </c>
      <c r="D577" s="1">
        <v>47.81</v>
      </c>
      <c r="E577" s="1">
        <v>1.61</v>
      </c>
      <c r="F577" s="1">
        <v>17.920000000000002</v>
      </c>
      <c r="G577" s="1">
        <v>0</v>
      </c>
      <c r="H577" s="1">
        <v>12.02</v>
      </c>
      <c r="I577" s="2">
        <v>0</v>
      </c>
      <c r="J577" s="1">
        <v>0.17</v>
      </c>
      <c r="K577" s="2">
        <v>6.47</v>
      </c>
      <c r="L577" s="2">
        <v>9.4600000000000009</v>
      </c>
      <c r="M577" s="1">
        <v>3.62</v>
      </c>
      <c r="N577" s="1">
        <v>0.71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/>
      <c r="W577" s="1"/>
    </row>
    <row r="578" spans="1:23" ht="13.2">
      <c r="A578" s="1">
        <v>577</v>
      </c>
      <c r="B578" s="1" t="s">
        <v>3271</v>
      </c>
      <c r="C578" s="1" t="s">
        <v>3272</v>
      </c>
      <c r="D578" s="1">
        <v>53.38</v>
      </c>
      <c r="E578" s="1">
        <v>0.44</v>
      </c>
      <c r="F578" s="1">
        <v>26.26</v>
      </c>
      <c r="G578" s="1">
        <v>0.08</v>
      </c>
      <c r="H578" s="1">
        <v>1.5</v>
      </c>
      <c r="I578" s="2">
        <v>0</v>
      </c>
      <c r="J578" s="1">
        <v>0.03</v>
      </c>
      <c r="K578" s="2">
        <v>0.65</v>
      </c>
      <c r="L578" s="2">
        <v>9.6199999999999992</v>
      </c>
      <c r="M578" s="1">
        <v>4.9400000000000004</v>
      </c>
      <c r="N578" s="1">
        <v>1.2</v>
      </c>
      <c r="O578" s="1">
        <v>0.12</v>
      </c>
      <c r="P578" s="1">
        <v>1.1499999999999999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/>
      <c r="W578" s="1"/>
    </row>
    <row r="579" spans="1:23" ht="13.2">
      <c r="A579" s="1">
        <v>578</v>
      </c>
      <c r="B579" s="1" t="s">
        <v>3273</v>
      </c>
      <c r="C579" s="1" t="s">
        <v>3274</v>
      </c>
      <c r="D579" s="1">
        <v>53.36</v>
      </c>
      <c r="E579" s="1">
        <v>0.03</v>
      </c>
      <c r="F579" s="1">
        <v>0.85</v>
      </c>
      <c r="G579" s="1">
        <v>0.14000000000000001</v>
      </c>
      <c r="H579" s="1">
        <v>5.42</v>
      </c>
      <c r="I579" s="2">
        <v>0</v>
      </c>
      <c r="J579" s="1">
        <v>0.18</v>
      </c>
      <c r="K579" s="2">
        <v>15.81</v>
      </c>
      <c r="L579" s="2">
        <v>22.95</v>
      </c>
      <c r="M579" s="1">
        <v>1.42</v>
      </c>
      <c r="N579" s="1">
        <v>7.0000000000000007E-2</v>
      </c>
      <c r="O579" s="1">
        <v>0</v>
      </c>
      <c r="P579" s="1">
        <v>0.61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/>
      <c r="W579" s="1"/>
    </row>
    <row r="580" spans="1:23" ht="13.2">
      <c r="A580" s="1">
        <v>579</v>
      </c>
      <c r="B580" s="1" t="s">
        <v>3275</v>
      </c>
      <c r="C580" s="1" t="s">
        <v>3276</v>
      </c>
      <c r="D580" s="1">
        <v>38.47</v>
      </c>
      <c r="E580" s="1">
        <v>0.01</v>
      </c>
      <c r="F580" s="1">
        <v>0.09</v>
      </c>
      <c r="G580" s="1">
        <v>0.08</v>
      </c>
      <c r="H580" s="1">
        <v>0</v>
      </c>
      <c r="I580" s="2">
        <v>9.57</v>
      </c>
      <c r="J580" s="1">
        <v>0.13</v>
      </c>
      <c r="K580" s="2">
        <v>48.88</v>
      </c>
      <c r="L580" s="2">
        <v>0.14000000000000001</v>
      </c>
      <c r="M580" s="1">
        <v>0.03</v>
      </c>
      <c r="N580" s="1">
        <v>0.01</v>
      </c>
      <c r="O580" s="1">
        <v>0.01</v>
      </c>
      <c r="P580" s="1">
        <v>0.05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/>
      <c r="W580" s="1"/>
    </row>
    <row r="581" spans="1:23" ht="13.2">
      <c r="A581" s="1">
        <v>580</v>
      </c>
      <c r="B581" s="1" t="s">
        <v>3277</v>
      </c>
      <c r="C581" s="1" t="s">
        <v>3278</v>
      </c>
      <c r="D581" s="1">
        <v>56.37</v>
      </c>
      <c r="E581" s="1">
        <v>0.7</v>
      </c>
      <c r="F581" s="1">
        <v>24.57</v>
      </c>
      <c r="G581" s="1">
        <v>0.13</v>
      </c>
      <c r="H581" s="1">
        <v>0.06</v>
      </c>
      <c r="I581" s="2">
        <v>0</v>
      </c>
      <c r="J581" s="1">
        <v>7.0000000000000007E-2</v>
      </c>
      <c r="K581" s="2">
        <v>2.5099999999999998</v>
      </c>
      <c r="L581" s="2">
        <v>9.3800000000000008</v>
      </c>
      <c r="M581" s="1">
        <v>4.67</v>
      </c>
      <c r="N581" s="1">
        <v>0.76</v>
      </c>
      <c r="O581" s="1">
        <v>0.05</v>
      </c>
      <c r="P581" s="1">
        <v>1.06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/>
      <c r="W581" s="1"/>
    </row>
    <row r="582" spans="1:23" ht="13.2">
      <c r="A582" s="1">
        <v>581</v>
      </c>
      <c r="B582" s="1" t="s">
        <v>3279</v>
      </c>
      <c r="C582" s="1" t="s">
        <v>3280</v>
      </c>
      <c r="D582" s="1">
        <v>63.45</v>
      </c>
      <c r="E582" s="1">
        <v>0.01</v>
      </c>
      <c r="F582" s="1">
        <v>19.12</v>
      </c>
      <c r="G582" s="1">
        <v>0.01</v>
      </c>
      <c r="H582" s="1">
        <v>0</v>
      </c>
      <c r="I582" s="2">
        <v>0.13</v>
      </c>
      <c r="J582" s="1">
        <v>0.01</v>
      </c>
      <c r="K582" s="2">
        <v>0.01</v>
      </c>
      <c r="L582" s="2">
        <v>0.16</v>
      </c>
      <c r="M582" s="1">
        <v>2.77</v>
      </c>
      <c r="N582" s="1">
        <v>12.03</v>
      </c>
      <c r="O582" s="1">
        <v>0.56000000000000005</v>
      </c>
      <c r="P582" s="1">
        <v>0.1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/>
      <c r="W582" s="1"/>
    </row>
    <row r="583" spans="1:23" ht="13.2">
      <c r="A583" s="1">
        <v>582</v>
      </c>
      <c r="B583" s="1" t="s">
        <v>3281</v>
      </c>
      <c r="C583" s="1" t="s">
        <v>3282</v>
      </c>
      <c r="D583" s="1">
        <v>61.98</v>
      </c>
      <c r="E583" s="1">
        <v>0</v>
      </c>
      <c r="F583" s="1">
        <v>23.97</v>
      </c>
      <c r="G583" s="1">
        <v>0</v>
      </c>
      <c r="H583" s="1">
        <v>0</v>
      </c>
      <c r="I583" s="2">
        <v>0.04</v>
      </c>
      <c r="J583" s="1">
        <v>0</v>
      </c>
      <c r="K583" s="2">
        <v>0</v>
      </c>
      <c r="L583" s="2">
        <v>4.74</v>
      </c>
      <c r="M583" s="1">
        <v>9.0299999999999994</v>
      </c>
      <c r="N583" s="1">
        <v>0.5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/>
      <c r="W583" s="1"/>
    </row>
    <row r="584" spans="1:23" ht="13.2">
      <c r="A584" s="1">
        <v>583</v>
      </c>
      <c r="B584" s="1" t="s">
        <v>3283</v>
      </c>
      <c r="C584" s="1" t="s">
        <v>3284</v>
      </c>
      <c r="D584" s="1">
        <v>68.3</v>
      </c>
      <c r="E584" s="1">
        <v>0.03</v>
      </c>
      <c r="F584" s="1">
        <v>19.98</v>
      </c>
      <c r="G584" s="1">
        <v>0.02</v>
      </c>
      <c r="H584" s="1">
        <v>0.33</v>
      </c>
      <c r="I584" s="2">
        <v>0.01</v>
      </c>
      <c r="J584" s="1">
        <v>0.01</v>
      </c>
      <c r="K584" s="2">
        <v>0.04</v>
      </c>
      <c r="L584" s="2">
        <v>0.01</v>
      </c>
      <c r="M584" s="1">
        <v>11.54</v>
      </c>
      <c r="N584" s="1">
        <v>0.02</v>
      </c>
      <c r="O584" s="1">
        <v>0.03</v>
      </c>
      <c r="P584" s="1">
        <v>0.28999999999999998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/>
      <c r="W584" s="1"/>
    </row>
    <row r="585" spans="1:23" ht="13.2">
      <c r="A585" s="1">
        <v>584</v>
      </c>
      <c r="B585" s="1" t="s">
        <v>3285</v>
      </c>
      <c r="C585" s="1" t="s">
        <v>3272</v>
      </c>
      <c r="D585" s="1">
        <v>52.62</v>
      </c>
      <c r="E585" s="1">
        <v>0.11</v>
      </c>
      <c r="F585" s="1">
        <v>27.74</v>
      </c>
      <c r="G585" s="1">
        <v>0</v>
      </c>
      <c r="H585" s="1">
        <v>0</v>
      </c>
      <c r="I585" s="2">
        <v>2.5</v>
      </c>
      <c r="J585" s="1">
        <v>0.02</v>
      </c>
      <c r="K585" s="2">
        <v>0.14000000000000001</v>
      </c>
      <c r="L585" s="2">
        <v>10.9</v>
      </c>
      <c r="M585" s="1">
        <v>5.01</v>
      </c>
      <c r="N585" s="1">
        <v>0.42</v>
      </c>
      <c r="O585" s="1">
        <v>0.04</v>
      </c>
      <c r="P585" s="1">
        <v>0.49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/>
      <c r="W585" s="1"/>
    </row>
    <row r="586" spans="1:23" ht="13.2">
      <c r="A586" s="1">
        <v>585</v>
      </c>
      <c r="B586" s="1" t="s">
        <v>3286</v>
      </c>
      <c r="C586" s="1" t="s">
        <v>3276</v>
      </c>
      <c r="D586" s="1">
        <v>41.95</v>
      </c>
      <c r="E586" s="1">
        <v>0.01</v>
      </c>
      <c r="F586" s="1">
        <v>0.49</v>
      </c>
      <c r="G586" s="1">
        <v>0.56999999999999995</v>
      </c>
      <c r="H586" s="1">
        <v>0</v>
      </c>
      <c r="I586" s="2">
        <v>8.49</v>
      </c>
      <c r="J586" s="1">
        <v>0.13</v>
      </c>
      <c r="K586" s="2">
        <v>49.33</v>
      </c>
      <c r="L586" s="2">
        <v>0.38</v>
      </c>
      <c r="M586" s="1">
        <v>0.02</v>
      </c>
      <c r="N586" s="1">
        <v>0.12</v>
      </c>
      <c r="O586" s="1">
        <v>0.01</v>
      </c>
      <c r="P586" s="1">
        <v>0.05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/>
      <c r="W586" s="1"/>
    </row>
    <row r="587" spans="1:23" ht="26.4">
      <c r="A587" s="1">
        <v>586</v>
      </c>
      <c r="B587" s="1" t="s">
        <v>3287</v>
      </c>
      <c r="C587" s="1" t="s">
        <v>2020</v>
      </c>
      <c r="D587" s="1">
        <v>83</v>
      </c>
      <c r="E587" s="1">
        <v>9.4</v>
      </c>
      <c r="F587" s="1">
        <v>0</v>
      </c>
      <c r="G587" s="1">
        <v>0</v>
      </c>
      <c r="H587" s="1">
        <v>0</v>
      </c>
      <c r="I587" s="2">
        <v>6.5</v>
      </c>
      <c r="J587" s="1">
        <v>0</v>
      </c>
      <c r="K587" s="2">
        <v>0</v>
      </c>
      <c r="L587" s="2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 t="s">
        <v>3288</v>
      </c>
      <c r="W587" s="1" t="s">
        <v>3289</v>
      </c>
    </row>
    <row r="588" spans="1:23" ht="26.4">
      <c r="A588" s="1">
        <v>587</v>
      </c>
      <c r="B588" s="1" t="s">
        <v>3290</v>
      </c>
      <c r="C588" s="1" t="s">
        <v>2020</v>
      </c>
      <c r="D588" s="1">
        <v>93</v>
      </c>
      <c r="E588" s="1">
        <v>0</v>
      </c>
      <c r="F588" s="1">
        <v>0</v>
      </c>
      <c r="G588" s="1">
        <v>0</v>
      </c>
      <c r="H588" s="1">
        <v>0</v>
      </c>
      <c r="I588" s="2">
        <v>6</v>
      </c>
      <c r="J588" s="1">
        <v>0</v>
      </c>
      <c r="K588" s="2">
        <v>0</v>
      </c>
      <c r="L588" s="2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 t="s">
        <v>3288</v>
      </c>
      <c r="W588" s="1" t="s">
        <v>3289</v>
      </c>
    </row>
    <row r="589" spans="1:23" ht="26.4">
      <c r="A589" s="1">
        <v>588</v>
      </c>
      <c r="B589" s="1" t="s">
        <v>3291</v>
      </c>
      <c r="C589" s="1" t="s">
        <v>2020</v>
      </c>
      <c r="D589" s="1">
        <v>86</v>
      </c>
      <c r="E589" s="1">
        <v>0</v>
      </c>
      <c r="F589" s="1">
        <v>0</v>
      </c>
      <c r="G589" s="1">
        <v>0</v>
      </c>
      <c r="H589" s="1">
        <v>0</v>
      </c>
      <c r="I589" s="2">
        <v>10</v>
      </c>
      <c r="J589" s="1">
        <v>0</v>
      </c>
      <c r="K589" s="2">
        <v>0</v>
      </c>
      <c r="L589" s="2">
        <v>4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 t="s">
        <v>3288</v>
      </c>
      <c r="W589" s="1" t="s">
        <v>3289</v>
      </c>
    </row>
    <row r="590" spans="1:23" ht="26.4">
      <c r="A590" s="1">
        <v>589</v>
      </c>
      <c r="B590" s="1" t="s">
        <v>3292</v>
      </c>
      <c r="C590" s="1" t="s">
        <v>2020</v>
      </c>
      <c r="D590" s="1">
        <v>98</v>
      </c>
      <c r="E590" s="1">
        <v>0</v>
      </c>
      <c r="F590" s="1">
        <v>0</v>
      </c>
      <c r="G590" s="1">
        <v>0</v>
      </c>
      <c r="H590" s="1">
        <v>0</v>
      </c>
      <c r="I590" s="2">
        <v>0</v>
      </c>
      <c r="J590" s="1">
        <v>0</v>
      </c>
      <c r="K590" s="2">
        <v>0</v>
      </c>
      <c r="L590" s="2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 t="s">
        <v>3288</v>
      </c>
      <c r="W590" s="1" t="s">
        <v>3293</v>
      </c>
    </row>
    <row r="591" spans="1:23" ht="26.4">
      <c r="A591" s="1">
        <v>590</v>
      </c>
      <c r="B591" s="1" t="s">
        <v>3294</v>
      </c>
      <c r="C591" s="1" t="s">
        <v>2020</v>
      </c>
      <c r="D591" s="1">
        <v>98</v>
      </c>
      <c r="E591" s="1">
        <v>0</v>
      </c>
      <c r="F591" s="1">
        <v>0</v>
      </c>
      <c r="G591" s="1">
        <v>0</v>
      </c>
      <c r="H591" s="1">
        <v>0</v>
      </c>
      <c r="I591" s="2">
        <v>0.5</v>
      </c>
      <c r="J591" s="1">
        <v>0</v>
      </c>
      <c r="K591" s="2">
        <v>0</v>
      </c>
      <c r="L591" s="2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 t="s">
        <v>3288</v>
      </c>
      <c r="W591" s="1" t="s">
        <v>3295</v>
      </c>
    </row>
    <row r="592" spans="1:23" ht="13.2">
      <c r="A592" s="1">
        <v>591</v>
      </c>
      <c r="B592" s="1" t="s">
        <v>3296</v>
      </c>
      <c r="C592" s="1" t="s">
        <v>2020</v>
      </c>
      <c r="D592" s="1">
        <v>50</v>
      </c>
      <c r="E592" s="1">
        <v>1</v>
      </c>
      <c r="F592" s="1">
        <v>9</v>
      </c>
      <c r="G592" s="1">
        <v>0</v>
      </c>
      <c r="H592" s="1">
        <v>0</v>
      </c>
      <c r="I592" s="2">
        <v>20</v>
      </c>
      <c r="J592" s="1">
        <v>0.5</v>
      </c>
      <c r="K592" s="2">
        <v>8</v>
      </c>
      <c r="L592" s="2">
        <v>10</v>
      </c>
      <c r="M592" s="1">
        <v>0.7</v>
      </c>
      <c r="N592" s="1">
        <v>0.3</v>
      </c>
      <c r="O592" s="1">
        <v>0.7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/>
      <c r="W592" s="1" t="s">
        <v>3297</v>
      </c>
    </row>
    <row r="593" spans="1:23" ht="26.4">
      <c r="A593" s="1">
        <v>592</v>
      </c>
      <c r="B593" s="5" t="s">
        <v>3298</v>
      </c>
      <c r="C593" s="1" t="s">
        <v>3246</v>
      </c>
      <c r="D593" s="1">
        <v>44.7</v>
      </c>
      <c r="E593" s="1">
        <v>0.04</v>
      </c>
      <c r="F593" s="1">
        <v>1.71</v>
      </c>
      <c r="G593" s="1">
        <v>0</v>
      </c>
      <c r="H593" s="1">
        <v>9.5299999999999994</v>
      </c>
      <c r="I593" s="2">
        <v>0</v>
      </c>
      <c r="J593" s="1">
        <v>0.13</v>
      </c>
      <c r="K593" s="2">
        <v>41.83</v>
      </c>
      <c r="L593" s="2">
        <v>0.64</v>
      </c>
      <c r="M593" s="1">
        <v>1.41</v>
      </c>
      <c r="N593" s="1">
        <v>0.01</v>
      </c>
      <c r="O593" s="1">
        <v>0</v>
      </c>
      <c r="P593" s="1">
        <v>0</v>
      </c>
      <c r="Q593" s="1">
        <v>13</v>
      </c>
      <c r="R593" s="1">
        <v>1746</v>
      </c>
      <c r="S593" s="1">
        <v>58</v>
      </c>
      <c r="T593" s="1">
        <v>21</v>
      </c>
      <c r="U593" s="1">
        <v>26</v>
      </c>
      <c r="V593" s="1" t="s">
        <v>3299</v>
      </c>
      <c r="W593" s="1" t="s">
        <v>3300</v>
      </c>
    </row>
    <row r="594" spans="1:23" ht="13.2">
      <c r="A594" s="1">
        <v>593</v>
      </c>
      <c r="B594" s="5" t="s">
        <v>3301</v>
      </c>
      <c r="C594" s="1" t="s">
        <v>3246</v>
      </c>
      <c r="D594" s="1">
        <v>43.32</v>
      </c>
      <c r="E594" s="1">
        <v>0.08</v>
      </c>
      <c r="F594" s="1">
        <v>2.54</v>
      </c>
      <c r="G594" s="1">
        <v>0</v>
      </c>
      <c r="H594" s="1">
        <v>10.49</v>
      </c>
      <c r="I594" s="2">
        <v>0</v>
      </c>
      <c r="J594" s="1">
        <v>0.24</v>
      </c>
      <c r="K594" s="2">
        <v>38.99</v>
      </c>
      <c r="L594" s="2">
        <v>3.38</v>
      </c>
      <c r="M594" s="1">
        <v>0.91</v>
      </c>
      <c r="N594" s="1">
        <v>0.06</v>
      </c>
      <c r="O594" s="1">
        <v>0</v>
      </c>
      <c r="P594" s="1">
        <v>0</v>
      </c>
      <c r="Q594" s="1">
        <v>111</v>
      </c>
      <c r="R594" s="1">
        <v>2469</v>
      </c>
      <c r="S594" s="1">
        <v>67</v>
      </c>
      <c r="T594" s="1">
        <v>45</v>
      </c>
      <c r="U594" s="1">
        <v>40</v>
      </c>
      <c r="V594" s="1" t="s">
        <v>3299</v>
      </c>
      <c r="W594" s="1" t="s">
        <v>3302</v>
      </c>
    </row>
    <row r="595" spans="1:23" ht="26.4">
      <c r="A595" s="1">
        <v>594</v>
      </c>
      <c r="B595" s="1" t="s">
        <v>3303</v>
      </c>
      <c r="C595" s="1" t="s">
        <v>3246</v>
      </c>
      <c r="D595" s="1">
        <v>43.49</v>
      </c>
      <c r="E595" s="1">
        <v>0.1</v>
      </c>
      <c r="F595" s="1">
        <v>3.19</v>
      </c>
      <c r="G595" s="1">
        <v>0</v>
      </c>
      <c r="H595" s="1">
        <v>11.57</v>
      </c>
      <c r="I595" s="2">
        <v>0</v>
      </c>
      <c r="J595" s="1">
        <v>0.18</v>
      </c>
      <c r="K595" s="2">
        <v>36.56</v>
      </c>
      <c r="L595" s="2">
        <v>3.85</v>
      </c>
      <c r="M595" s="1">
        <v>0.98</v>
      </c>
      <c r="N595" s="1">
        <v>0.08</v>
      </c>
      <c r="O595" s="1">
        <v>0</v>
      </c>
      <c r="P595" s="1">
        <v>0</v>
      </c>
      <c r="Q595" s="1">
        <v>91</v>
      </c>
      <c r="R595" s="1">
        <v>2279</v>
      </c>
      <c r="S595" s="1">
        <v>70</v>
      </c>
      <c r="T595" s="1">
        <v>37</v>
      </c>
      <c r="U595" s="1">
        <v>50</v>
      </c>
      <c r="V595" s="1" t="s">
        <v>3299</v>
      </c>
      <c r="W595" s="1" t="s">
        <v>3304</v>
      </c>
    </row>
    <row r="596" spans="1:23" ht="13.2">
      <c r="A596" s="1">
        <v>595</v>
      </c>
      <c r="B596" s="1" t="s">
        <v>3305</v>
      </c>
      <c r="C596" s="1" t="s">
        <v>3246</v>
      </c>
      <c r="D596" s="1">
        <v>46.02</v>
      </c>
      <c r="E596" s="1">
        <v>0.06</v>
      </c>
      <c r="F596" s="1">
        <v>2.34</v>
      </c>
      <c r="G596" s="1">
        <v>0</v>
      </c>
      <c r="H596" s="1">
        <v>8.49</v>
      </c>
      <c r="I596" s="2">
        <v>0</v>
      </c>
      <c r="J596" s="1">
        <v>0.14000000000000001</v>
      </c>
      <c r="K596" s="2">
        <v>41.46</v>
      </c>
      <c r="L596" s="2">
        <v>0.28000000000000003</v>
      </c>
      <c r="M596" s="1">
        <v>1.2</v>
      </c>
      <c r="N596" s="1">
        <v>0.01</v>
      </c>
      <c r="O596" s="1">
        <v>0</v>
      </c>
      <c r="P596" s="1">
        <v>0</v>
      </c>
      <c r="Q596" s="1">
        <v>25</v>
      </c>
      <c r="R596" s="1">
        <v>1552</v>
      </c>
      <c r="S596" s="1">
        <v>49</v>
      </c>
      <c r="T596" s="1">
        <v>43</v>
      </c>
      <c r="U596" s="1">
        <v>23</v>
      </c>
      <c r="V596" s="1" t="s">
        <v>3299</v>
      </c>
      <c r="W596" s="1" t="s">
        <v>3306</v>
      </c>
    </row>
    <row r="597" spans="1:23" ht="13.2">
      <c r="A597" s="1">
        <v>596</v>
      </c>
      <c r="B597" s="1" t="s">
        <v>3307</v>
      </c>
      <c r="C597" s="1" t="s">
        <v>3246</v>
      </c>
      <c r="D597" s="1">
        <v>44.74</v>
      </c>
      <c r="E597" s="1">
        <v>0.01</v>
      </c>
      <c r="F597" s="1">
        <v>1.35</v>
      </c>
      <c r="G597" s="1">
        <v>0</v>
      </c>
      <c r="H597" s="1">
        <v>9.34</v>
      </c>
      <c r="I597" s="2">
        <v>0</v>
      </c>
      <c r="J597" s="1">
        <v>0.14000000000000001</v>
      </c>
      <c r="K597" s="2">
        <v>43.02</v>
      </c>
      <c r="L597" s="2">
        <v>0.21</v>
      </c>
      <c r="M597" s="1">
        <v>1.19</v>
      </c>
      <c r="N597" s="1">
        <v>0</v>
      </c>
      <c r="O597" s="1">
        <v>0</v>
      </c>
      <c r="P597" s="1">
        <v>0</v>
      </c>
      <c r="Q597" s="1">
        <v>23</v>
      </c>
      <c r="R597" s="1">
        <v>1840</v>
      </c>
      <c r="S597" s="1">
        <v>55</v>
      </c>
      <c r="T597" s="1">
        <v>26</v>
      </c>
      <c r="U597" s="1">
        <v>17</v>
      </c>
      <c r="V597" s="1" t="s">
        <v>3299</v>
      </c>
      <c r="W597" s="1" t="s">
        <v>3308</v>
      </c>
    </row>
    <row r="598" spans="1:23" ht="26.4">
      <c r="A598" s="1">
        <v>597</v>
      </c>
      <c r="B598" s="1" t="s">
        <v>3309</v>
      </c>
      <c r="C598" s="1" t="s">
        <v>3246</v>
      </c>
      <c r="D598" s="1">
        <v>46.64</v>
      </c>
      <c r="E598" s="1">
        <v>0.01</v>
      </c>
      <c r="F598" s="1">
        <v>1.1299999999999999</v>
      </c>
      <c r="G598" s="1">
        <v>0</v>
      </c>
      <c r="H598" s="1">
        <v>8.52</v>
      </c>
      <c r="I598" s="2">
        <v>0</v>
      </c>
      <c r="J598" s="1">
        <v>0.12</v>
      </c>
      <c r="K598" s="2">
        <v>42.1</v>
      </c>
      <c r="L598" s="2">
        <v>0.45</v>
      </c>
      <c r="M598" s="1">
        <v>1.03</v>
      </c>
      <c r="N598" s="1">
        <v>0</v>
      </c>
      <c r="O598" s="1">
        <v>0</v>
      </c>
      <c r="P598" s="1">
        <v>0</v>
      </c>
      <c r="Q598" s="1">
        <v>53</v>
      </c>
      <c r="R598" s="1">
        <v>1967</v>
      </c>
      <c r="S598" s="1">
        <v>47</v>
      </c>
      <c r="T598" s="1">
        <v>33</v>
      </c>
      <c r="U598" s="1">
        <v>18</v>
      </c>
      <c r="V598" s="1" t="s">
        <v>3299</v>
      </c>
      <c r="W598" s="1" t="s">
        <v>3310</v>
      </c>
    </row>
    <row r="599" spans="1:23" ht="13.2">
      <c r="A599" s="1">
        <v>598</v>
      </c>
      <c r="B599" s="1" t="s">
        <v>3311</v>
      </c>
      <c r="C599" s="1" t="s">
        <v>3246</v>
      </c>
      <c r="D599" s="1">
        <v>47.01</v>
      </c>
      <c r="E599" s="1">
        <v>0</v>
      </c>
      <c r="F599" s="1">
        <v>0.52</v>
      </c>
      <c r="G599" s="1">
        <v>0</v>
      </c>
      <c r="H599" s="1">
        <v>9.23</v>
      </c>
      <c r="I599" s="2">
        <v>0</v>
      </c>
      <c r="J599" s="1">
        <v>0.15</v>
      </c>
      <c r="K599" s="2">
        <v>42.1</v>
      </c>
      <c r="L599" s="2">
        <v>0.01</v>
      </c>
      <c r="M599" s="1">
        <v>0.98</v>
      </c>
      <c r="N599" s="1">
        <v>0</v>
      </c>
      <c r="O599" s="1">
        <v>0</v>
      </c>
      <c r="P599" s="1">
        <v>0</v>
      </c>
      <c r="Q599" s="1">
        <v>34</v>
      </c>
      <c r="R599" s="1">
        <v>2303</v>
      </c>
      <c r="S599" s="1">
        <v>53</v>
      </c>
      <c r="T599" s="1">
        <v>28</v>
      </c>
      <c r="U599" s="1">
        <v>5</v>
      </c>
      <c r="V599" s="1" t="s">
        <v>3299</v>
      </c>
      <c r="W599" s="1" t="s">
        <v>3312</v>
      </c>
    </row>
    <row r="600" spans="1:23" ht="26.4">
      <c r="A600" s="1">
        <v>599</v>
      </c>
      <c r="B600" s="1" t="s">
        <v>3313</v>
      </c>
      <c r="C600" s="1" t="s">
        <v>3246</v>
      </c>
      <c r="D600" s="1">
        <v>46.01</v>
      </c>
      <c r="E600" s="1">
        <v>0</v>
      </c>
      <c r="F600" s="1">
        <v>0.53</v>
      </c>
      <c r="G600" s="1">
        <v>0</v>
      </c>
      <c r="H600" s="1">
        <v>10.44</v>
      </c>
      <c r="I600" s="2">
        <v>0</v>
      </c>
      <c r="J600" s="1">
        <v>0.2</v>
      </c>
      <c r="K600" s="2">
        <v>41.74</v>
      </c>
      <c r="L600" s="2">
        <v>0.01</v>
      </c>
      <c r="M600" s="1">
        <v>1.07</v>
      </c>
      <c r="N600" s="1">
        <v>0</v>
      </c>
      <c r="O600" s="1">
        <v>0</v>
      </c>
      <c r="P600" s="1">
        <v>0</v>
      </c>
      <c r="Q600" s="1">
        <v>23</v>
      </c>
      <c r="R600" s="1">
        <v>2983</v>
      </c>
      <c r="S600" s="1">
        <v>69</v>
      </c>
      <c r="T600" s="1">
        <v>38</v>
      </c>
      <c r="U600" s="1">
        <v>4</v>
      </c>
      <c r="V600" s="1" t="s">
        <v>3299</v>
      </c>
      <c r="W600" s="1" t="s">
        <v>3314</v>
      </c>
    </row>
    <row r="601" spans="1:23" ht="13.2">
      <c r="A601" s="1">
        <v>600</v>
      </c>
      <c r="B601" s="1" t="s">
        <v>3315</v>
      </c>
      <c r="C601" s="1" t="s">
        <v>3246</v>
      </c>
      <c r="D601" s="1">
        <v>46.05</v>
      </c>
      <c r="E601" s="1">
        <v>0</v>
      </c>
      <c r="F601" s="1">
        <v>1.58</v>
      </c>
      <c r="G601" s="1">
        <v>0</v>
      </c>
      <c r="H601" s="1">
        <v>8.5299999999999994</v>
      </c>
      <c r="I601" s="2">
        <v>0</v>
      </c>
      <c r="J601" s="1">
        <v>0.16</v>
      </c>
      <c r="K601" s="2">
        <v>42.4</v>
      </c>
      <c r="L601" s="2">
        <v>0.02</v>
      </c>
      <c r="M601" s="1">
        <v>1.1599999999999999</v>
      </c>
      <c r="N601" s="1">
        <v>0</v>
      </c>
      <c r="O601" s="1">
        <v>0</v>
      </c>
      <c r="P601" s="1">
        <v>0</v>
      </c>
      <c r="Q601" s="1">
        <v>78</v>
      </c>
      <c r="R601" s="1">
        <v>2278</v>
      </c>
      <c r="S601" s="1">
        <v>55</v>
      </c>
      <c r="T601" s="1">
        <v>23</v>
      </c>
      <c r="U601" s="1">
        <v>3</v>
      </c>
      <c r="V601" s="1" t="s">
        <v>3299</v>
      </c>
      <c r="W601" s="1" t="s">
        <v>3316</v>
      </c>
    </row>
    <row r="602" spans="1:23" ht="26.4">
      <c r="A602" s="1">
        <v>601</v>
      </c>
      <c r="B602" s="1" t="s">
        <v>3317</v>
      </c>
      <c r="C602" s="1" t="s">
        <v>3246</v>
      </c>
      <c r="D602" s="1">
        <v>43.08</v>
      </c>
      <c r="E602" s="1">
        <v>0.04</v>
      </c>
      <c r="F602" s="1">
        <v>2.09</v>
      </c>
      <c r="G602" s="1">
        <v>0</v>
      </c>
      <c r="H602" s="1">
        <v>10.56</v>
      </c>
      <c r="I602" s="2">
        <v>0</v>
      </c>
      <c r="J602" s="1">
        <v>0.17</v>
      </c>
      <c r="K602" s="2">
        <v>42.63</v>
      </c>
      <c r="L602" s="2">
        <v>0.09</v>
      </c>
      <c r="M602" s="1">
        <v>1.34</v>
      </c>
      <c r="N602" s="1">
        <v>0</v>
      </c>
      <c r="O602" s="1">
        <v>0</v>
      </c>
      <c r="P602" s="1">
        <v>0</v>
      </c>
      <c r="Q602" s="1">
        <v>11</v>
      </c>
      <c r="R602" s="1">
        <v>2307</v>
      </c>
      <c r="S602" s="1">
        <v>64</v>
      </c>
      <c r="T602" s="1">
        <v>28</v>
      </c>
      <c r="U602" s="1">
        <v>18</v>
      </c>
      <c r="V602" s="1" t="s">
        <v>3299</v>
      </c>
      <c r="W602" s="1" t="s">
        <v>3318</v>
      </c>
    </row>
    <row r="603" spans="1:23" ht="13.2">
      <c r="A603" s="1">
        <v>602</v>
      </c>
      <c r="B603" s="1" t="s">
        <v>3319</v>
      </c>
      <c r="C603" s="1" t="s">
        <v>3246</v>
      </c>
      <c r="D603" s="1">
        <v>43.82</v>
      </c>
      <c r="E603" s="1">
        <v>0.02</v>
      </c>
      <c r="F603" s="1">
        <v>1.9</v>
      </c>
      <c r="G603" s="1">
        <v>0</v>
      </c>
      <c r="H603" s="1">
        <v>10.34</v>
      </c>
      <c r="I603" s="2">
        <v>0</v>
      </c>
      <c r="J603" s="1">
        <v>0.18</v>
      </c>
      <c r="K603" s="2">
        <v>39.75</v>
      </c>
      <c r="L603" s="2">
        <v>3.06</v>
      </c>
      <c r="M603" s="1">
        <v>0.87</v>
      </c>
      <c r="N603" s="1">
        <v>0.06</v>
      </c>
      <c r="O603" s="1">
        <v>0</v>
      </c>
      <c r="P603" s="1">
        <v>0</v>
      </c>
      <c r="Q603" s="1">
        <v>61</v>
      </c>
      <c r="R603" s="1">
        <v>1798</v>
      </c>
      <c r="S603" s="1">
        <v>63</v>
      </c>
      <c r="T603" s="1">
        <v>33</v>
      </c>
      <c r="U603" s="1">
        <v>33</v>
      </c>
      <c r="V603" s="1" t="s">
        <v>3299</v>
      </c>
      <c r="W603" s="1" t="s">
        <v>3320</v>
      </c>
    </row>
    <row r="604" spans="1:23" ht="13.2">
      <c r="A604" s="1">
        <v>603</v>
      </c>
      <c r="B604" s="1" t="s">
        <v>3321</v>
      </c>
      <c r="C604" s="1" t="s">
        <v>3246</v>
      </c>
      <c r="D604" s="1">
        <v>46.67</v>
      </c>
      <c r="E604" s="1">
        <v>0</v>
      </c>
      <c r="F604" s="1">
        <v>0.45</v>
      </c>
      <c r="G604" s="1">
        <v>0</v>
      </c>
      <c r="H604" s="1">
        <v>3.99</v>
      </c>
      <c r="I604" s="2">
        <v>0</v>
      </c>
      <c r="J604" s="1">
        <v>7.0000000000000007E-2</v>
      </c>
      <c r="K604" s="2">
        <v>47.74</v>
      </c>
      <c r="L604" s="2">
        <v>0.01</v>
      </c>
      <c r="M604" s="1">
        <v>1.08</v>
      </c>
      <c r="N604" s="1">
        <v>0</v>
      </c>
      <c r="O604" s="1">
        <v>0</v>
      </c>
      <c r="P604" s="1">
        <v>0</v>
      </c>
      <c r="Q604" s="1">
        <v>14</v>
      </c>
      <c r="R604" s="1">
        <v>806</v>
      </c>
      <c r="S604" s="1">
        <v>24</v>
      </c>
      <c r="T604" s="1">
        <v>27</v>
      </c>
      <c r="U604" s="1">
        <v>0</v>
      </c>
      <c r="V604" s="1" t="s">
        <v>3299</v>
      </c>
      <c r="W604" s="1" t="s">
        <v>3322</v>
      </c>
    </row>
    <row r="605" spans="1:23" ht="26.4">
      <c r="A605" s="1">
        <v>604</v>
      </c>
      <c r="B605" s="1" t="s">
        <v>3323</v>
      </c>
      <c r="C605" s="1" t="s">
        <v>49</v>
      </c>
      <c r="D605" s="1">
        <v>55.4</v>
      </c>
      <c r="E605" s="1">
        <v>0.03</v>
      </c>
      <c r="F605" s="1">
        <v>3.84</v>
      </c>
      <c r="G605" s="1">
        <v>0.63</v>
      </c>
      <c r="H605" s="1">
        <v>0</v>
      </c>
      <c r="I605" s="2">
        <v>5.95</v>
      </c>
      <c r="J605" s="1">
        <v>0.15</v>
      </c>
      <c r="K605" s="2">
        <v>33.56</v>
      </c>
      <c r="L605" s="2">
        <v>0.76</v>
      </c>
      <c r="M605" s="1">
        <v>0.02</v>
      </c>
      <c r="N605" s="1">
        <v>0.01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 t="s">
        <v>3324</v>
      </c>
      <c r="W605" s="1"/>
    </row>
    <row r="606" spans="1:23" ht="26.4">
      <c r="A606" s="1">
        <v>605</v>
      </c>
      <c r="B606" s="1" t="s">
        <v>3325</v>
      </c>
      <c r="C606" s="1" t="s">
        <v>50</v>
      </c>
      <c r="D606" s="1">
        <v>51.95</v>
      </c>
      <c r="E606" s="1">
        <v>0.08</v>
      </c>
      <c r="F606" s="1">
        <v>4.6500000000000004</v>
      </c>
      <c r="G606" s="1">
        <v>1.0900000000000001</v>
      </c>
      <c r="H606" s="1">
        <v>0</v>
      </c>
      <c r="I606" s="2">
        <v>2.39</v>
      </c>
      <c r="J606" s="1">
        <v>0.09</v>
      </c>
      <c r="K606" s="2">
        <v>16.5</v>
      </c>
      <c r="L606" s="2">
        <v>22.95</v>
      </c>
      <c r="M606" s="1">
        <v>0.53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 t="s">
        <v>3324</v>
      </c>
      <c r="W606" s="1"/>
    </row>
    <row r="607" spans="1:23" ht="26.4">
      <c r="A607" s="1">
        <v>606</v>
      </c>
      <c r="B607" s="1" t="s">
        <v>3326</v>
      </c>
      <c r="C607" s="1" t="s">
        <v>2026</v>
      </c>
      <c r="D607" s="1">
        <v>41.03</v>
      </c>
      <c r="E607" s="1">
        <v>0</v>
      </c>
      <c r="F607" s="1">
        <v>0</v>
      </c>
      <c r="G607" s="1">
        <v>0.01</v>
      </c>
      <c r="H607" s="1">
        <v>0</v>
      </c>
      <c r="I607" s="2">
        <v>8.9499999999999993</v>
      </c>
      <c r="J607" s="1">
        <v>0.14000000000000001</v>
      </c>
      <c r="K607" s="2">
        <v>50.04</v>
      </c>
      <c r="L607" s="2">
        <v>0.02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 t="s">
        <v>3324</v>
      </c>
      <c r="W607" s="1"/>
    </row>
    <row r="608" spans="1:23" ht="13.2">
      <c r="A608" s="1">
        <v>607</v>
      </c>
      <c r="B608" s="5" t="s">
        <v>3327</v>
      </c>
      <c r="C608" s="1" t="s">
        <v>3280</v>
      </c>
      <c r="D608" s="1">
        <v>64.22</v>
      </c>
      <c r="E608" s="1">
        <v>0.01</v>
      </c>
      <c r="F608" s="1">
        <v>19.05</v>
      </c>
      <c r="G608" s="1">
        <v>0.01</v>
      </c>
      <c r="H608" s="1">
        <v>0</v>
      </c>
      <c r="I608" s="2">
        <v>0.17</v>
      </c>
      <c r="J608" s="1">
        <v>0.01</v>
      </c>
      <c r="K608" s="2">
        <v>0.01</v>
      </c>
      <c r="L608" s="2">
        <v>0.02</v>
      </c>
      <c r="M608" s="1">
        <v>3.12</v>
      </c>
      <c r="N608" s="1">
        <v>12.97</v>
      </c>
      <c r="O608" s="1">
        <v>0.01</v>
      </c>
      <c r="P608" s="1">
        <v>0.57999999999999996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 t="s">
        <v>3328</v>
      </c>
      <c r="W608" s="1"/>
    </row>
    <row r="609" spans="1:23" ht="13.2">
      <c r="A609" s="1">
        <v>608</v>
      </c>
      <c r="B609" s="5" t="s">
        <v>3329</v>
      </c>
      <c r="C609" s="1" t="s">
        <v>3053</v>
      </c>
      <c r="D609" s="1">
        <v>0.31</v>
      </c>
      <c r="E609" s="1">
        <v>0.08</v>
      </c>
      <c r="F609" s="1">
        <v>0</v>
      </c>
      <c r="G609" s="1">
        <v>0</v>
      </c>
      <c r="H609" s="1">
        <v>0</v>
      </c>
      <c r="I609" s="2">
        <v>92.61</v>
      </c>
      <c r="J609" s="1">
        <v>0.04</v>
      </c>
      <c r="K609" s="2">
        <v>0.13</v>
      </c>
      <c r="L609" s="2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 t="s">
        <v>3328</v>
      </c>
      <c r="W609" s="1"/>
    </row>
    <row r="610" spans="1:23" ht="13.2">
      <c r="A610" s="1">
        <v>609</v>
      </c>
      <c r="B610" s="5" t="s">
        <v>3330</v>
      </c>
      <c r="C610" s="1" t="s">
        <v>3282</v>
      </c>
      <c r="D610" s="1">
        <v>63.49</v>
      </c>
      <c r="E610" s="1">
        <v>0.01</v>
      </c>
      <c r="F610" s="1">
        <v>22.5</v>
      </c>
      <c r="G610" s="1">
        <v>0.01</v>
      </c>
      <c r="H610" s="1">
        <v>0</v>
      </c>
      <c r="I610" s="2">
        <v>0.21</v>
      </c>
      <c r="J610" s="1">
        <v>0.01</v>
      </c>
      <c r="K610" s="2">
        <v>0.01</v>
      </c>
      <c r="L610" s="2">
        <v>3.36</v>
      </c>
      <c r="M610" s="1">
        <v>9.2100000000000009</v>
      </c>
      <c r="N610" s="1">
        <v>0.6</v>
      </c>
      <c r="O610" s="1">
        <v>0.05</v>
      </c>
      <c r="P610" s="1">
        <v>0.24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 t="s">
        <v>3328</v>
      </c>
      <c r="W610" s="1"/>
    </row>
    <row r="611" spans="1:23" ht="13.2">
      <c r="A611" s="1">
        <v>610</v>
      </c>
      <c r="B611" s="5" t="s">
        <v>3331</v>
      </c>
      <c r="C611" s="1" t="s">
        <v>2834</v>
      </c>
      <c r="D611" s="1">
        <v>39.03</v>
      </c>
      <c r="E611" s="1">
        <v>2.17</v>
      </c>
      <c r="F611" s="1">
        <v>11.2</v>
      </c>
      <c r="G611" s="1">
        <v>0.01</v>
      </c>
      <c r="H611" s="1">
        <v>0</v>
      </c>
      <c r="I611" s="2">
        <v>19.670000000000002</v>
      </c>
      <c r="J611" s="1">
        <v>0.8</v>
      </c>
      <c r="K611" s="2">
        <v>13.99</v>
      </c>
      <c r="L611" s="2">
        <v>0.51</v>
      </c>
      <c r="M611" s="1">
        <v>0.53</v>
      </c>
      <c r="N611" s="1">
        <v>8.8000000000000007</v>
      </c>
      <c r="O611" s="1">
        <v>0.01</v>
      </c>
      <c r="P611" s="1">
        <v>0.69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 t="s">
        <v>3328</v>
      </c>
      <c r="W611" s="1"/>
    </row>
    <row r="612" spans="1:23" ht="13.2">
      <c r="A612" s="1">
        <v>611</v>
      </c>
      <c r="B612" s="5" t="s">
        <v>3332</v>
      </c>
      <c r="C612" s="1" t="s">
        <v>3333</v>
      </c>
      <c r="D612" s="1">
        <v>60.08</v>
      </c>
      <c r="E612" s="1">
        <v>0.1</v>
      </c>
      <c r="F612" s="1">
        <v>0.84</v>
      </c>
      <c r="G612" s="1">
        <v>7.0000000000000007E-2</v>
      </c>
      <c r="H612" s="1">
        <v>2.63</v>
      </c>
      <c r="I612" s="2">
        <v>0</v>
      </c>
      <c r="J612" s="1">
        <v>0.43</v>
      </c>
      <c r="K612" s="2">
        <v>27.32</v>
      </c>
      <c r="L612" s="2">
        <v>3.5</v>
      </c>
      <c r="M612" s="1">
        <v>0.9</v>
      </c>
      <c r="N612" s="1">
        <v>0.17</v>
      </c>
      <c r="O612" s="1">
        <v>0</v>
      </c>
      <c r="P612" s="1">
        <v>3.27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 t="s">
        <v>3328</v>
      </c>
      <c r="W612" s="1"/>
    </row>
    <row r="613" spans="1:23" ht="13.2">
      <c r="A613" s="1">
        <v>612</v>
      </c>
      <c r="B613" s="5" t="s">
        <v>3334</v>
      </c>
      <c r="C613" s="1" t="s">
        <v>2074</v>
      </c>
      <c r="D613" s="1">
        <v>0.01</v>
      </c>
      <c r="E613" s="1">
        <v>47.81</v>
      </c>
      <c r="F613" s="1">
        <v>0.01</v>
      </c>
      <c r="G613" s="1">
        <v>0</v>
      </c>
      <c r="H613" s="1">
        <v>0</v>
      </c>
      <c r="I613" s="2">
        <v>48.05</v>
      </c>
      <c r="J613" s="1">
        <v>0.21</v>
      </c>
      <c r="K613" s="2">
        <v>3.13</v>
      </c>
      <c r="L613" s="2">
        <v>0.01</v>
      </c>
      <c r="M613" s="1">
        <v>0</v>
      </c>
      <c r="N613" s="1">
        <v>0.01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 t="s">
        <v>3328</v>
      </c>
      <c r="W613" s="1"/>
    </row>
    <row r="614" spans="1:23" ht="13.2">
      <c r="A614" s="1">
        <v>613</v>
      </c>
      <c r="B614" s="5" t="s">
        <v>3335</v>
      </c>
      <c r="C614" s="1" t="s">
        <v>3336</v>
      </c>
      <c r="D614" s="1">
        <v>28.73</v>
      </c>
      <c r="E614" s="1">
        <v>0.47</v>
      </c>
      <c r="F614" s="1">
        <v>17.48</v>
      </c>
      <c r="G614" s="1">
        <v>0.17</v>
      </c>
      <c r="H614" s="1">
        <v>0</v>
      </c>
      <c r="I614" s="2">
        <v>8.0299999999999994</v>
      </c>
      <c r="J614" s="1">
        <v>0.15</v>
      </c>
      <c r="K614" s="2">
        <v>30.95</v>
      </c>
      <c r="L614" s="2">
        <v>0.01</v>
      </c>
      <c r="M614" s="1">
        <v>0.01</v>
      </c>
      <c r="N614" s="1">
        <v>0.01</v>
      </c>
      <c r="O614" s="1">
        <v>0.03</v>
      </c>
      <c r="P614" s="1">
        <v>11.97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 t="s">
        <v>3328</v>
      </c>
      <c r="W614" s="1"/>
    </row>
    <row r="615" spans="1:23" ht="13.2">
      <c r="A615" s="1">
        <v>614</v>
      </c>
      <c r="B615" s="5" t="s">
        <v>3337</v>
      </c>
      <c r="C615" s="1" t="s">
        <v>3278</v>
      </c>
      <c r="D615" s="1">
        <v>53.85</v>
      </c>
      <c r="E615" s="1">
        <v>0.12</v>
      </c>
      <c r="F615" s="1">
        <v>27.09</v>
      </c>
      <c r="G615" s="1">
        <v>0.02</v>
      </c>
      <c r="H615" s="1">
        <v>0</v>
      </c>
      <c r="I615" s="2">
        <v>0.53</v>
      </c>
      <c r="J615" s="1">
        <v>0.01</v>
      </c>
      <c r="K615" s="2">
        <v>7.0000000000000007E-2</v>
      </c>
      <c r="L615" s="2">
        <v>9.51</v>
      </c>
      <c r="M615" s="1">
        <v>5.55</v>
      </c>
      <c r="N615" s="1">
        <v>0.34</v>
      </c>
      <c r="O615" s="1">
        <v>0.1</v>
      </c>
      <c r="P615" s="1">
        <v>1.22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 t="s">
        <v>3328</v>
      </c>
      <c r="W615" s="1"/>
    </row>
    <row r="616" spans="1:23" ht="13.2">
      <c r="A616" s="1">
        <v>615</v>
      </c>
      <c r="B616" s="5" t="s">
        <v>3338</v>
      </c>
      <c r="C616" s="1" t="s">
        <v>3339</v>
      </c>
      <c r="D616" s="1">
        <v>102.17</v>
      </c>
      <c r="E616" s="1">
        <v>0</v>
      </c>
      <c r="F616" s="1">
        <v>0</v>
      </c>
      <c r="G616" s="1">
        <v>0</v>
      </c>
      <c r="H616" s="1">
        <v>0</v>
      </c>
      <c r="I616" s="2">
        <v>0</v>
      </c>
      <c r="J616" s="1">
        <v>0</v>
      </c>
      <c r="K616" s="2">
        <v>0</v>
      </c>
      <c r="L616" s="2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 t="s">
        <v>3328</v>
      </c>
      <c r="W616" s="1"/>
    </row>
    <row r="617" spans="1:23" ht="13.2">
      <c r="A617" s="1">
        <v>616</v>
      </c>
      <c r="B617" s="5" t="s">
        <v>3340</v>
      </c>
      <c r="C617" s="1" t="s">
        <v>3282</v>
      </c>
      <c r="D617" s="1">
        <v>60.79</v>
      </c>
      <c r="E617" s="1">
        <v>0.02</v>
      </c>
      <c r="F617" s="1">
        <v>22.05</v>
      </c>
      <c r="G617" s="1">
        <v>0.1</v>
      </c>
      <c r="H617" s="1">
        <v>0</v>
      </c>
      <c r="I617" s="2">
        <v>0</v>
      </c>
      <c r="J617" s="1">
        <v>0.02</v>
      </c>
      <c r="K617" s="2">
        <v>0.85</v>
      </c>
      <c r="L617" s="2">
        <v>5.37</v>
      </c>
      <c r="M617" s="1">
        <v>6.71</v>
      </c>
      <c r="N617" s="1">
        <v>0.91</v>
      </c>
      <c r="O617" s="1">
        <v>0.02</v>
      </c>
      <c r="P617" s="1">
        <v>1.06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 t="s">
        <v>3328</v>
      </c>
      <c r="W617" s="1"/>
    </row>
    <row r="618" spans="1:23" ht="13.2">
      <c r="A618" s="1">
        <v>617</v>
      </c>
      <c r="B618" s="5" t="s">
        <v>3341</v>
      </c>
      <c r="C618" s="1" t="s">
        <v>3342</v>
      </c>
      <c r="D618" s="1">
        <v>45.12</v>
      </c>
      <c r="E618" s="1">
        <v>0.24</v>
      </c>
      <c r="F618" s="1">
        <v>9.94</v>
      </c>
      <c r="G618" s="1">
        <v>0.16</v>
      </c>
      <c r="H618" s="1">
        <v>8.31</v>
      </c>
      <c r="I618" s="2">
        <v>0</v>
      </c>
      <c r="J618" s="1">
        <v>0</v>
      </c>
      <c r="K618" s="2">
        <v>18.690000000000001</v>
      </c>
      <c r="L618" s="2">
        <v>11.73</v>
      </c>
      <c r="M618" s="1">
        <v>2.2000000000000002</v>
      </c>
      <c r="N618" s="1">
        <v>0.78</v>
      </c>
      <c r="O618" s="1">
        <v>0</v>
      </c>
      <c r="P618" s="1">
        <v>1.42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 t="s">
        <v>3328</v>
      </c>
      <c r="W618" s="1"/>
    </row>
    <row r="619" spans="1:23" ht="13.2">
      <c r="A619" s="1">
        <v>618</v>
      </c>
      <c r="B619" s="5" t="s">
        <v>3343</v>
      </c>
      <c r="C619" s="1" t="s">
        <v>3246</v>
      </c>
      <c r="D619" s="1">
        <v>42.28</v>
      </c>
      <c r="E619" s="1">
        <v>0.02</v>
      </c>
      <c r="F619" s="1">
        <v>1.21</v>
      </c>
      <c r="G619" s="1">
        <v>0</v>
      </c>
      <c r="H619" s="1">
        <v>0</v>
      </c>
      <c r="I619" s="2">
        <v>3.79</v>
      </c>
      <c r="J619" s="1">
        <v>0.06</v>
      </c>
      <c r="K619" s="2">
        <v>38.5</v>
      </c>
      <c r="L619" s="2">
        <v>0.04</v>
      </c>
      <c r="M619" s="1">
        <v>0.02</v>
      </c>
      <c r="N619" s="1">
        <v>0.02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 t="s">
        <v>3328</v>
      </c>
      <c r="W619" s="1"/>
    </row>
    <row r="620" spans="1:23" ht="13.2">
      <c r="A620" s="1">
        <v>619</v>
      </c>
      <c r="B620" s="5" t="s">
        <v>3344</v>
      </c>
      <c r="C620" s="1" t="s">
        <v>3345</v>
      </c>
      <c r="D620" s="1">
        <v>37.5</v>
      </c>
      <c r="E620" s="1">
        <v>0</v>
      </c>
      <c r="F620" s="1">
        <v>20.73</v>
      </c>
      <c r="G620" s="1">
        <v>0</v>
      </c>
      <c r="H620" s="1">
        <v>0</v>
      </c>
      <c r="I620" s="2">
        <v>38.97</v>
      </c>
      <c r="J620" s="1">
        <v>0.84</v>
      </c>
      <c r="K620" s="2">
        <v>1.67</v>
      </c>
      <c r="L620" s="2">
        <v>1.8</v>
      </c>
      <c r="M620" s="1">
        <v>0.03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 t="s">
        <v>3328</v>
      </c>
      <c r="W620" s="1"/>
    </row>
    <row r="621" spans="1:23" ht="13.2">
      <c r="A621" s="1">
        <v>620</v>
      </c>
      <c r="B621" s="5" t="s">
        <v>3346</v>
      </c>
      <c r="C621" s="1" t="s">
        <v>3347</v>
      </c>
      <c r="D621" s="1">
        <v>62.86</v>
      </c>
      <c r="E621" s="1">
        <v>0.15</v>
      </c>
      <c r="F621" s="1">
        <v>19.899999999999999</v>
      </c>
      <c r="G621" s="1">
        <v>0.2</v>
      </c>
      <c r="H621" s="1">
        <v>0</v>
      </c>
      <c r="I621" s="2">
        <v>0.3</v>
      </c>
      <c r="J621" s="1">
        <v>0.04</v>
      </c>
      <c r="K621" s="2">
        <v>1.01</v>
      </c>
      <c r="L621" s="2">
        <v>2.64</v>
      </c>
      <c r="M621" s="1">
        <v>5.17</v>
      </c>
      <c r="N621" s="1">
        <v>4.32</v>
      </c>
      <c r="O621" s="1">
        <v>0.06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 t="s">
        <v>3328</v>
      </c>
      <c r="W621" s="1"/>
    </row>
    <row r="622" spans="1:23" ht="13.2">
      <c r="A622" s="1">
        <v>621</v>
      </c>
      <c r="B622" s="5" t="s">
        <v>3348</v>
      </c>
      <c r="C622" s="1" t="s">
        <v>3349</v>
      </c>
      <c r="D622" s="1">
        <v>46.18</v>
      </c>
      <c r="E622" s="1">
        <v>0</v>
      </c>
      <c r="F622" s="1">
        <v>0.11</v>
      </c>
      <c r="G622" s="1">
        <v>0</v>
      </c>
      <c r="H622" s="1">
        <v>0</v>
      </c>
      <c r="I622" s="2">
        <v>0.11</v>
      </c>
      <c r="J622" s="1">
        <v>50.59</v>
      </c>
      <c r="K622" s="2">
        <v>0.4</v>
      </c>
      <c r="L622" s="2">
        <v>1.75</v>
      </c>
      <c r="M622" s="1">
        <v>0.01</v>
      </c>
      <c r="N622" s="1">
        <v>0.01</v>
      </c>
      <c r="O622" s="1">
        <v>0.01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 t="s">
        <v>3328</v>
      </c>
      <c r="W622" s="1"/>
    </row>
    <row r="623" spans="1:23" ht="13.2">
      <c r="A623" s="1">
        <v>622</v>
      </c>
      <c r="B623" s="5" t="s">
        <v>3350</v>
      </c>
      <c r="C623" s="1" t="s">
        <v>3351</v>
      </c>
      <c r="D623" s="1">
        <v>28.65</v>
      </c>
      <c r="E623" s="1">
        <v>0.05</v>
      </c>
      <c r="F623" s="1">
        <v>19.309999999999999</v>
      </c>
      <c r="G623" s="1">
        <v>0</v>
      </c>
      <c r="H623" s="1">
        <v>0</v>
      </c>
      <c r="I623" s="2">
        <v>7.2</v>
      </c>
      <c r="J623" s="1">
        <v>0.14000000000000001</v>
      </c>
      <c r="K623" s="2">
        <v>30.48</v>
      </c>
      <c r="L623" s="2">
        <v>0.01</v>
      </c>
      <c r="M623" s="1">
        <v>0.01</v>
      </c>
      <c r="N623" s="1">
        <v>0.01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 t="s">
        <v>3328</v>
      </c>
      <c r="W623" s="1"/>
    </row>
    <row r="624" spans="1:23" ht="13.2">
      <c r="A624" s="1">
        <v>623</v>
      </c>
      <c r="B624" s="5" t="s">
        <v>3352</v>
      </c>
      <c r="C624" s="1" t="s">
        <v>3282</v>
      </c>
      <c r="D624" s="1">
        <v>60.41</v>
      </c>
      <c r="E624" s="1">
        <v>0.01</v>
      </c>
      <c r="F624" s="1">
        <v>21.88</v>
      </c>
      <c r="G624" s="1">
        <v>0</v>
      </c>
      <c r="H624" s="1">
        <v>0</v>
      </c>
      <c r="I624" s="2">
        <v>4.16</v>
      </c>
      <c r="J624" s="1">
        <v>0.08</v>
      </c>
      <c r="K624" s="2">
        <v>0.06</v>
      </c>
      <c r="L624" s="2">
        <v>3.24</v>
      </c>
      <c r="M624" s="1">
        <v>9.3699999999999992</v>
      </c>
      <c r="N624" s="1">
        <v>0.79</v>
      </c>
      <c r="O624" s="1">
        <v>0.01</v>
      </c>
      <c r="P624" s="1">
        <v>0.15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 t="s">
        <v>3328</v>
      </c>
      <c r="W624" s="1"/>
    </row>
    <row r="625" spans="1:23" ht="13.2">
      <c r="A625" s="1">
        <v>624</v>
      </c>
      <c r="B625" s="5" t="s">
        <v>3353</v>
      </c>
      <c r="C625" s="1" t="s">
        <v>3354</v>
      </c>
      <c r="D625" s="1">
        <v>52.14</v>
      </c>
      <c r="E625" s="1">
        <v>0.05</v>
      </c>
      <c r="F625" s="1">
        <v>0.68</v>
      </c>
      <c r="G625" s="1">
        <v>0</v>
      </c>
      <c r="H625" s="1">
        <v>0</v>
      </c>
      <c r="I625" s="2">
        <v>0.45</v>
      </c>
      <c r="J625" s="1">
        <v>0.05</v>
      </c>
      <c r="K625" s="2">
        <v>2.91</v>
      </c>
      <c r="L625" s="2">
        <v>43.48</v>
      </c>
      <c r="M625" s="1">
        <v>0.01</v>
      </c>
      <c r="N625" s="1">
        <v>0.01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 t="s">
        <v>3328</v>
      </c>
      <c r="W625" s="1"/>
    </row>
    <row r="626" spans="1:23" ht="13.2">
      <c r="A626" s="1">
        <v>625</v>
      </c>
      <c r="B626" s="5" t="s">
        <v>3355</v>
      </c>
      <c r="C626" s="1" t="s">
        <v>3356</v>
      </c>
      <c r="D626" s="1">
        <v>43.77</v>
      </c>
      <c r="E626" s="1">
        <v>0.16</v>
      </c>
      <c r="F626" s="1">
        <v>33.409999999999997</v>
      </c>
      <c r="G626" s="1">
        <v>0</v>
      </c>
      <c r="H626" s="1">
        <v>0</v>
      </c>
      <c r="I626" s="2">
        <v>2.36</v>
      </c>
      <c r="J626" s="1">
        <v>0.06</v>
      </c>
      <c r="K626" s="2">
        <v>0.22</v>
      </c>
      <c r="L626" s="2">
        <v>0.01</v>
      </c>
      <c r="M626" s="1">
        <v>0.69</v>
      </c>
      <c r="N626" s="1">
        <v>9.3000000000000007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 t="s">
        <v>3328</v>
      </c>
      <c r="W626" s="1"/>
    </row>
    <row r="627" spans="1:23" ht="13.2">
      <c r="A627" s="1">
        <v>626</v>
      </c>
      <c r="B627" s="5" t="s">
        <v>3357</v>
      </c>
      <c r="C627" s="1" t="s">
        <v>3349</v>
      </c>
      <c r="D627" s="1">
        <v>45.36</v>
      </c>
      <c r="E627" s="1">
        <v>0</v>
      </c>
      <c r="F627" s="1">
        <v>0.19</v>
      </c>
      <c r="G627" s="1">
        <v>0</v>
      </c>
      <c r="H627" s="1">
        <v>0</v>
      </c>
      <c r="I627" s="2">
        <v>0.32</v>
      </c>
      <c r="J627" s="1">
        <v>51.21</v>
      </c>
      <c r="K627" s="2">
        <v>0.38</v>
      </c>
      <c r="L627" s="2">
        <v>0.92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 t="s">
        <v>3328</v>
      </c>
      <c r="W627" s="1"/>
    </row>
    <row r="628" spans="1:23" ht="13.2">
      <c r="A628" s="1">
        <v>627</v>
      </c>
      <c r="B628" s="5" t="s">
        <v>3358</v>
      </c>
      <c r="C628" s="1" t="s">
        <v>3354</v>
      </c>
      <c r="D628" s="1">
        <v>50.78</v>
      </c>
      <c r="E628" s="1">
        <v>0.01</v>
      </c>
      <c r="F628" s="1">
        <v>0.11</v>
      </c>
      <c r="G628" s="1">
        <v>0</v>
      </c>
      <c r="H628" s="1">
        <v>0</v>
      </c>
      <c r="I628" s="2">
        <v>0.16</v>
      </c>
      <c r="J628" s="1">
        <v>0.02</v>
      </c>
      <c r="K628" s="2">
        <v>0.45</v>
      </c>
      <c r="L628" s="2">
        <v>48.93</v>
      </c>
      <c r="M628" s="1">
        <v>0.01</v>
      </c>
      <c r="N628" s="1">
        <v>0.01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 t="s">
        <v>3328</v>
      </c>
      <c r="W628" s="1" t="s">
        <v>3359</v>
      </c>
    </row>
    <row r="629" spans="1:23" ht="26.4">
      <c r="A629" s="1">
        <v>628</v>
      </c>
      <c r="B629" s="1" t="s">
        <v>3360</v>
      </c>
      <c r="C629" s="1" t="s">
        <v>51</v>
      </c>
      <c r="D629" s="1">
        <v>45.69</v>
      </c>
      <c r="E629" s="1">
        <v>0</v>
      </c>
      <c r="F629" s="1">
        <v>32.97</v>
      </c>
      <c r="G629" s="1">
        <v>0</v>
      </c>
      <c r="H629" s="1">
        <v>0</v>
      </c>
      <c r="I629" s="2">
        <v>0.59</v>
      </c>
      <c r="J629" s="1">
        <v>0</v>
      </c>
      <c r="K629" s="2">
        <v>0</v>
      </c>
      <c r="L629" s="2">
        <v>17.850000000000001</v>
      </c>
      <c r="M629" s="1">
        <v>1.19</v>
      </c>
      <c r="N629" s="1">
        <v>7.0000000000000007E-2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 t="s">
        <v>3361</v>
      </c>
      <c r="W629" s="1"/>
    </row>
    <row r="630" spans="1:23" ht="26.4">
      <c r="A630" s="1">
        <v>629</v>
      </c>
      <c r="B630" s="1" t="s">
        <v>3360</v>
      </c>
      <c r="C630" s="1" t="s">
        <v>2034</v>
      </c>
      <c r="D630" s="1">
        <v>48.28</v>
      </c>
      <c r="E630" s="1">
        <v>0.57999999999999996</v>
      </c>
      <c r="F630" s="1">
        <v>0.77</v>
      </c>
      <c r="G630" s="1">
        <v>0.22</v>
      </c>
      <c r="H630" s="1">
        <v>0</v>
      </c>
      <c r="I630" s="2">
        <v>32.049999999999997</v>
      </c>
      <c r="J630" s="1">
        <v>0.99</v>
      </c>
      <c r="K630" s="2">
        <v>9.7799999999999994</v>
      </c>
      <c r="L630" s="2">
        <v>5.83</v>
      </c>
      <c r="M630" s="1">
        <v>0.02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 t="s">
        <v>3361</v>
      </c>
      <c r="W630" s="1"/>
    </row>
    <row r="631" spans="1:23" ht="26.4">
      <c r="A631" s="1">
        <v>630</v>
      </c>
      <c r="B631" s="1" t="s">
        <v>3360</v>
      </c>
      <c r="C631" s="1" t="s">
        <v>3362</v>
      </c>
      <c r="D631" s="1">
        <v>30.32</v>
      </c>
      <c r="E631" s="1">
        <v>0.13</v>
      </c>
      <c r="F631" s="1">
        <v>0.24</v>
      </c>
      <c r="G631" s="1">
        <v>0.05</v>
      </c>
      <c r="H631" s="1">
        <v>0</v>
      </c>
      <c r="I631" s="2">
        <v>61.37</v>
      </c>
      <c r="J631" s="1">
        <v>1.31</v>
      </c>
      <c r="K631" s="2">
        <v>4.33</v>
      </c>
      <c r="L631" s="2">
        <v>0.63</v>
      </c>
      <c r="M631" s="1">
        <v>0.02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 t="s">
        <v>3361</v>
      </c>
      <c r="W631" s="1"/>
    </row>
    <row r="632" spans="1:23" ht="26.4">
      <c r="A632" s="1">
        <v>631</v>
      </c>
      <c r="B632" s="1" t="s">
        <v>3363</v>
      </c>
      <c r="C632" s="1" t="s">
        <v>2020</v>
      </c>
      <c r="D632" s="1">
        <v>50</v>
      </c>
      <c r="E632" s="1">
        <v>0.9</v>
      </c>
      <c r="F632" s="1">
        <v>14</v>
      </c>
      <c r="G632" s="1">
        <v>0.39</v>
      </c>
      <c r="H632" s="1">
        <v>0</v>
      </c>
      <c r="I632" s="2">
        <v>17</v>
      </c>
      <c r="J632" s="1">
        <v>0.57999999999999996</v>
      </c>
      <c r="K632" s="2">
        <v>6.8</v>
      </c>
      <c r="L632" s="2">
        <v>10.6</v>
      </c>
      <c r="M632" s="1">
        <v>0.18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 t="s">
        <v>3361</v>
      </c>
      <c r="W632" s="1"/>
    </row>
    <row r="633" spans="1:23" ht="13.2">
      <c r="A633" s="1">
        <v>632</v>
      </c>
      <c r="B633" s="1" t="s">
        <v>3364</v>
      </c>
      <c r="C633" s="1" t="s">
        <v>2020</v>
      </c>
      <c r="D633" s="1">
        <v>50.55</v>
      </c>
      <c r="E633" s="1">
        <v>1.05</v>
      </c>
      <c r="F633" s="1">
        <v>15.71</v>
      </c>
      <c r="G633" s="1">
        <v>0</v>
      </c>
      <c r="H633" s="1">
        <v>0</v>
      </c>
      <c r="I633" s="2">
        <v>6.1</v>
      </c>
      <c r="J633" s="1">
        <v>0.42</v>
      </c>
      <c r="K633" s="2">
        <v>0.67</v>
      </c>
      <c r="L633" s="2">
        <v>13.44</v>
      </c>
      <c r="M633" s="1">
        <v>0.1</v>
      </c>
      <c r="N633" s="1">
        <v>11.79</v>
      </c>
      <c r="O633" s="1">
        <v>0.17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 t="s">
        <v>3365</v>
      </c>
      <c r="W633" s="1"/>
    </row>
    <row r="634" spans="1:23" ht="13.2">
      <c r="A634" s="1">
        <v>633</v>
      </c>
      <c r="B634" s="1" t="s">
        <v>3366</v>
      </c>
      <c r="C634" s="1" t="s">
        <v>2020</v>
      </c>
      <c r="D634" s="1">
        <v>49.71</v>
      </c>
      <c r="E634" s="1">
        <v>1.04</v>
      </c>
      <c r="F634" s="1">
        <v>15.97</v>
      </c>
      <c r="G634" s="1">
        <v>0</v>
      </c>
      <c r="H634" s="1">
        <v>0</v>
      </c>
      <c r="I634" s="2">
        <v>5.36</v>
      </c>
      <c r="J634" s="1">
        <v>0.33</v>
      </c>
      <c r="K634" s="2">
        <v>0.68</v>
      </c>
      <c r="L634" s="2">
        <v>14.87</v>
      </c>
      <c r="M634" s="1">
        <v>0.08</v>
      </c>
      <c r="N634" s="1">
        <v>11.8</v>
      </c>
      <c r="O634" s="1">
        <v>0.16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 t="s">
        <v>3365</v>
      </c>
      <c r="W634" s="1"/>
    </row>
    <row r="635" spans="1:23" ht="13.2">
      <c r="A635" s="1">
        <v>634</v>
      </c>
      <c r="B635" s="1" t="s">
        <v>1596</v>
      </c>
      <c r="C635" s="1" t="s">
        <v>2026</v>
      </c>
      <c r="D635" s="1">
        <v>40.81</v>
      </c>
      <c r="E635" s="1">
        <v>0</v>
      </c>
      <c r="F635" s="1">
        <v>0</v>
      </c>
      <c r="G635" s="1">
        <v>0</v>
      </c>
      <c r="H635" s="1">
        <v>0</v>
      </c>
      <c r="I635" s="2">
        <v>9.5500000000000007</v>
      </c>
      <c r="J635" s="1">
        <v>0.14000000000000001</v>
      </c>
      <c r="K635" s="2">
        <v>49.42</v>
      </c>
      <c r="L635" s="2">
        <v>0.05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 t="s">
        <v>3367</v>
      </c>
      <c r="W635" s="1" t="s">
        <v>3368</v>
      </c>
    </row>
    <row r="636" spans="1:23" ht="13.2">
      <c r="A636" s="1">
        <v>635</v>
      </c>
      <c r="B636" s="1" t="s">
        <v>1306</v>
      </c>
      <c r="C636" s="1" t="s">
        <v>3369</v>
      </c>
      <c r="D636" s="1">
        <v>54.09</v>
      </c>
      <c r="E636" s="1">
        <v>0.16</v>
      </c>
      <c r="F636" s="1">
        <v>1.23</v>
      </c>
      <c r="G636" s="1">
        <v>0.75</v>
      </c>
      <c r="H636" s="1">
        <v>0</v>
      </c>
      <c r="I636" s="2">
        <v>15.22</v>
      </c>
      <c r="J636" s="1">
        <v>0.49</v>
      </c>
      <c r="K636" s="2">
        <v>26.79</v>
      </c>
      <c r="L636" s="2">
        <v>1.52</v>
      </c>
      <c r="M636" s="1">
        <v>0.05</v>
      </c>
      <c r="N636" s="1">
        <v>0.05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 t="s">
        <v>3367</v>
      </c>
      <c r="W636" s="1" t="s">
        <v>3370</v>
      </c>
    </row>
    <row r="637" spans="1:23" ht="13.2">
      <c r="A637" s="1">
        <v>636</v>
      </c>
      <c r="B637" s="1" t="s">
        <v>968</v>
      </c>
      <c r="C637" s="1" t="s">
        <v>2677</v>
      </c>
      <c r="D637" s="1">
        <v>50.73</v>
      </c>
      <c r="E637" s="1">
        <v>0.74</v>
      </c>
      <c r="F637" s="1">
        <v>8.73</v>
      </c>
      <c r="G637" s="1">
        <v>0</v>
      </c>
      <c r="H637" s="1">
        <v>1.08</v>
      </c>
      <c r="I637" s="2">
        <v>5.37</v>
      </c>
      <c r="J637" s="1">
        <v>0.13</v>
      </c>
      <c r="K637" s="2">
        <v>16.649999999999999</v>
      </c>
      <c r="L637" s="2">
        <v>15.82</v>
      </c>
      <c r="M637" s="1">
        <v>1.27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 t="s">
        <v>3367</v>
      </c>
      <c r="W637" s="1" t="s">
        <v>3371</v>
      </c>
    </row>
    <row r="638" spans="1:23" ht="13.2">
      <c r="A638" s="1">
        <v>637</v>
      </c>
      <c r="B638" s="1" t="s">
        <v>819</v>
      </c>
      <c r="C638" s="1" t="s">
        <v>3272</v>
      </c>
      <c r="D638" s="1">
        <v>51.25</v>
      </c>
      <c r="E638" s="1">
        <v>0.05</v>
      </c>
      <c r="F638" s="1">
        <v>30.91</v>
      </c>
      <c r="G638" s="1">
        <v>0</v>
      </c>
      <c r="H638" s="1">
        <v>0.34</v>
      </c>
      <c r="I638" s="2">
        <v>0.15</v>
      </c>
      <c r="J638" s="1">
        <v>0.01</v>
      </c>
      <c r="K638" s="2">
        <v>0.14000000000000001</v>
      </c>
      <c r="L638" s="2">
        <v>13.64</v>
      </c>
      <c r="M638" s="1">
        <v>3.45</v>
      </c>
      <c r="N638" s="1">
        <v>0.18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 t="s">
        <v>3367</v>
      </c>
      <c r="W638" s="1" t="s">
        <v>3372</v>
      </c>
    </row>
    <row r="639" spans="1:23" ht="13.2">
      <c r="A639" s="1">
        <v>638</v>
      </c>
      <c r="B639" s="1" t="s">
        <v>3373</v>
      </c>
      <c r="C639" s="1" t="s">
        <v>2026</v>
      </c>
      <c r="D639" s="1">
        <v>31</v>
      </c>
      <c r="E639" s="1">
        <v>0</v>
      </c>
      <c r="F639" s="1">
        <v>0</v>
      </c>
      <c r="G639" s="1">
        <v>0</v>
      </c>
      <c r="H639" s="1">
        <v>44.24</v>
      </c>
      <c r="I639" s="2">
        <v>23.64</v>
      </c>
      <c r="J639" s="1">
        <v>0</v>
      </c>
      <c r="K639" s="2">
        <v>0.87</v>
      </c>
      <c r="L639" s="2">
        <v>0.21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 t="s">
        <v>3374</v>
      </c>
      <c r="W639" s="1"/>
    </row>
    <row r="640" spans="1:23" ht="13.2">
      <c r="A640" s="1">
        <v>639</v>
      </c>
      <c r="B640" s="1" t="s">
        <v>3375</v>
      </c>
      <c r="C640" s="1" t="s">
        <v>2026</v>
      </c>
      <c r="D640" s="1">
        <v>30.43</v>
      </c>
      <c r="E640" s="1">
        <v>0.01</v>
      </c>
      <c r="F640" s="1">
        <v>0.01</v>
      </c>
      <c r="G640" s="1">
        <v>0</v>
      </c>
      <c r="H640" s="1">
        <v>22.36</v>
      </c>
      <c r="I640" s="2">
        <v>41.67</v>
      </c>
      <c r="J640" s="1">
        <v>3.14</v>
      </c>
      <c r="K640" s="2">
        <v>0.38</v>
      </c>
      <c r="L640" s="2">
        <v>0.06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 t="s">
        <v>3374</v>
      </c>
      <c r="W640" s="1"/>
    </row>
    <row r="641" spans="1:23" ht="13.2">
      <c r="A641" s="1">
        <v>640</v>
      </c>
      <c r="B641" s="1" t="s">
        <v>3376</v>
      </c>
      <c r="C641" s="1" t="s">
        <v>2026</v>
      </c>
      <c r="D641" s="1">
        <v>29</v>
      </c>
      <c r="E641" s="1">
        <v>0</v>
      </c>
      <c r="F641" s="1">
        <v>0</v>
      </c>
      <c r="G641" s="1">
        <v>0</v>
      </c>
      <c r="H641" s="1">
        <v>33.53</v>
      </c>
      <c r="I641" s="2">
        <v>35.92</v>
      </c>
      <c r="J641" s="1">
        <v>4.09</v>
      </c>
      <c r="K641" s="2">
        <v>0</v>
      </c>
      <c r="L641" s="2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 t="s">
        <v>3374</v>
      </c>
      <c r="W641" s="1"/>
    </row>
    <row r="642" spans="1:23" ht="13.2">
      <c r="A642" s="1">
        <v>641</v>
      </c>
      <c r="B642" s="1" t="s">
        <v>3377</v>
      </c>
      <c r="C642" s="1" t="s">
        <v>3378</v>
      </c>
      <c r="D642" s="1">
        <v>47.85</v>
      </c>
      <c r="E642" s="1">
        <v>0</v>
      </c>
      <c r="F642" s="1">
        <v>4.79</v>
      </c>
      <c r="G642" s="1">
        <v>0</v>
      </c>
      <c r="H642" s="1">
        <v>0.15</v>
      </c>
      <c r="I642" s="2">
        <v>0</v>
      </c>
      <c r="J642" s="1">
        <v>0</v>
      </c>
      <c r="K642" s="2">
        <v>0.4</v>
      </c>
      <c r="L642" s="2">
        <v>0.63</v>
      </c>
      <c r="M642" s="1">
        <v>0</v>
      </c>
      <c r="N642" s="1">
        <v>0.09</v>
      </c>
      <c r="O642" s="1">
        <v>0.05</v>
      </c>
      <c r="P642" s="1">
        <v>12.56</v>
      </c>
      <c r="Q642" s="1">
        <v>398000</v>
      </c>
      <c r="R642" s="1">
        <v>125</v>
      </c>
      <c r="S642" s="1">
        <v>0</v>
      </c>
      <c r="T642" s="1">
        <v>0</v>
      </c>
      <c r="U642" s="1">
        <v>10</v>
      </c>
      <c r="V642" s="1" t="s">
        <v>3379</v>
      </c>
      <c r="W642" s="1" t="s">
        <v>3380</v>
      </c>
    </row>
    <row r="643" spans="1:23" ht="13.2">
      <c r="A643" s="1">
        <v>642</v>
      </c>
      <c r="B643" s="5" t="s">
        <v>3381</v>
      </c>
      <c r="C643" s="1" t="s">
        <v>3382</v>
      </c>
      <c r="D643" s="1">
        <v>57.51</v>
      </c>
      <c r="E643" s="1">
        <v>0</v>
      </c>
      <c r="F643" s="1">
        <v>2.5299999999999998</v>
      </c>
      <c r="G643" s="1">
        <v>0</v>
      </c>
      <c r="H643" s="1">
        <v>18.190000000000001</v>
      </c>
      <c r="I643" s="2">
        <v>3.57</v>
      </c>
      <c r="J643" s="1">
        <v>0.02</v>
      </c>
      <c r="K643" s="2">
        <v>3.91</v>
      </c>
      <c r="L643" s="2">
        <v>0.2</v>
      </c>
      <c r="M643" s="1">
        <v>0.22</v>
      </c>
      <c r="N643" s="1">
        <v>10.28</v>
      </c>
      <c r="O643" s="1">
        <v>0.01</v>
      </c>
      <c r="P643" s="1">
        <v>5.37</v>
      </c>
      <c r="Q643" s="1">
        <v>0</v>
      </c>
      <c r="R643" s="1">
        <v>0</v>
      </c>
      <c r="S643" s="1">
        <v>0</v>
      </c>
      <c r="T643" s="1">
        <v>0</v>
      </c>
      <c r="U643" s="1">
        <v>315</v>
      </c>
      <c r="V643" s="1" t="s">
        <v>3379</v>
      </c>
      <c r="W643" s="1" t="s">
        <v>3383</v>
      </c>
    </row>
    <row r="644" spans="1:23" ht="13.2">
      <c r="A644" s="1">
        <v>643</v>
      </c>
      <c r="B644" s="1" t="s">
        <v>3384</v>
      </c>
      <c r="C644" s="1" t="s">
        <v>3385</v>
      </c>
      <c r="D644" s="1">
        <v>27.38</v>
      </c>
      <c r="E644" s="1">
        <v>0.42</v>
      </c>
      <c r="F644" s="1">
        <v>6.97</v>
      </c>
      <c r="G644" s="1">
        <v>0</v>
      </c>
      <c r="H644" s="1">
        <v>57.05</v>
      </c>
      <c r="I644" s="2">
        <v>0</v>
      </c>
      <c r="J644" s="1">
        <v>0.15</v>
      </c>
      <c r="K644" s="2">
        <v>3.59</v>
      </c>
      <c r="L644" s="2">
        <v>3.36</v>
      </c>
      <c r="M644" s="1">
        <v>0.27</v>
      </c>
      <c r="N644" s="1">
        <v>0.05</v>
      </c>
      <c r="O644" s="1">
        <v>0</v>
      </c>
      <c r="P644" s="1">
        <v>12.58</v>
      </c>
      <c r="Q644" s="1">
        <v>0</v>
      </c>
      <c r="R644" s="1">
        <v>0</v>
      </c>
      <c r="S644" s="1">
        <v>0</v>
      </c>
      <c r="T644" s="1">
        <v>0</v>
      </c>
      <c r="U644" s="1">
        <v>920</v>
      </c>
      <c r="V644" s="1" t="s">
        <v>3379</v>
      </c>
      <c r="W644" s="1" t="s">
        <v>3386</v>
      </c>
    </row>
    <row r="645" spans="1:23" ht="13.2">
      <c r="A645" s="1">
        <v>644</v>
      </c>
      <c r="B645" s="5" t="s">
        <v>3387</v>
      </c>
      <c r="C645" s="1" t="s">
        <v>3388</v>
      </c>
      <c r="D645" s="1">
        <v>21.15</v>
      </c>
      <c r="E645" s="1">
        <v>0</v>
      </c>
      <c r="F645" s="1">
        <v>44.7</v>
      </c>
      <c r="G645" s="1">
        <v>0</v>
      </c>
      <c r="H645" s="1">
        <v>0.16</v>
      </c>
      <c r="I645" s="2">
        <v>0</v>
      </c>
      <c r="J645" s="1">
        <v>0.06</v>
      </c>
      <c r="K645" s="2">
        <v>0.2</v>
      </c>
      <c r="L645" s="2">
        <v>0.92</v>
      </c>
      <c r="M645" s="1">
        <v>0.37</v>
      </c>
      <c r="N645" s="1">
        <v>0.03</v>
      </c>
      <c r="O645" s="1">
        <v>0.06</v>
      </c>
      <c r="P645" s="1">
        <v>26.58</v>
      </c>
      <c r="Q645" s="1">
        <v>0</v>
      </c>
      <c r="R645" s="1">
        <v>0</v>
      </c>
      <c r="S645" s="1">
        <v>0</v>
      </c>
      <c r="T645" s="1">
        <v>0</v>
      </c>
      <c r="U645" s="1">
        <v>45</v>
      </c>
      <c r="V645" s="1" t="s">
        <v>3379</v>
      </c>
      <c r="W645" s="1" t="s">
        <v>3389</v>
      </c>
    </row>
    <row r="646" spans="1:23" ht="13.2">
      <c r="A646" s="1">
        <v>645</v>
      </c>
      <c r="B646" s="5" t="s">
        <v>3390</v>
      </c>
      <c r="C646" s="1" t="s">
        <v>3336</v>
      </c>
      <c r="D646" s="1">
        <v>33.78</v>
      </c>
      <c r="E646" s="1">
        <v>0.22</v>
      </c>
      <c r="F646" s="1">
        <v>21.63</v>
      </c>
      <c r="G646" s="1">
        <v>0</v>
      </c>
      <c r="H646" s="1">
        <v>4.2300000000000004</v>
      </c>
      <c r="I646" s="2">
        <v>5.96</v>
      </c>
      <c r="J646" s="1">
        <v>0.2</v>
      </c>
      <c r="K646" s="2">
        <v>32.18</v>
      </c>
      <c r="L646" s="2">
        <v>7.0000000000000007E-2</v>
      </c>
      <c r="M646" s="1">
        <v>0.11</v>
      </c>
      <c r="N646" s="1">
        <v>0</v>
      </c>
      <c r="O646" s="1">
        <v>0.02</v>
      </c>
      <c r="P646" s="1">
        <v>11.89</v>
      </c>
      <c r="Q646" s="1">
        <v>260</v>
      </c>
      <c r="R646" s="1">
        <v>1120</v>
      </c>
      <c r="S646" s="1">
        <v>80</v>
      </c>
      <c r="T646" s="1">
        <v>0</v>
      </c>
      <c r="U646" s="1">
        <v>140</v>
      </c>
      <c r="V646" s="1" t="s">
        <v>3379</v>
      </c>
      <c r="W646" s="1" t="s">
        <v>3391</v>
      </c>
    </row>
    <row r="647" spans="1:23" ht="13.2">
      <c r="A647" s="1">
        <v>646</v>
      </c>
      <c r="B647" s="1" t="s">
        <v>3392</v>
      </c>
      <c r="C647" s="1" t="s">
        <v>3393</v>
      </c>
      <c r="D647" s="1">
        <v>53.18</v>
      </c>
      <c r="E647" s="1">
        <v>0</v>
      </c>
      <c r="F647" s="1">
        <v>45.46</v>
      </c>
      <c r="G647" s="1">
        <v>0</v>
      </c>
      <c r="H647" s="1">
        <v>0.44</v>
      </c>
      <c r="I647" s="2">
        <v>0</v>
      </c>
      <c r="J647" s="1">
        <v>0.01</v>
      </c>
      <c r="K647" s="2">
        <v>0.11</v>
      </c>
      <c r="L647" s="2">
        <v>0.15</v>
      </c>
      <c r="M647" s="1">
        <v>7.0000000000000007E-2</v>
      </c>
      <c r="N647" s="1">
        <v>0.05</v>
      </c>
      <c r="O647" s="1">
        <v>0.14000000000000001</v>
      </c>
      <c r="P647" s="1">
        <v>16.29</v>
      </c>
      <c r="Q647" s="1">
        <v>50</v>
      </c>
      <c r="R647" s="1">
        <v>125</v>
      </c>
      <c r="S647" s="1">
        <v>2</v>
      </c>
      <c r="T647" s="1">
        <v>0</v>
      </c>
      <c r="U647" s="1">
        <v>10</v>
      </c>
      <c r="V647" s="1" t="s">
        <v>3379</v>
      </c>
      <c r="W647" s="1" t="s">
        <v>3394</v>
      </c>
    </row>
    <row r="648" spans="1:23" ht="13.2">
      <c r="A648" s="1">
        <v>647</v>
      </c>
      <c r="B648" s="1" t="s">
        <v>3395</v>
      </c>
      <c r="C648" s="1" t="s">
        <v>3396</v>
      </c>
      <c r="D648" s="1">
        <v>44.53</v>
      </c>
      <c r="E648" s="1">
        <v>0.34</v>
      </c>
      <c r="F648" s="1">
        <v>13.23</v>
      </c>
      <c r="G648" s="1">
        <v>0</v>
      </c>
      <c r="H648" s="1">
        <v>1.1499999999999999</v>
      </c>
      <c r="I648" s="2">
        <v>2.65</v>
      </c>
      <c r="J648" s="1">
        <v>0.08</v>
      </c>
      <c r="K648" s="2">
        <v>25.78</v>
      </c>
      <c r="L648" s="2">
        <v>0.11</v>
      </c>
      <c r="M648" s="1">
        <v>0.26</v>
      </c>
      <c r="N648" s="1">
        <v>10.87</v>
      </c>
      <c r="O648" s="1">
        <v>0.02</v>
      </c>
      <c r="P648" s="1">
        <v>0.43</v>
      </c>
      <c r="Q648" s="1">
        <v>0</v>
      </c>
      <c r="R648" s="1">
        <v>0</v>
      </c>
      <c r="S648" s="1">
        <v>0</v>
      </c>
      <c r="T648" s="1">
        <v>0</v>
      </c>
      <c r="U648" s="1">
        <v>45</v>
      </c>
      <c r="V648" s="1" t="s">
        <v>3379</v>
      </c>
      <c r="W648" s="1" t="s">
        <v>3397</v>
      </c>
    </row>
    <row r="649" spans="1:23" ht="13.2">
      <c r="A649" s="1">
        <v>648</v>
      </c>
      <c r="B649" s="1" t="s">
        <v>3398</v>
      </c>
      <c r="C649" s="1" t="s">
        <v>3399</v>
      </c>
      <c r="D649" s="1">
        <v>46.92</v>
      </c>
      <c r="E649" s="1">
        <v>0.3</v>
      </c>
      <c r="F649" s="1">
        <v>9.86</v>
      </c>
      <c r="G649" s="1">
        <v>0</v>
      </c>
      <c r="H649" s="1">
        <v>14.25</v>
      </c>
      <c r="I649" s="2">
        <v>3.94</v>
      </c>
      <c r="J649" s="1">
        <v>0.39</v>
      </c>
      <c r="K649" s="2">
        <v>17.52</v>
      </c>
      <c r="L649" s="2">
        <v>4.29</v>
      </c>
      <c r="M649" s="1">
        <v>0.73</v>
      </c>
      <c r="N649" s="1">
        <v>7.0000000000000007E-2</v>
      </c>
      <c r="O649" s="1">
        <v>0.04</v>
      </c>
      <c r="P649" s="1">
        <v>17.25</v>
      </c>
      <c r="Q649" s="1">
        <v>0</v>
      </c>
      <c r="R649" s="1">
        <v>0</v>
      </c>
      <c r="S649" s="1">
        <v>0</v>
      </c>
      <c r="T649" s="1">
        <v>0</v>
      </c>
      <c r="U649" s="1">
        <v>80</v>
      </c>
      <c r="V649" s="1" t="s">
        <v>3379</v>
      </c>
      <c r="W649" s="1" t="s">
        <v>3400</v>
      </c>
    </row>
    <row r="650" spans="1:23" ht="13.2">
      <c r="A650" s="1">
        <v>649</v>
      </c>
      <c r="B650" s="1" t="s">
        <v>3401</v>
      </c>
      <c r="C650" s="1" t="s">
        <v>3402</v>
      </c>
      <c r="D650" s="1">
        <v>63.23</v>
      </c>
      <c r="E650" s="1">
        <v>0.03</v>
      </c>
      <c r="F650" s="1">
        <v>1.46</v>
      </c>
      <c r="G650" s="1">
        <v>0</v>
      </c>
      <c r="H650" s="1">
        <v>0.55000000000000004</v>
      </c>
      <c r="I650" s="2">
        <v>0.43</v>
      </c>
      <c r="J650" s="1">
        <v>0.01</v>
      </c>
      <c r="K650" s="2">
        <v>32.46</v>
      </c>
      <c r="L650" s="2">
        <v>0.28999999999999998</v>
      </c>
      <c r="M650" s="1">
        <v>0.12</v>
      </c>
      <c r="N650" s="1">
        <v>0</v>
      </c>
      <c r="O650" s="1">
        <v>0.11</v>
      </c>
      <c r="P650" s="1">
        <v>3.72</v>
      </c>
      <c r="Q650" s="1">
        <v>25</v>
      </c>
      <c r="R650" s="1">
        <v>20</v>
      </c>
      <c r="S650" s="1">
        <v>3</v>
      </c>
      <c r="T650" s="1">
        <v>0</v>
      </c>
      <c r="U650" s="1">
        <v>41</v>
      </c>
      <c r="V650" s="1" t="s">
        <v>3379</v>
      </c>
      <c r="W650" s="1" t="s">
        <v>3403</v>
      </c>
    </row>
    <row r="651" spans="1:23" ht="26.4">
      <c r="A651" s="1">
        <v>650</v>
      </c>
      <c r="B651" s="1" t="s">
        <v>3404</v>
      </c>
      <c r="C651" s="1" t="s">
        <v>3405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2">
        <v>0</v>
      </c>
      <c r="J651" s="1">
        <v>0</v>
      </c>
      <c r="K651" s="2">
        <v>0</v>
      </c>
      <c r="L651" s="2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/>
      <c r="W651" s="1" t="s">
        <v>3406</v>
      </c>
    </row>
    <row r="652" spans="1:23" ht="13.2">
      <c r="A652" s="1">
        <v>651</v>
      </c>
      <c r="B652" s="1" t="s">
        <v>3407</v>
      </c>
      <c r="C652" s="1" t="s">
        <v>2034</v>
      </c>
      <c r="D652" s="1">
        <v>47.55</v>
      </c>
      <c r="E652" s="1">
        <v>1.27</v>
      </c>
      <c r="F652" s="1">
        <v>9.1</v>
      </c>
      <c r="G652" s="1">
        <v>0.01</v>
      </c>
      <c r="H652" s="1">
        <v>1.22</v>
      </c>
      <c r="I652" s="2">
        <v>2.2599999999999998</v>
      </c>
      <c r="J652" s="1">
        <v>0.04</v>
      </c>
      <c r="K652" s="2">
        <v>12.21</v>
      </c>
      <c r="L652" s="2">
        <v>24.72</v>
      </c>
      <c r="M652" s="1">
        <v>0.46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 t="s">
        <v>3408</v>
      </c>
      <c r="W652" s="1"/>
    </row>
    <row r="653" spans="1:23" ht="13.2">
      <c r="A653" s="1">
        <v>652</v>
      </c>
      <c r="B653" s="1" t="s">
        <v>3409</v>
      </c>
      <c r="C653" s="1" t="s">
        <v>2677</v>
      </c>
      <c r="D653" s="1">
        <v>48.94</v>
      </c>
      <c r="E653" s="1">
        <v>0.22</v>
      </c>
      <c r="F653" s="1">
        <v>3.23</v>
      </c>
      <c r="G653" s="1">
        <v>0.08</v>
      </c>
      <c r="H653" s="1">
        <v>13.43</v>
      </c>
      <c r="I653" s="2">
        <v>0</v>
      </c>
      <c r="J653" s="1">
        <v>0.3</v>
      </c>
      <c r="K653" s="2">
        <v>9.82</v>
      </c>
      <c r="L653" s="2">
        <v>18.59</v>
      </c>
      <c r="M653" s="1">
        <v>2.46</v>
      </c>
      <c r="N653" s="1">
        <v>0.36</v>
      </c>
      <c r="O653" s="1">
        <v>0</v>
      </c>
      <c r="P653" s="1">
        <v>0.64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/>
      <c r="W653" s="1"/>
    </row>
    <row r="654" spans="1:23" ht="13.2">
      <c r="A654" s="1">
        <v>653</v>
      </c>
      <c r="B654" s="1" t="s">
        <v>3409</v>
      </c>
      <c r="C654" s="1" t="s">
        <v>3410</v>
      </c>
      <c r="D654" s="1">
        <v>100</v>
      </c>
      <c r="E654" s="1">
        <v>0</v>
      </c>
      <c r="F654" s="1">
        <v>0</v>
      </c>
      <c r="G654" s="1">
        <v>0</v>
      </c>
      <c r="H654" s="1">
        <v>0</v>
      </c>
      <c r="I654" s="2">
        <v>0</v>
      </c>
      <c r="J654" s="1">
        <v>0</v>
      </c>
      <c r="K654" s="2">
        <v>0</v>
      </c>
      <c r="L654" s="2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/>
      <c r="W654" s="1"/>
    </row>
    <row r="655" spans="1:23" ht="13.2">
      <c r="A655" s="1">
        <v>654</v>
      </c>
      <c r="B655" s="1" t="s">
        <v>3411</v>
      </c>
      <c r="C655" s="1" t="s">
        <v>3000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2">
        <v>0</v>
      </c>
      <c r="J655" s="1">
        <v>0</v>
      </c>
      <c r="K655" s="2">
        <v>0</v>
      </c>
      <c r="L655" s="2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/>
      <c r="W655" s="1" t="s">
        <v>3412</v>
      </c>
    </row>
    <row r="656" spans="1:23" ht="13.2">
      <c r="A656" s="1">
        <v>655</v>
      </c>
      <c r="B656" s="1" t="s">
        <v>3413</v>
      </c>
      <c r="C656" s="1" t="s">
        <v>2578</v>
      </c>
      <c r="D656" s="1">
        <v>33.32</v>
      </c>
      <c r="E656" s="1">
        <v>17.14</v>
      </c>
      <c r="F656" s="1">
        <v>7.78</v>
      </c>
      <c r="G656" s="1">
        <v>0.38</v>
      </c>
      <c r="H656" s="1">
        <v>0</v>
      </c>
      <c r="I656" s="2">
        <v>21.02</v>
      </c>
      <c r="J656" s="1">
        <v>0.28999999999999998</v>
      </c>
      <c r="K656" s="2">
        <v>11.12</v>
      </c>
      <c r="L656" s="2">
        <v>7.73</v>
      </c>
      <c r="M656" s="1">
        <v>0.3</v>
      </c>
      <c r="N656" s="1">
        <v>0.12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 t="s">
        <v>3414</v>
      </c>
      <c r="W656" s="1"/>
    </row>
    <row r="657" spans="1:23" ht="13.2">
      <c r="A657" s="1">
        <v>656</v>
      </c>
      <c r="B657" s="1" t="s">
        <v>3415</v>
      </c>
      <c r="C657" s="1" t="s">
        <v>2074</v>
      </c>
      <c r="D657" s="1">
        <v>1.7</v>
      </c>
      <c r="E657" s="1">
        <v>53.64</v>
      </c>
      <c r="F657" s="1">
        <v>1.27</v>
      </c>
      <c r="G657" s="1">
        <v>0.1</v>
      </c>
      <c r="H657" s="1">
        <v>17.36</v>
      </c>
      <c r="I657" s="2">
        <v>20.8</v>
      </c>
      <c r="J657" s="1">
        <v>1.65</v>
      </c>
      <c r="K657" s="2">
        <v>0.62</v>
      </c>
      <c r="L657" s="2">
        <v>0.02</v>
      </c>
      <c r="M657" s="1">
        <v>0</v>
      </c>
      <c r="N657" s="1">
        <v>0.01</v>
      </c>
      <c r="O657" s="1">
        <v>0.04</v>
      </c>
      <c r="P657" s="1">
        <v>0</v>
      </c>
      <c r="Q657" s="1">
        <v>0</v>
      </c>
      <c r="R657" s="1">
        <v>150</v>
      </c>
      <c r="S657" s="1">
        <v>0</v>
      </c>
      <c r="T657" s="1">
        <v>340</v>
      </c>
      <c r="U657" s="1">
        <v>0</v>
      </c>
      <c r="V657" s="1"/>
      <c r="W657" s="1" t="s">
        <v>3416</v>
      </c>
    </row>
    <row r="658" spans="1:23" ht="26.4">
      <c r="A658" s="1">
        <v>657</v>
      </c>
      <c r="B658" s="1" t="s">
        <v>3417</v>
      </c>
      <c r="C658" s="1" t="s">
        <v>2020</v>
      </c>
      <c r="D658" s="1">
        <v>45.89</v>
      </c>
      <c r="E658" s="1">
        <v>1.58</v>
      </c>
      <c r="F658" s="1">
        <v>16.95</v>
      </c>
      <c r="G658" s="1">
        <v>0</v>
      </c>
      <c r="H658" s="1">
        <v>14.25</v>
      </c>
      <c r="I658" s="2">
        <v>0</v>
      </c>
      <c r="J658" s="1">
        <v>0.21</v>
      </c>
      <c r="K658" s="2">
        <v>5.97</v>
      </c>
      <c r="L658" s="2">
        <v>11.99</v>
      </c>
      <c r="M658" s="1">
        <v>2.21</v>
      </c>
      <c r="N658" s="1">
        <v>0.16</v>
      </c>
      <c r="O658" s="1">
        <v>0.16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 t="s">
        <v>3418</v>
      </c>
      <c r="W658" s="1"/>
    </row>
    <row r="659" spans="1:23" ht="26.4">
      <c r="A659" s="1">
        <v>658</v>
      </c>
      <c r="B659" s="1" t="s">
        <v>3419</v>
      </c>
      <c r="C659" s="1" t="s">
        <v>2020</v>
      </c>
      <c r="D659" s="1">
        <v>49.57</v>
      </c>
      <c r="E659" s="1">
        <v>2.82</v>
      </c>
      <c r="F659" s="1">
        <v>15.13</v>
      </c>
      <c r="G659" s="1">
        <v>0</v>
      </c>
      <c r="H659" s="1">
        <v>14.59</v>
      </c>
      <c r="I659" s="2">
        <v>0</v>
      </c>
      <c r="J659" s="1">
        <v>0.2</v>
      </c>
      <c r="K659" s="2">
        <v>4.3099999999999996</v>
      </c>
      <c r="L659" s="2">
        <v>8.49</v>
      </c>
      <c r="M659" s="1">
        <v>2.98</v>
      </c>
      <c r="N659" s="1">
        <v>1.05</v>
      </c>
      <c r="O659" s="1">
        <v>0.35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 t="s">
        <v>3418</v>
      </c>
      <c r="W659" s="1"/>
    </row>
    <row r="660" spans="1:23" ht="26.4">
      <c r="A660" s="1">
        <v>659</v>
      </c>
      <c r="B660" s="1" t="s">
        <v>3420</v>
      </c>
      <c r="C660" s="1" t="s">
        <v>2020</v>
      </c>
      <c r="D660" s="1"/>
      <c r="E660" s="1">
        <v>3.88</v>
      </c>
      <c r="F660" s="1">
        <v>15.46</v>
      </c>
      <c r="G660" s="1">
        <v>0</v>
      </c>
      <c r="H660" s="1">
        <v>16.25</v>
      </c>
      <c r="I660" s="2">
        <v>0</v>
      </c>
      <c r="J660" s="1">
        <v>0.22</v>
      </c>
      <c r="K660" s="2">
        <v>4.79</v>
      </c>
      <c r="L660" s="2">
        <v>8.6</v>
      </c>
      <c r="M660" s="1">
        <v>2.77</v>
      </c>
      <c r="N660" s="1">
        <v>1.34</v>
      </c>
      <c r="O660" s="1">
        <v>0.32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 t="s">
        <v>3418</v>
      </c>
      <c r="W660" s="1"/>
    </row>
    <row r="661" spans="1:23" ht="26.4">
      <c r="A661" s="1">
        <v>660</v>
      </c>
      <c r="B661" s="1" t="s">
        <v>3421</v>
      </c>
      <c r="C661" s="1" t="s">
        <v>2020</v>
      </c>
      <c r="D661" s="1">
        <v>45.15</v>
      </c>
      <c r="E661" s="1">
        <v>3.65</v>
      </c>
      <c r="F661" s="1">
        <v>16.03</v>
      </c>
      <c r="G661" s="1">
        <v>0</v>
      </c>
      <c r="H661" s="1">
        <v>15.74</v>
      </c>
      <c r="I661" s="2">
        <v>0</v>
      </c>
      <c r="J661" s="1">
        <v>0.2</v>
      </c>
      <c r="K661" s="2">
        <v>5.22</v>
      </c>
      <c r="L661" s="2">
        <v>8.7799999999999994</v>
      </c>
      <c r="M661" s="1">
        <v>2.84</v>
      </c>
      <c r="N661" s="1">
        <v>1.49</v>
      </c>
      <c r="O661" s="1">
        <v>0.52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 t="s">
        <v>3418</v>
      </c>
      <c r="W661" s="1"/>
    </row>
    <row r="662" spans="1:23" ht="26.4">
      <c r="A662" s="1">
        <v>661</v>
      </c>
      <c r="B662" s="1" t="s">
        <v>3422</v>
      </c>
      <c r="C662" s="1" t="s">
        <v>2020</v>
      </c>
      <c r="D662" s="1">
        <v>45.25</v>
      </c>
      <c r="E662" s="1">
        <v>3.77</v>
      </c>
      <c r="F662" s="1">
        <v>15.58</v>
      </c>
      <c r="G662" s="1">
        <v>0</v>
      </c>
      <c r="H662" s="1">
        <v>15.88</v>
      </c>
      <c r="I662" s="2">
        <v>0</v>
      </c>
      <c r="J662" s="1">
        <v>0.2</v>
      </c>
      <c r="K662" s="2">
        <v>5.22</v>
      </c>
      <c r="L662" s="2">
        <v>8.2100000000000009</v>
      </c>
      <c r="M662" s="1">
        <v>2.91</v>
      </c>
      <c r="N662" s="1">
        <v>1.68</v>
      </c>
      <c r="O662" s="1">
        <v>0.52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 t="s">
        <v>3418</v>
      </c>
      <c r="W662" s="1"/>
    </row>
    <row r="663" spans="1:23" ht="13.2">
      <c r="A663" s="1">
        <v>662</v>
      </c>
      <c r="B663" s="1" t="s">
        <v>3423</v>
      </c>
      <c r="C663" s="1" t="s">
        <v>2020</v>
      </c>
      <c r="D663" s="1">
        <v>34.19</v>
      </c>
      <c r="E663" s="1">
        <v>0.16</v>
      </c>
      <c r="F663" s="1">
        <v>3.28</v>
      </c>
      <c r="G663" s="1">
        <v>0.53</v>
      </c>
      <c r="H663" s="1">
        <v>0</v>
      </c>
      <c r="I663" s="2">
        <v>26.84</v>
      </c>
      <c r="J663" s="1">
        <v>0.2</v>
      </c>
      <c r="K663" s="2">
        <v>24.62</v>
      </c>
      <c r="L663" s="2">
        <v>2.64</v>
      </c>
      <c r="M663" s="1">
        <v>0.43</v>
      </c>
      <c r="N663" s="1">
        <v>0.03</v>
      </c>
      <c r="O663" s="1">
        <v>0.25</v>
      </c>
      <c r="P663" s="1">
        <v>0</v>
      </c>
      <c r="Q663" s="1">
        <v>0</v>
      </c>
      <c r="R663" s="1">
        <v>2900</v>
      </c>
      <c r="S663" s="1">
        <v>100</v>
      </c>
      <c r="T663" s="1">
        <v>0</v>
      </c>
      <c r="U663" s="1">
        <v>0</v>
      </c>
      <c r="V663" s="1"/>
      <c r="W663" s="1"/>
    </row>
    <row r="664" spans="1:23" ht="13.2">
      <c r="A664" s="1">
        <v>663</v>
      </c>
      <c r="B664" s="1" t="s">
        <v>3424</v>
      </c>
      <c r="C664" s="1" t="s">
        <v>2677</v>
      </c>
      <c r="D664" s="1">
        <v>51.06</v>
      </c>
      <c r="E664" s="1">
        <v>0.79</v>
      </c>
      <c r="F664" s="1">
        <v>2.73</v>
      </c>
      <c r="G664" s="1">
        <v>0.95</v>
      </c>
      <c r="H664" s="1">
        <v>0</v>
      </c>
      <c r="I664" s="2">
        <v>13.69</v>
      </c>
      <c r="J664" s="1">
        <v>0.23</v>
      </c>
      <c r="K664" s="2">
        <v>14.83</v>
      </c>
      <c r="L664" s="2">
        <v>16.309999999999999</v>
      </c>
      <c r="M664" s="1">
        <v>0.02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 t="s">
        <v>3425</v>
      </c>
      <c r="W664" s="1"/>
    </row>
    <row r="665" spans="1:23" ht="26.4">
      <c r="A665" s="1">
        <v>664</v>
      </c>
      <c r="B665" s="1" t="s">
        <v>3426</v>
      </c>
      <c r="C665" s="1" t="s">
        <v>2034</v>
      </c>
      <c r="D665" s="1">
        <v>52.59</v>
      </c>
      <c r="E665" s="1">
        <v>0.35</v>
      </c>
      <c r="F665" s="1">
        <v>1.33</v>
      </c>
      <c r="G665" s="1">
        <v>0.77</v>
      </c>
      <c r="H665" s="1">
        <v>0</v>
      </c>
      <c r="I665" s="2">
        <v>19.09</v>
      </c>
      <c r="J665" s="1">
        <v>0.33</v>
      </c>
      <c r="K665" s="2">
        <v>21.15</v>
      </c>
      <c r="L665" s="2">
        <v>4.8</v>
      </c>
      <c r="M665" s="1">
        <v>0.02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 t="s">
        <v>3427</v>
      </c>
      <c r="W665" s="1"/>
    </row>
    <row r="666" spans="1:23" ht="13.2">
      <c r="A666" s="1">
        <v>665</v>
      </c>
      <c r="B666" s="5" t="s">
        <v>3428</v>
      </c>
      <c r="C666" s="1" t="s">
        <v>51</v>
      </c>
      <c r="D666" s="1">
        <v>45.62</v>
      </c>
      <c r="E666" s="1">
        <v>0</v>
      </c>
      <c r="F666" s="1">
        <v>33.32</v>
      </c>
      <c r="G666" s="1">
        <v>0</v>
      </c>
      <c r="H666" s="1">
        <v>0</v>
      </c>
      <c r="I666" s="2">
        <v>0.56999999999999995</v>
      </c>
      <c r="J666" s="1">
        <v>0</v>
      </c>
      <c r="K666" s="2">
        <v>0.19</v>
      </c>
      <c r="L666" s="2">
        <v>18.600000000000001</v>
      </c>
      <c r="M666" s="1">
        <v>0.92</v>
      </c>
      <c r="N666" s="1">
        <v>0.05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 t="s">
        <v>3429</v>
      </c>
      <c r="W666" s="1"/>
    </row>
    <row r="667" spans="1:23" ht="13.2">
      <c r="A667" s="1">
        <v>666</v>
      </c>
      <c r="B667" s="5" t="s">
        <v>3430</v>
      </c>
      <c r="C667" s="1" t="s">
        <v>2677</v>
      </c>
      <c r="D667" s="1">
        <v>48.21</v>
      </c>
      <c r="E667" s="1">
        <v>3.51</v>
      </c>
      <c r="F667" s="1">
        <v>4.13</v>
      </c>
      <c r="G667" s="1">
        <v>0.89</v>
      </c>
      <c r="H667" s="1">
        <v>0</v>
      </c>
      <c r="I667" s="2">
        <v>8.25</v>
      </c>
      <c r="J667" s="1">
        <v>0.16</v>
      </c>
      <c r="K667" s="2">
        <v>14.58</v>
      </c>
      <c r="L667" s="2">
        <v>19.84</v>
      </c>
      <c r="M667" s="1">
        <v>0.1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 t="s">
        <v>3429</v>
      </c>
      <c r="W667" s="1"/>
    </row>
    <row r="668" spans="1:23" ht="13.2">
      <c r="A668" s="1">
        <v>667</v>
      </c>
      <c r="B668" s="5" t="s">
        <v>3431</v>
      </c>
      <c r="C668" s="1" t="s">
        <v>2670</v>
      </c>
      <c r="D668" s="1">
        <v>52.86</v>
      </c>
      <c r="E668" s="1">
        <v>0.83</v>
      </c>
      <c r="F668" s="1">
        <v>1.02</v>
      </c>
      <c r="G668" s="1">
        <v>0.38</v>
      </c>
      <c r="H668" s="1">
        <v>0</v>
      </c>
      <c r="I668" s="2">
        <v>17.3</v>
      </c>
      <c r="J668" s="1">
        <v>0.35</v>
      </c>
      <c r="K668" s="2">
        <v>23.33</v>
      </c>
      <c r="L668" s="2">
        <v>3.74</v>
      </c>
      <c r="M668" s="1">
        <v>0.01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 t="s">
        <v>3429</v>
      </c>
      <c r="W668" s="1"/>
    </row>
    <row r="669" spans="1:23" ht="13.2">
      <c r="A669" s="1">
        <v>668</v>
      </c>
      <c r="B669" s="5" t="s">
        <v>3432</v>
      </c>
      <c r="C669" s="1" t="s">
        <v>51</v>
      </c>
      <c r="D669" s="1">
        <v>46.64</v>
      </c>
      <c r="E669" s="1">
        <v>0</v>
      </c>
      <c r="F669" s="1">
        <v>32.89</v>
      </c>
      <c r="G669" s="1">
        <v>0</v>
      </c>
      <c r="H669" s="1">
        <v>0</v>
      </c>
      <c r="I669" s="2">
        <v>0.34</v>
      </c>
      <c r="J669" s="1">
        <v>0</v>
      </c>
      <c r="K669" s="2">
        <v>0.21</v>
      </c>
      <c r="L669" s="2">
        <v>17.670000000000002</v>
      </c>
      <c r="M669" s="1">
        <v>1.4</v>
      </c>
      <c r="N669" s="1">
        <v>7.0000000000000007E-2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 t="s">
        <v>3429</v>
      </c>
      <c r="W669" s="1"/>
    </row>
    <row r="670" spans="1:23" ht="13.2">
      <c r="A670" s="1">
        <v>669</v>
      </c>
      <c r="B670" s="5" t="s">
        <v>3433</v>
      </c>
      <c r="C670" s="1" t="s">
        <v>2074</v>
      </c>
      <c r="D670" s="1">
        <v>0.01</v>
      </c>
      <c r="E670" s="1">
        <v>54.2</v>
      </c>
      <c r="F670" s="1">
        <v>0.02</v>
      </c>
      <c r="G670" s="1">
        <v>0.74</v>
      </c>
      <c r="H670" s="1">
        <v>0</v>
      </c>
      <c r="I670" s="2">
        <v>39.6</v>
      </c>
      <c r="J670" s="1">
        <v>0.36</v>
      </c>
      <c r="K670" s="2">
        <v>4.55</v>
      </c>
      <c r="L670" s="2">
        <v>0.04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 t="s">
        <v>3429</v>
      </c>
      <c r="W670" s="1"/>
    </row>
    <row r="671" spans="1:23" ht="13.2">
      <c r="A671" s="1">
        <v>670</v>
      </c>
      <c r="B671" s="1" t="s">
        <v>3434</v>
      </c>
      <c r="C671" s="1" t="s">
        <v>51</v>
      </c>
      <c r="D671" s="1">
        <v>44.1</v>
      </c>
      <c r="E671" s="1">
        <v>0</v>
      </c>
      <c r="F671" s="1">
        <v>35.299999999999997</v>
      </c>
      <c r="G671" s="1">
        <v>0</v>
      </c>
      <c r="H671" s="1">
        <v>0</v>
      </c>
      <c r="I671" s="2">
        <v>0.12</v>
      </c>
      <c r="J671" s="1">
        <v>0</v>
      </c>
      <c r="K671" s="2">
        <v>0</v>
      </c>
      <c r="L671" s="2">
        <v>19.2</v>
      </c>
      <c r="M671" s="1">
        <v>0.49</v>
      </c>
      <c r="N671" s="1">
        <v>0.03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 t="s">
        <v>3429</v>
      </c>
      <c r="W671" s="1"/>
    </row>
    <row r="672" spans="1:23" ht="13.2">
      <c r="A672" s="1">
        <v>671</v>
      </c>
      <c r="B672" s="1" t="s">
        <v>3435</v>
      </c>
      <c r="C672" s="1" t="s">
        <v>2020</v>
      </c>
      <c r="D672" s="1">
        <v>47.81</v>
      </c>
      <c r="E672" s="1">
        <v>1.77</v>
      </c>
      <c r="F672" s="1">
        <v>8.8699999999999992</v>
      </c>
      <c r="G672" s="1">
        <v>0</v>
      </c>
      <c r="H672" s="1">
        <v>0</v>
      </c>
      <c r="I672" s="2">
        <v>19.97</v>
      </c>
      <c r="J672" s="1">
        <v>0</v>
      </c>
      <c r="K672" s="2">
        <v>9.07</v>
      </c>
      <c r="L672" s="2">
        <v>10.32</v>
      </c>
      <c r="M672" s="1">
        <v>0.28000000000000003</v>
      </c>
      <c r="N672" s="1">
        <v>0.03</v>
      </c>
      <c r="O672" s="1">
        <v>0.08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 t="s">
        <v>3429</v>
      </c>
      <c r="W672" s="1"/>
    </row>
    <row r="673" spans="1:23" ht="13.2">
      <c r="A673" s="1">
        <v>672</v>
      </c>
      <c r="B673" s="5" t="s">
        <v>3436</v>
      </c>
      <c r="C673" s="1" t="s">
        <v>2677</v>
      </c>
      <c r="D673" s="1">
        <v>48.3</v>
      </c>
      <c r="E673" s="1">
        <v>1.1499999999999999</v>
      </c>
      <c r="F673" s="1">
        <v>1.52</v>
      </c>
      <c r="G673" s="1">
        <v>0.28999999999999998</v>
      </c>
      <c r="H673" s="1">
        <v>0</v>
      </c>
      <c r="I673" s="2">
        <v>25.4</v>
      </c>
      <c r="J673" s="1">
        <v>0.38</v>
      </c>
      <c r="K673" s="2">
        <v>11</v>
      </c>
      <c r="L673" s="2">
        <v>10.8</v>
      </c>
      <c r="M673" s="1">
        <v>0.03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 t="s">
        <v>3429</v>
      </c>
      <c r="W673" s="1"/>
    </row>
    <row r="674" spans="1:23" ht="13.2">
      <c r="A674" s="1">
        <v>673</v>
      </c>
      <c r="B674" s="1" t="s">
        <v>3437</v>
      </c>
      <c r="C674" s="1" t="s">
        <v>2677</v>
      </c>
      <c r="D674" s="1">
        <v>51</v>
      </c>
      <c r="E674" s="1">
        <v>0.61</v>
      </c>
      <c r="F674" s="1">
        <v>1.35</v>
      </c>
      <c r="G674" s="1">
        <v>0.55000000000000004</v>
      </c>
      <c r="H674" s="1">
        <v>0</v>
      </c>
      <c r="I674" s="2">
        <v>20.3</v>
      </c>
      <c r="J674" s="1">
        <v>0.35</v>
      </c>
      <c r="K674" s="2">
        <v>18.3</v>
      </c>
      <c r="L674" s="2">
        <v>6.8</v>
      </c>
      <c r="M674" s="1">
        <v>0.03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 t="s">
        <v>3429</v>
      </c>
      <c r="W674" s="1"/>
    </row>
    <row r="675" spans="1:23" ht="13.2">
      <c r="A675" s="1">
        <v>674</v>
      </c>
      <c r="B675" s="1" t="s">
        <v>3438</v>
      </c>
      <c r="C675" s="1" t="s">
        <v>2026</v>
      </c>
      <c r="D675" s="1">
        <v>34.200000000000003</v>
      </c>
      <c r="E675" s="1">
        <v>0</v>
      </c>
      <c r="F675" s="1">
        <v>0.03</v>
      </c>
      <c r="G675" s="1">
        <v>0.14000000000000001</v>
      </c>
      <c r="H675" s="1">
        <v>0</v>
      </c>
      <c r="I675" s="2">
        <v>42</v>
      </c>
      <c r="J675" s="1">
        <v>0.4</v>
      </c>
      <c r="K675" s="2">
        <v>22.4</v>
      </c>
      <c r="L675" s="2">
        <v>0.37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 t="s">
        <v>3429</v>
      </c>
      <c r="W675" s="1"/>
    </row>
    <row r="676" spans="1:23" ht="13.2">
      <c r="A676" s="1">
        <v>675</v>
      </c>
      <c r="B676" s="5" t="s">
        <v>3439</v>
      </c>
      <c r="C676" s="1" t="s">
        <v>51</v>
      </c>
      <c r="D676" s="1">
        <v>45.8</v>
      </c>
      <c r="E676" s="1">
        <v>0</v>
      </c>
      <c r="F676" s="1">
        <v>33.200000000000003</v>
      </c>
      <c r="G676" s="1">
        <v>0</v>
      </c>
      <c r="H676" s="1">
        <v>0</v>
      </c>
      <c r="I676" s="2">
        <v>0.51</v>
      </c>
      <c r="J676" s="1">
        <v>0</v>
      </c>
      <c r="K676" s="2">
        <v>0.24</v>
      </c>
      <c r="L676" s="2">
        <v>18.100000000000001</v>
      </c>
      <c r="M676" s="1">
        <v>0.98</v>
      </c>
      <c r="N676" s="1">
        <v>0.03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 t="s">
        <v>3429</v>
      </c>
      <c r="W676" s="1"/>
    </row>
    <row r="677" spans="1:23" ht="13.2">
      <c r="A677" s="1">
        <v>676</v>
      </c>
      <c r="B677" s="1" t="s">
        <v>3440</v>
      </c>
      <c r="C677" s="1" t="s">
        <v>2677</v>
      </c>
      <c r="D677" s="1">
        <v>49.2</v>
      </c>
      <c r="E677" s="1">
        <v>2.0699999999999998</v>
      </c>
      <c r="F677" s="1">
        <v>2.4700000000000002</v>
      </c>
      <c r="G677" s="1">
        <v>0.57999999999999996</v>
      </c>
      <c r="H677" s="1">
        <v>0</v>
      </c>
      <c r="I677" s="2">
        <v>14.5</v>
      </c>
      <c r="J677" s="1">
        <v>0.3</v>
      </c>
      <c r="K677" s="2">
        <v>14.8</v>
      </c>
      <c r="L677" s="2">
        <v>15.2</v>
      </c>
      <c r="M677" s="1">
        <v>0.08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 t="s">
        <v>3429</v>
      </c>
      <c r="W677" s="1"/>
    </row>
    <row r="678" spans="1:23" ht="13.2">
      <c r="A678" s="1">
        <v>677</v>
      </c>
      <c r="B678" s="5" t="s">
        <v>3441</v>
      </c>
      <c r="C678" s="1" t="s">
        <v>2670</v>
      </c>
      <c r="D678" s="1">
        <v>51.2</v>
      </c>
      <c r="E678" s="1">
        <v>1.07</v>
      </c>
      <c r="F678" s="1">
        <v>1.2</v>
      </c>
      <c r="G678" s="1">
        <v>0.36</v>
      </c>
      <c r="H678" s="1">
        <v>0</v>
      </c>
      <c r="I678" s="2">
        <v>20.100000000000001</v>
      </c>
      <c r="J678" s="1">
        <v>0.37</v>
      </c>
      <c r="K678" s="2">
        <v>19.7</v>
      </c>
      <c r="L678" s="2">
        <v>6.17</v>
      </c>
      <c r="M678" s="1">
        <v>0.03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 t="s">
        <v>3429</v>
      </c>
      <c r="W678" s="1"/>
    </row>
    <row r="679" spans="1:23" ht="13.2">
      <c r="A679" s="1">
        <v>678</v>
      </c>
      <c r="B679" s="5" t="s">
        <v>3442</v>
      </c>
      <c r="C679" s="1" t="s">
        <v>51</v>
      </c>
      <c r="D679" s="1">
        <v>46.8</v>
      </c>
      <c r="E679" s="1">
        <v>0</v>
      </c>
      <c r="F679" s="1">
        <v>32.700000000000003</v>
      </c>
      <c r="G679" s="1">
        <v>0</v>
      </c>
      <c r="H679" s="1">
        <v>0</v>
      </c>
      <c r="I679" s="2">
        <v>0.36</v>
      </c>
      <c r="J679" s="1">
        <v>0</v>
      </c>
      <c r="K679" s="2">
        <v>0.2</v>
      </c>
      <c r="L679" s="2">
        <v>17.3</v>
      </c>
      <c r="M679" s="1">
        <v>1.43</v>
      </c>
      <c r="N679" s="1">
        <v>0.06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 t="s">
        <v>3429</v>
      </c>
      <c r="W679" s="1"/>
    </row>
    <row r="680" spans="1:23" ht="13.2">
      <c r="A680" s="1">
        <v>679</v>
      </c>
      <c r="B680" s="5" t="s">
        <v>3443</v>
      </c>
      <c r="C680" s="1" t="s">
        <v>2074</v>
      </c>
      <c r="D680" s="1">
        <v>0.03</v>
      </c>
      <c r="E680" s="1">
        <v>53.7</v>
      </c>
      <c r="F680" s="1">
        <v>0.21</v>
      </c>
      <c r="G680" s="1">
        <v>1.04</v>
      </c>
      <c r="H680" s="1">
        <v>0</v>
      </c>
      <c r="I680" s="2">
        <v>41.4</v>
      </c>
      <c r="J680" s="1">
        <v>0.36</v>
      </c>
      <c r="K680" s="2">
        <v>3.06</v>
      </c>
      <c r="L680" s="2">
        <v>0.03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 t="s">
        <v>3429</v>
      </c>
      <c r="W680" s="1"/>
    </row>
    <row r="681" spans="1:23" ht="13.2">
      <c r="A681" s="1">
        <v>680</v>
      </c>
      <c r="B681" s="1" t="s">
        <v>3444</v>
      </c>
      <c r="C681" s="1" t="s">
        <v>2020</v>
      </c>
      <c r="D681" s="1">
        <v>44.24</v>
      </c>
      <c r="E681" s="1">
        <v>2.2599999999999998</v>
      </c>
      <c r="F681" s="1">
        <v>8.48</v>
      </c>
      <c r="G681" s="1">
        <v>0</v>
      </c>
      <c r="H681" s="1">
        <v>0</v>
      </c>
      <c r="I681" s="2">
        <v>22.47</v>
      </c>
      <c r="J681" s="1">
        <v>0</v>
      </c>
      <c r="K681" s="2">
        <v>11.19</v>
      </c>
      <c r="L681" s="2">
        <v>9.4499999999999993</v>
      </c>
      <c r="M681" s="1">
        <v>0.24</v>
      </c>
      <c r="N681" s="1">
        <v>0.03</v>
      </c>
      <c r="O681" s="1">
        <v>0.06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 t="s">
        <v>3429</v>
      </c>
      <c r="W681" s="1"/>
    </row>
    <row r="682" spans="1:23" ht="13.2">
      <c r="A682" s="1">
        <v>681</v>
      </c>
      <c r="B682" s="1" t="s">
        <v>3445</v>
      </c>
      <c r="C682" s="1" t="s">
        <v>2020</v>
      </c>
      <c r="D682" s="1">
        <v>38.369999999999997</v>
      </c>
      <c r="E682" s="1">
        <v>12.83</v>
      </c>
      <c r="F682" s="1">
        <v>8.7799999999999994</v>
      </c>
      <c r="G682" s="1">
        <v>0.57999999999999996</v>
      </c>
      <c r="H682" s="1">
        <v>0</v>
      </c>
      <c r="I682" s="2">
        <v>18.71</v>
      </c>
      <c r="J682" s="1">
        <v>0.25</v>
      </c>
      <c r="K682" s="2">
        <v>9.41</v>
      </c>
      <c r="L682" s="2">
        <v>10.43</v>
      </c>
      <c r="M682" s="1">
        <v>0.43</v>
      </c>
      <c r="N682" s="1">
        <v>0.05</v>
      </c>
      <c r="O682" s="1">
        <v>0.05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 t="s">
        <v>3429</v>
      </c>
      <c r="W682" s="1" t="s">
        <v>3446</v>
      </c>
    </row>
    <row r="683" spans="1:23" ht="13.2">
      <c r="A683" s="1">
        <v>682</v>
      </c>
      <c r="B683" s="1" t="s">
        <v>3447</v>
      </c>
      <c r="C683" s="1" t="s">
        <v>2020</v>
      </c>
      <c r="D683" s="1">
        <v>37.840000000000003</v>
      </c>
      <c r="E683" s="1">
        <v>12.97</v>
      </c>
      <c r="F683" s="1">
        <v>8.85</v>
      </c>
      <c r="G683" s="1">
        <v>0.61</v>
      </c>
      <c r="H683" s="1">
        <v>0</v>
      </c>
      <c r="I683" s="2">
        <v>18.46</v>
      </c>
      <c r="J683" s="1">
        <v>0.28000000000000003</v>
      </c>
      <c r="K683" s="2">
        <v>9.89</v>
      </c>
      <c r="L683" s="2">
        <v>10.07</v>
      </c>
      <c r="M683" s="1">
        <v>0.35</v>
      </c>
      <c r="N683" s="1">
        <v>0.06</v>
      </c>
      <c r="O683" s="1">
        <v>0.05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 t="s">
        <v>3429</v>
      </c>
      <c r="W683" s="1" t="s">
        <v>3448</v>
      </c>
    </row>
    <row r="684" spans="1:23" ht="13.2">
      <c r="A684" s="1">
        <v>683</v>
      </c>
      <c r="B684" s="5" t="s">
        <v>456</v>
      </c>
      <c r="C684" s="1" t="s">
        <v>2020</v>
      </c>
      <c r="D684" s="1">
        <v>38.79</v>
      </c>
      <c r="E684" s="1">
        <v>0.09</v>
      </c>
      <c r="F684" s="1">
        <v>2.3199999999999998</v>
      </c>
      <c r="G684" s="1">
        <v>0.45</v>
      </c>
      <c r="H684" s="1">
        <v>0</v>
      </c>
      <c r="I684" s="2">
        <v>14.96</v>
      </c>
      <c r="J684" s="1">
        <v>0.3</v>
      </c>
      <c r="K684" s="2">
        <v>24.28</v>
      </c>
      <c r="L684" s="2">
        <v>1.83</v>
      </c>
      <c r="M684" s="1">
        <v>0.96</v>
      </c>
      <c r="N684" s="1">
        <v>0.1</v>
      </c>
      <c r="O684" s="1">
        <v>0.28999999999999998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 t="s">
        <v>3449</v>
      </c>
      <c r="W684" s="1"/>
    </row>
    <row r="685" spans="1:23" ht="13.2">
      <c r="A685" s="1">
        <v>684</v>
      </c>
      <c r="B685" s="5" t="s">
        <v>179</v>
      </c>
      <c r="C685" s="1" t="s">
        <v>2020</v>
      </c>
      <c r="D685" s="1">
        <v>41.27</v>
      </c>
      <c r="E685" s="1">
        <v>0.12</v>
      </c>
      <c r="F685" s="1">
        <v>2.3199999999999998</v>
      </c>
      <c r="G685" s="1">
        <v>0.56999999999999995</v>
      </c>
      <c r="H685" s="1">
        <v>0</v>
      </c>
      <c r="I685" s="2">
        <v>18.190000000000001</v>
      </c>
      <c r="J685" s="1">
        <v>0.36</v>
      </c>
      <c r="K685" s="2">
        <v>25.64</v>
      </c>
      <c r="L685" s="2">
        <v>1.9</v>
      </c>
      <c r="M685" s="1">
        <v>0.95</v>
      </c>
      <c r="N685" s="1">
        <v>0.1</v>
      </c>
      <c r="O685" s="1">
        <v>0.25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 t="s">
        <v>3449</v>
      </c>
      <c r="W685" s="1"/>
    </row>
    <row r="686" spans="1:23" ht="13.2">
      <c r="A686" s="1">
        <v>685</v>
      </c>
      <c r="B686" s="1" t="s">
        <v>3450</v>
      </c>
      <c r="C686" s="1" t="s">
        <v>3451</v>
      </c>
      <c r="D686" s="1">
        <v>52.9</v>
      </c>
      <c r="E686" s="1">
        <v>1.2</v>
      </c>
      <c r="F686" s="1">
        <v>14.1</v>
      </c>
      <c r="G686" s="1">
        <v>0</v>
      </c>
      <c r="H686" s="1">
        <v>23.9</v>
      </c>
      <c r="I686" s="2">
        <v>0</v>
      </c>
      <c r="J686" s="1">
        <v>0</v>
      </c>
      <c r="K686" s="2">
        <v>0</v>
      </c>
      <c r="L686" s="2">
        <v>2.6</v>
      </c>
      <c r="M686" s="1">
        <v>0.5</v>
      </c>
      <c r="N686" s="1">
        <v>0.5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/>
      <c r="W686" s="1" t="s">
        <v>3452</v>
      </c>
    </row>
    <row r="687" spans="1:23" ht="13.2">
      <c r="A687" s="1">
        <v>686</v>
      </c>
      <c r="B687" s="1" t="s">
        <v>3453</v>
      </c>
      <c r="C687" s="1" t="s">
        <v>2026</v>
      </c>
      <c r="D687" s="1">
        <v>40.619999999999997</v>
      </c>
      <c r="E687" s="1">
        <v>0</v>
      </c>
      <c r="F687" s="1">
        <v>0</v>
      </c>
      <c r="G687" s="1">
        <v>0</v>
      </c>
      <c r="H687" s="1">
        <v>0</v>
      </c>
      <c r="I687" s="2">
        <v>8.82</v>
      </c>
      <c r="J687" s="1">
        <v>0.12</v>
      </c>
      <c r="K687" s="2">
        <v>48.99</v>
      </c>
      <c r="L687" s="2">
        <v>7.0000000000000007E-2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/>
      <c r="W687" s="1"/>
    </row>
    <row r="688" spans="1:23" ht="13.2">
      <c r="A688" s="1">
        <v>687</v>
      </c>
      <c r="B688" s="5" t="s">
        <v>3454</v>
      </c>
      <c r="C688" s="1" t="s">
        <v>2677</v>
      </c>
      <c r="D688" s="1">
        <v>53.88</v>
      </c>
      <c r="E688" s="1">
        <v>0.06</v>
      </c>
      <c r="F688" s="1">
        <v>1.19</v>
      </c>
      <c r="G688" s="1">
        <v>0</v>
      </c>
      <c r="H688" s="1">
        <v>0</v>
      </c>
      <c r="I688" s="2">
        <v>1.58</v>
      </c>
      <c r="J688" s="1">
        <v>0.08</v>
      </c>
      <c r="K688" s="2">
        <v>18.12</v>
      </c>
      <c r="L688" s="2">
        <v>24.76</v>
      </c>
      <c r="M688" s="1">
        <v>0.41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/>
      <c r="W688" s="1"/>
    </row>
    <row r="689" spans="1:23" ht="13.2">
      <c r="A689" s="1">
        <v>688</v>
      </c>
      <c r="B689" s="5" t="s">
        <v>3455</v>
      </c>
      <c r="C689" s="1" t="s">
        <v>3278</v>
      </c>
      <c r="D689" s="1">
        <v>55</v>
      </c>
      <c r="E689" s="1">
        <v>0</v>
      </c>
      <c r="F689" s="1">
        <v>28.68</v>
      </c>
      <c r="G689" s="1">
        <v>0</v>
      </c>
      <c r="H689" s="1">
        <v>0</v>
      </c>
      <c r="I689" s="2">
        <v>0</v>
      </c>
      <c r="J689" s="1">
        <v>0.01</v>
      </c>
      <c r="K689" s="2">
        <v>0</v>
      </c>
      <c r="L689" s="2">
        <v>9.8699999999999992</v>
      </c>
      <c r="M689" s="1">
        <v>6.03</v>
      </c>
      <c r="N689" s="1">
        <v>0.13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/>
      <c r="W689" s="1"/>
    </row>
    <row r="690" spans="1:23" ht="26.4">
      <c r="A690" s="1">
        <v>689</v>
      </c>
      <c r="B690" s="5" t="s">
        <v>3456</v>
      </c>
      <c r="C690" s="1" t="s">
        <v>3000</v>
      </c>
      <c r="D690" s="1">
        <v>62.9</v>
      </c>
      <c r="E690" s="1">
        <v>0.16</v>
      </c>
      <c r="F690" s="1">
        <v>19.3</v>
      </c>
      <c r="G690" s="1">
        <v>0</v>
      </c>
      <c r="H690" s="1">
        <v>3.85</v>
      </c>
      <c r="I690" s="2">
        <v>0.12</v>
      </c>
      <c r="J690" s="1">
        <v>0.01</v>
      </c>
      <c r="K690" s="2">
        <v>2.8</v>
      </c>
      <c r="L690" s="2">
        <v>1.8</v>
      </c>
      <c r="M690" s="1">
        <v>1.54</v>
      </c>
      <c r="N690" s="1">
        <v>0.56000000000000005</v>
      </c>
      <c r="O690" s="1">
        <v>0.06</v>
      </c>
      <c r="P690" s="1">
        <v>5.0999999999999996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 t="s">
        <v>3457</v>
      </c>
      <c r="W690" s="1" t="s">
        <v>3458</v>
      </c>
    </row>
    <row r="691" spans="1:23" ht="13.2">
      <c r="A691" s="1">
        <v>690</v>
      </c>
      <c r="B691" s="5" t="s">
        <v>3459</v>
      </c>
      <c r="C691" s="1" t="s">
        <v>3460</v>
      </c>
      <c r="D691" s="1">
        <v>100</v>
      </c>
      <c r="E691" s="1">
        <v>0</v>
      </c>
      <c r="F691" s="1">
        <v>0</v>
      </c>
      <c r="G691" s="1">
        <v>0</v>
      </c>
      <c r="H691" s="1">
        <v>0</v>
      </c>
      <c r="I691" s="2">
        <v>0</v>
      </c>
      <c r="J691" s="1">
        <v>0</v>
      </c>
      <c r="K691" s="2">
        <v>0</v>
      </c>
      <c r="L691" s="2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/>
      <c r="W691" s="1"/>
    </row>
    <row r="692" spans="1:23" ht="13.2">
      <c r="A692" s="1">
        <v>691</v>
      </c>
      <c r="B692" s="1" t="s">
        <v>3461</v>
      </c>
      <c r="C692" s="1" t="s">
        <v>51</v>
      </c>
      <c r="D692" s="1">
        <v>67.900000000000006</v>
      </c>
      <c r="E692" s="1">
        <v>0</v>
      </c>
      <c r="F692" s="1">
        <v>19.899999999999999</v>
      </c>
      <c r="G692" s="1">
        <v>0</v>
      </c>
      <c r="H692" s="1">
        <v>0</v>
      </c>
      <c r="I692" s="2">
        <v>0</v>
      </c>
      <c r="J692" s="1">
        <v>0.02</v>
      </c>
      <c r="K692" s="2">
        <v>0.02</v>
      </c>
      <c r="L692" s="2">
        <v>0.63</v>
      </c>
      <c r="M692" s="1">
        <v>9.7100000000000009</v>
      </c>
      <c r="N692" s="1">
        <v>0.27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 t="s">
        <v>3462</v>
      </c>
      <c r="W692" s="1" t="s">
        <v>3463</v>
      </c>
    </row>
    <row r="693" spans="1:23" ht="13.2">
      <c r="A693" s="1">
        <v>692</v>
      </c>
      <c r="B693" s="1" t="s">
        <v>940</v>
      </c>
      <c r="C693" s="1" t="s">
        <v>51</v>
      </c>
      <c r="D693" s="1">
        <v>54.2</v>
      </c>
      <c r="E693" s="1">
        <v>0</v>
      </c>
      <c r="F693" s="1">
        <v>24.4</v>
      </c>
      <c r="G693" s="1">
        <v>0</v>
      </c>
      <c r="H693" s="1">
        <v>2.16</v>
      </c>
      <c r="I693" s="2">
        <v>0</v>
      </c>
      <c r="J693" s="1">
        <v>0.05</v>
      </c>
      <c r="K693" s="2">
        <v>1.32</v>
      </c>
      <c r="L693" s="2">
        <v>9.8000000000000007</v>
      </c>
      <c r="M693" s="1">
        <v>4.34</v>
      </c>
      <c r="N693" s="1">
        <v>1.3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 t="s">
        <v>3462</v>
      </c>
      <c r="W693" s="1" t="s">
        <v>3464</v>
      </c>
    </row>
    <row r="694" spans="1:23" ht="13.2">
      <c r="A694" s="1">
        <v>693</v>
      </c>
      <c r="B694" s="1" t="s">
        <v>3465</v>
      </c>
      <c r="C694" s="1" t="s">
        <v>51</v>
      </c>
      <c r="D694" s="1">
        <v>54.8</v>
      </c>
      <c r="E694" s="1">
        <v>0</v>
      </c>
      <c r="F694" s="1">
        <v>26.5</v>
      </c>
      <c r="G694" s="1">
        <v>0</v>
      </c>
      <c r="H694" s="1">
        <v>1.1000000000000001</v>
      </c>
      <c r="I694" s="2">
        <v>0</v>
      </c>
      <c r="J694" s="1">
        <v>0.03</v>
      </c>
      <c r="K694" s="2">
        <v>0.24</v>
      </c>
      <c r="L694" s="2">
        <v>10.4</v>
      </c>
      <c r="M694" s="1">
        <v>4.0199999999999996</v>
      </c>
      <c r="N694" s="1">
        <v>0.47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 t="s">
        <v>3462</v>
      </c>
      <c r="W694" s="1" t="s">
        <v>3466</v>
      </c>
    </row>
    <row r="695" spans="1:23" ht="13.2">
      <c r="A695" s="1">
        <v>694</v>
      </c>
      <c r="B695" s="1" t="s">
        <v>3467</v>
      </c>
      <c r="C695" s="1" t="s">
        <v>51</v>
      </c>
      <c r="D695" s="1">
        <v>50.9</v>
      </c>
      <c r="E695" s="1">
        <v>0</v>
      </c>
      <c r="F695" s="1">
        <v>29.8</v>
      </c>
      <c r="G695" s="1">
        <v>0</v>
      </c>
      <c r="H695" s="1">
        <v>0.3</v>
      </c>
      <c r="I695" s="2">
        <v>0</v>
      </c>
      <c r="J695" s="1">
        <v>0.02</v>
      </c>
      <c r="K695" s="2">
        <v>0.15</v>
      </c>
      <c r="L695" s="2">
        <v>13.4</v>
      </c>
      <c r="M695" s="1">
        <v>3.42</v>
      </c>
      <c r="N695" s="1">
        <v>0.14000000000000001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 t="s">
        <v>3462</v>
      </c>
      <c r="W695" s="1" t="s">
        <v>3468</v>
      </c>
    </row>
    <row r="696" spans="1:23" ht="13.2">
      <c r="A696" s="1">
        <v>695</v>
      </c>
      <c r="B696" s="1" t="s">
        <v>3469</v>
      </c>
      <c r="C696" s="1" t="s">
        <v>51</v>
      </c>
      <c r="D696" s="1">
        <v>49.1</v>
      </c>
      <c r="E696" s="1">
        <v>0</v>
      </c>
      <c r="F696" s="1">
        <v>30.4</v>
      </c>
      <c r="G696" s="1">
        <v>0</v>
      </c>
      <c r="H696" s="1">
        <v>0.5</v>
      </c>
      <c r="I696" s="2">
        <v>0</v>
      </c>
      <c r="J696" s="1">
        <v>0.04</v>
      </c>
      <c r="K696" s="2">
        <v>0.45</v>
      </c>
      <c r="L696" s="2">
        <v>14.5</v>
      </c>
      <c r="M696" s="1">
        <v>2.86</v>
      </c>
      <c r="N696" s="1">
        <v>0.2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 t="s">
        <v>3462</v>
      </c>
      <c r="W696" s="1" t="s">
        <v>3470</v>
      </c>
    </row>
    <row r="697" spans="1:23" ht="13.2">
      <c r="A697" s="1">
        <v>696</v>
      </c>
      <c r="B697" s="1" t="s">
        <v>3471</v>
      </c>
      <c r="C697" s="1" t="s">
        <v>51</v>
      </c>
      <c r="D697" s="1">
        <v>56.04</v>
      </c>
      <c r="E697" s="1">
        <v>0.12</v>
      </c>
      <c r="F697" s="1">
        <v>25.38</v>
      </c>
      <c r="G697" s="1">
        <v>0</v>
      </c>
      <c r="H697" s="1">
        <v>0.32</v>
      </c>
      <c r="I697" s="2">
        <v>1.33</v>
      </c>
      <c r="J697" s="1">
        <v>0.03</v>
      </c>
      <c r="K697" s="2">
        <v>1.04</v>
      </c>
      <c r="L697" s="2">
        <v>10.48</v>
      </c>
      <c r="M697" s="1">
        <v>4.0199999999999996</v>
      </c>
      <c r="N697" s="1">
        <v>1.1000000000000001</v>
      </c>
      <c r="O697" s="1">
        <v>0.04</v>
      </c>
      <c r="P697" s="1">
        <v>0.43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 t="s">
        <v>3472</v>
      </c>
      <c r="W697" s="1" t="s">
        <v>3473</v>
      </c>
    </row>
    <row r="698" spans="1:23" ht="13.2">
      <c r="A698" s="1">
        <v>697</v>
      </c>
      <c r="B698" s="1" t="s">
        <v>3474</v>
      </c>
      <c r="C698" s="1" t="s">
        <v>51</v>
      </c>
      <c r="D698" s="1">
        <v>55.55</v>
      </c>
      <c r="E698" s="1">
        <v>7.0000000000000007E-2</v>
      </c>
      <c r="F698" s="1">
        <v>27.27</v>
      </c>
      <c r="G698" s="1">
        <v>0</v>
      </c>
      <c r="H698" s="1">
        <v>0.25</v>
      </c>
      <c r="I698" s="2">
        <v>0.55000000000000004</v>
      </c>
      <c r="J698" s="1">
        <v>0.01</v>
      </c>
      <c r="K698" s="2">
        <v>0.26</v>
      </c>
      <c r="L698" s="2">
        <v>10.91</v>
      </c>
      <c r="M698" s="1">
        <v>4.16</v>
      </c>
      <c r="N698" s="1">
        <v>0.92</v>
      </c>
      <c r="O698" s="1">
        <v>0.02</v>
      </c>
      <c r="P698" s="1">
        <v>0.25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 t="s">
        <v>3472</v>
      </c>
      <c r="W698" s="1" t="s">
        <v>3473</v>
      </c>
    </row>
    <row r="699" spans="1:23" ht="13.2">
      <c r="A699" s="1">
        <v>698</v>
      </c>
      <c r="B699" s="1" t="s">
        <v>3475</v>
      </c>
      <c r="C699" s="1" t="s">
        <v>51</v>
      </c>
      <c r="D699" s="1">
        <v>53.75</v>
      </c>
      <c r="E699" s="1">
        <v>7.0000000000000007E-2</v>
      </c>
      <c r="F699" s="1">
        <v>28.86</v>
      </c>
      <c r="G699" s="1">
        <v>0</v>
      </c>
      <c r="H699" s="1">
        <v>0.06</v>
      </c>
      <c r="I699" s="2">
        <v>0.62</v>
      </c>
      <c r="J699" s="1">
        <v>0.01</v>
      </c>
      <c r="K699" s="2">
        <v>0.21</v>
      </c>
      <c r="L699" s="2">
        <v>11.51</v>
      </c>
      <c r="M699" s="1">
        <v>4.58</v>
      </c>
      <c r="N699" s="1">
        <v>0.55000000000000004</v>
      </c>
      <c r="O699" s="1">
        <v>0.02</v>
      </c>
      <c r="P699" s="1">
        <v>0.21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 t="s">
        <v>3472</v>
      </c>
      <c r="W699" s="1" t="s">
        <v>3476</v>
      </c>
    </row>
    <row r="700" spans="1:23" ht="13.2">
      <c r="A700" s="1">
        <v>699</v>
      </c>
      <c r="B700" s="1" t="s">
        <v>3477</v>
      </c>
      <c r="C700" s="1" t="s">
        <v>51</v>
      </c>
      <c r="D700" s="1">
        <v>55.12</v>
      </c>
      <c r="E700" s="1">
        <v>0.08</v>
      </c>
      <c r="F700" s="1">
        <v>27.95</v>
      </c>
      <c r="G700" s="1">
        <v>0</v>
      </c>
      <c r="H700" s="1">
        <v>0.02</v>
      </c>
      <c r="I700" s="2">
        <v>0.56000000000000005</v>
      </c>
      <c r="J700" s="1">
        <v>0.01</v>
      </c>
      <c r="K700" s="2">
        <v>0.3</v>
      </c>
      <c r="L700" s="2">
        <v>10.75</v>
      </c>
      <c r="M700" s="1">
        <v>4.87</v>
      </c>
      <c r="N700" s="1">
        <v>0.61</v>
      </c>
      <c r="O700" s="1">
        <v>0.03</v>
      </c>
      <c r="P700" s="1">
        <v>0.21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 t="s">
        <v>3472</v>
      </c>
      <c r="W700" s="1" t="s">
        <v>3478</v>
      </c>
    </row>
    <row r="701" spans="1:23" ht="13.2">
      <c r="A701" s="1">
        <v>700</v>
      </c>
      <c r="B701" s="1" t="s">
        <v>3479</v>
      </c>
      <c r="C701" s="1" t="s">
        <v>51</v>
      </c>
      <c r="D701" s="1">
        <v>56.03</v>
      </c>
      <c r="E701" s="1">
        <v>0.1</v>
      </c>
      <c r="F701" s="1">
        <v>26.58</v>
      </c>
      <c r="G701" s="1">
        <v>0</v>
      </c>
      <c r="H701" s="1">
        <v>0.17</v>
      </c>
      <c r="I701" s="2">
        <v>0.99</v>
      </c>
      <c r="J701" s="1">
        <v>0.02</v>
      </c>
      <c r="K701" s="2">
        <v>0.39</v>
      </c>
      <c r="L701" s="2">
        <v>10.29</v>
      </c>
      <c r="M701" s="1">
        <v>4.6100000000000003</v>
      </c>
      <c r="N701" s="1">
        <v>0.88</v>
      </c>
      <c r="O701" s="1">
        <v>0.04</v>
      </c>
      <c r="P701" s="1">
        <v>0.26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 t="s">
        <v>3472</v>
      </c>
      <c r="W701" s="1" t="s">
        <v>3480</v>
      </c>
    </row>
    <row r="702" spans="1:23" ht="13.2">
      <c r="A702" s="1">
        <v>701</v>
      </c>
      <c r="B702" s="1" t="s">
        <v>3481</v>
      </c>
      <c r="C702" s="1" t="s">
        <v>51</v>
      </c>
      <c r="D702" s="1">
        <v>51.65</v>
      </c>
      <c r="E702" s="1">
        <v>0.03</v>
      </c>
      <c r="F702" s="1">
        <v>30.02</v>
      </c>
      <c r="G702" s="1">
        <v>0</v>
      </c>
      <c r="H702" s="1">
        <v>0.1</v>
      </c>
      <c r="I702" s="2">
        <v>0.49</v>
      </c>
      <c r="J702" s="1">
        <v>0.02</v>
      </c>
      <c r="K702" s="2">
        <v>0.51</v>
      </c>
      <c r="L702" s="2">
        <v>13.55</v>
      </c>
      <c r="M702" s="1">
        <v>3.72</v>
      </c>
      <c r="N702" s="1">
        <v>0.25</v>
      </c>
      <c r="O702" s="1">
        <v>0.01</v>
      </c>
      <c r="P702" s="1">
        <v>0.39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 t="s">
        <v>3472</v>
      </c>
      <c r="W702" s="1" t="s">
        <v>3482</v>
      </c>
    </row>
    <row r="703" spans="1:23" ht="13.2">
      <c r="A703" s="1">
        <v>702</v>
      </c>
      <c r="B703" s="1" t="s">
        <v>3483</v>
      </c>
      <c r="C703" s="1" t="s">
        <v>51</v>
      </c>
      <c r="D703" s="1">
        <v>53.02</v>
      </c>
      <c r="E703" s="1">
        <v>0.04</v>
      </c>
      <c r="F703" s="1">
        <v>29.56</v>
      </c>
      <c r="G703" s="1">
        <v>0</v>
      </c>
      <c r="H703" s="1">
        <v>0.13</v>
      </c>
      <c r="I703" s="2">
        <v>0.32</v>
      </c>
      <c r="J703" s="1">
        <v>0.01</v>
      </c>
      <c r="K703" s="2">
        <v>0.3</v>
      </c>
      <c r="L703" s="2">
        <v>12.67</v>
      </c>
      <c r="M703" s="1">
        <v>4.18</v>
      </c>
      <c r="N703" s="1">
        <v>0.27</v>
      </c>
      <c r="O703" s="1">
        <v>0.01</v>
      </c>
      <c r="P703" s="1">
        <v>0.16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 t="s">
        <v>3472</v>
      </c>
      <c r="W703" s="1" t="s">
        <v>3484</v>
      </c>
    </row>
    <row r="704" spans="1:23" ht="13.2">
      <c r="A704" s="1">
        <v>703</v>
      </c>
      <c r="B704" s="1" t="s">
        <v>3485</v>
      </c>
      <c r="C704" s="1" t="s">
        <v>3486</v>
      </c>
      <c r="D704" s="1">
        <v>36.69</v>
      </c>
      <c r="E704" s="1">
        <v>0</v>
      </c>
      <c r="F704" s="1">
        <v>10.4</v>
      </c>
      <c r="G704" s="1">
        <v>0</v>
      </c>
      <c r="H704" s="1">
        <v>0</v>
      </c>
      <c r="I704" s="2">
        <v>43.94</v>
      </c>
      <c r="J704" s="1">
        <v>0</v>
      </c>
      <c r="K704" s="2">
        <v>0</v>
      </c>
      <c r="L704" s="2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 t="s">
        <v>3487</v>
      </c>
      <c r="W704" s="1" t="s">
        <v>3488</v>
      </c>
    </row>
    <row r="705" spans="1:23" ht="26.4">
      <c r="A705" s="1">
        <v>704</v>
      </c>
      <c r="B705" s="1" t="s">
        <v>3489</v>
      </c>
      <c r="C705" s="1" t="s">
        <v>3486</v>
      </c>
      <c r="D705" s="1">
        <v>24.51</v>
      </c>
      <c r="E705" s="1">
        <v>0</v>
      </c>
      <c r="F705" s="1">
        <v>20.83</v>
      </c>
      <c r="G705" s="1">
        <v>0</v>
      </c>
      <c r="H705" s="1">
        <v>16.309999999999999</v>
      </c>
      <c r="I705" s="2">
        <v>29.35</v>
      </c>
      <c r="J705" s="1">
        <v>0</v>
      </c>
      <c r="K705" s="2">
        <v>0</v>
      </c>
      <c r="L705" s="2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 t="s">
        <v>3490</v>
      </c>
      <c r="W705" s="1" t="s">
        <v>3488</v>
      </c>
    </row>
    <row r="706" spans="1:23" ht="26.4">
      <c r="A706" s="1">
        <v>705</v>
      </c>
      <c r="B706" s="1" t="s">
        <v>3491</v>
      </c>
      <c r="C706" s="1" t="s">
        <v>3486</v>
      </c>
      <c r="D706" s="1">
        <v>32.43</v>
      </c>
      <c r="E706" s="1">
        <v>0</v>
      </c>
      <c r="F706" s="1">
        <v>14.04</v>
      </c>
      <c r="G706" s="1">
        <v>0</v>
      </c>
      <c r="H706" s="1">
        <v>5.7</v>
      </c>
      <c r="I706" s="2">
        <v>38.840000000000003</v>
      </c>
      <c r="J706" s="1">
        <v>0</v>
      </c>
      <c r="K706" s="2">
        <v>0</v>
      </c>
      <c r="L706" s="2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 t="s">
        <v>3492</v>
      </c>
      <c r="W706" s="1" t="s">
        <v>3493</v>
      </c>
    </row>
    <row r="707" spans="1:23" ht="13.2">
      <c r="A707" s="1">
        <v>706</v>
      </c>
      <c r="B707" s="1" t="s">
        <v>3494</v>
      </c>
      <c r="C707" s="1" t="s">
        <v>3486</v>
      </c>
      <c r="D707" s="1">
        <v>24.17</v>
      </c>
      <c r="E707" s="1">
        <v>0</v>
      </c>
      <c r="F707" s="1">
        <v>30.82</v>
      </c>
      <c r="G707" s="1">
        <v>0</v>
      </c>
      <c r="H707" s="1">
        <v>0</v>
      </c>
      <c r="I707" s="2">
        <v>0</v>
      </c>
      <c r="J707" s="1">
        <v>0</v>
      </c>
      <c r="K707" s="2">
        <v>0</v>
      </c>
      <c r="L707" s="2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 t="s">
        <v>3495</v>
      </c>
      <c r="W707" s="1" t="s">
        <v>3496</v>
      </c>
    </row>
    <row r="708" spans="1:23" ht="13.2">
      <c r="A708" s="1">
        <v>707</v>
      </c>
      <c r="B708" s="1" t="s">
        <v>3497</v>
      </c>
      <c r="C708" s="1" t="s">
        <v>2020</v>
      </c>
      <c r="D708" s="1">
        <v>54.46</v>
      </c>
      <c r="E708" s="1">
        <v>0.88</v>
      </c>
      <c r="F708" s="1">
        <v>13.85</v>
      </c>
      <c r="G708" s="1">
        <v>0</v>
      </c>
      <c r="H708" s="1">
        <v>12.45</v>
      </c>
      <c r="I708" s="2">
        <v>0</v>
      </c>
      <c r="J708" s="1">
        <v>0.18</v>
      </c>
      <c r="K708" s="2">
        <v>4.05</v>
      </c>
      <c r="L708" s="2">
        <v>9.16</v>
      </c>
      <c r="M708" s="1">
        <v>2</v>
      </c>
      <c r="N708" s="1">
        <v>1.1299999999999999</v>
      </c>
      <c r="O708" s="1">
        <v>0.12</v>
      </c>
      <c r="P708" s="1">
        <v>0.82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/>
      <c r="W708" s="1" t="s">
        <v>3498</v>
      </c>
    </row>
    <row r="709" spans="1:23" ht="13.2">
      <c r="A709" s="1">
        <v>708</v>
      </c>
      <c r="B709" s="1" t="s">
        <v>3499</v>
      </c>
      <c r="C709" s="1" t="s">
        <v>2020</v>
      </c>
      <c r="D709" s="1">
        <v>50.12</v>
      </c>
      <c r="E709" s="1">
        <v>1.98</v>
      </c>
      <c r="F709" s="1">
        <v>13.93</v>
      </c>
      <c r="G709" s="1">
        <v>0</v>
      </c>
      <c r="H709" s="1">
        <v>13.42</v>
      </c>
      <c r="I709" s="2">
        <v>0</v>
      </c>
      <c r="J709" s="1">
        <v>0.22</v>
      </c>
      <c r="K709" s="2">
        <v>6.32</v>
      </c>
      <c r="L709" s="2">
        <v>10.81</v>
      </c>
      <c r="M709" s="1">
        <v>2.5499999999999998</v>
      </c>
      <c r="N709" s="1">
        <v>0.3</v>
      </c>
      <c r="O709" s="1">
        <v>0.21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/>
      <c r="W709" s="1"/>
    </row>
    <row r="710" spans="1:23" ht="13.2">
      <c r="A710" s="1">
        <v>709</v>
      </c>
      <c r="B710" s="1" t="s">
        <v>3500</v>
      </c>
      <c r="C710" s="1" t="s">
        <v>2020</v>
      </c>
      <c r="D710" s="1">
        <v>50.22</v>
      </c>
      <c r="E710" s="1">
        <v>1.98</v>
      </c>
      <c r="F710" s="1">
        <v>14.05</v>
      </c>
      <c r="G710" s="1">
        <v>0</v>
      </c>
      <c r="H710" s="1">
        <v>13.44</v>
      </c>
      <c r="I710" s="2">
        <v>0</v>
      </c>
      <c r="J710" s="1">
        <v>0.22</v>
      </c>
      <c r="K710" s="2">
        <v>6.39</v>
      </c>
      <c r="L710" s="2">
        <v>10.92</v>
      </c>
      <c r="M710" s="1">
        <v>2.52</v>
      </c>
      <c r="N710" s="1">
        <v>0.28999999999999998</v>
      </c>
      <c r="O710" s="1">
        <v>0.21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/>
      <c r="W710" s="1"/>
    </row>
    <row r="711" spans="1:23" ht="13.2">
      <c r="A711" s="1">
        <v>710</v>
      </c>
      <c r="B711" s="1" t="s">
        <v>3501</v>
      </c>
      <c r="C711" s="1" t="s">
        <v>2020</v>
      </c>
      <c r="D711" s="1">
        <v>70.75</v>
      </c>
      <c r="E711" s="1">
        <v>0.91</v>
      </c>
      <c r="F711" s="1">
        <v>12.65</v>
      </c>
      <c r="G711" s="1">
        <v>0</v>
      </c>
      <c r="H711" s="1">
        <v>4.78</v>
      </c>
      <c r="I711" s="2">
        <v>0</v>
      </c>
      <c r="J711" s="1">
        <v>0.12</v>
      </c>
      <c r="K711" s="2">
        <v>1.1200000000000001</v>
      </c>
      <c r="L711" s="2">
        <v>2.94</v>
      </c>
      <c r="M711" s="1">
        <v>3.83</v>
      </c>
      <c r="N711" s="1">
        <v>2.2400000000000002</v>
      </c>
      <c r="O711" s="1">
        <v>0.18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/>
      <c r="W711" s="1"/>
    </row>
    <row r="712" spans="1:23" ht="13.2">
      <c r="A712" s="1">
        <v>711</v>
      </c>
      <c r="B712" s="1" t="s">
        <v>3502</v>
      </c>
      <c r="C712" s="1" t="s">
        <v>2020</v>
      </c>
      <c r="D712" s="1">
        <v>49.35</v>
      </c>
      <c r="E712" s="1">
        <v>1.81</v>
      </c>
      <c r="F712" s="1">
        <v>14.86</v>
      </c>
      <c r="G712" s="1">
        <v>0</v>
      </c>
      <c r="H712" s="1">
        <v>13.19</v>
      </c>
      <c r="I712" s="2">
        <v>0</v>
      </c>
      <c r="J712" s="1">
        <v>0.22</v>
      </c>
      <c r="K712" s="2">
        <v>7.22</v>
      </c>
      <c r="L712" s="2">
        <v>10.91</v>
      </c>
      <c r="M712" s="1">
        <v>2.27</v>
      </c>
      <c r="N712" s="1">
        <v>0.28999999999999998</v>
      </c>
      <c r="O712" s="1">
        <v>0.19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/>
      <c r="W712" s="1"/>
    </row>
    <row r="713" spans="1:23" ht="13.2">
      <c r="A713" s="1">
        <v>712</v>
      </c>
      <c r="B713" s="1" t="s">
        <v>3503</v>
      </c>
      <c r="C713" s="1" t="s">
        <v>2020</v>
      </c>
      <c r="D713" s="1">
        <v>50.17</v>
      </c>
      <c r="E713" s="1">
        <v>2.37</v>
      </c>
      <c r="F713" s="1">
        <v>13.98</v>
      </c>
      <c r="G713" s="1">
        <v>0</v>
      </c>
      <c r="H713" s="1">
        <v>13.5</v>
      </c>
      <c r="I713" s="2">
        <v>0</v>
      </c>
      <c r="J713" s="1">
        <v>0.22</v>
      </c>
      <c r="K713" s="2">
        <v>6.05</v>
      </c>
      <c r="L713" s="2">
        <v>10.23</v>
      </c>
      <c r="M713" s="1">
        <v>2.61</v>
      </c>
      <c r="N713" s="1">
        <v>0.46</v>
      </c>
      <c r="O713" s="1">
        <v>0.26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/>
      <c r="W713" s="1"/>
    </row>
    <row r="714" spans="1:23" ht="13.2">
      <c r="A714" s="1">
        <v>713</v>
      </c>
      <c r="B714" s="1" t="s">
        <v>3504</v>
      </c>
      <c r="C714" s="1" t="s">
        <v>2020</v>
      </c>
      <c r="D714" s="1">
        <v>50.53</v>
      </c>
      <c r="E714" s="1">
        <v>2.39</v>
      </c>
      <c r="F714" s="1">
        <v>14.08</v>
      </c>
      <c r="G714" s="1">
        <v>0</v>
      </c>
      <c r="H714" s="1">
        <v>13.47</v>
      </c>
      <c r="I714" s="2">
        <v>0</v>
      </c>
      <c r="J714" s="1">
        <v>0.22</v>
      </c>
      <c r="K714" s="2">
        <v>5.99</v>
      </c>
      <c r="L714" s="2">
        <v>10.14</v>
      </c>
      <c r="M714" s="1">
        <v>2.68</v>
      </c>
      <c r="N714" s="1">
        <v>0.47</v>
      </c>
      <c r="O714" s="1">
        <v>0.26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/>
      <c r="W714" s="1"/>
    </row>
    <row r="715" spans="1:23" ht="13.2">
      <c r="A715" s="1">
        <v>714</v>
      </c>
      <c r="B715" s="1" t="s">
        <v>3505</v>
      </c>
      <c r="C715" s="1" t="s">
        <v>2020</v>
      </c>
      <c r="D715" s="1">
        <v>50.33</v>
      </c>
      <c r="E715" s="1">
        <v>2.0699999999999998</v>
      </c>
      <c r="F715" s="1">
        <v>14.06</v>
      </c>
      <c r="G715" s="1">
        <v>0</v>
      </c>
      <c r="H715" s="1">
        <v>13.56</v>
      </c>
      <c r="I715" s="2">
        <v>0</v>
      </c>
      <c r="J715" s="1">
        <v>0.22</v>
      </c>
      <c r="K715" s="2">
        <v>6.21</v>
      </c>
      <c r="L715" s="2">
        <v>10.67</v>
      </c>
      <c r="M715" s="1">
        <v>2.59</v>
      </c>
      <c r="N715" s="1">
        <v>0.31</v>
      </c>
      <c r="O715" s="1">
        <v>0.23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/>
      <c r="W715" s="1"/>
    </row>
    <row r="716" spans="1:23" ht="13.2">
      <c r="A716" s="1">
        <v>715</v>
      </c>
      <c r="B716" s="1" t="s">
        <v>3506</v>
      </c>
      <c r="C716" s="1" t="s">
        <v>2020</v>
      </c>
      <c r="D716" s="1">
        <v>50.08</v>
      </c>
      <c r="E716" s="1">
        <v>1.92</v>
      </c>
      <c r="F716" s="1">
        <v>14.16</v>
      </c>
      <c r="G716" s="1">
        <v>0</v>
      </c>
      <c r="H716" s="1">
        <v>13.28</v>
      </c>
      <c r="I716" s="2">
        <v>0</v>
      </c>
      <c r="J716" s="1">
        <v>0.22</v>
      </c>
      <c r="K716" s="2">
        <v>6.66</v>
      </c>
      <c r="L716" s="2">
        <v>11.16</v>
      </c>
      <c r="M716" s="1">
        <v>2.4300000000000002</v>
      </c>
      <c r="N716" s="1">
        <v>0.27</v>
      </c>
      <c r="O716" s="1">
        <v>0.2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/>
      <c r="W716" s="1"/>
    </row>
    <row r="717" spans="1:23" ht="13.2">
      <c r="A717" s="1">
        <v>716</v>
      </c>
      <c r="B717" s="1" t="s">
        <v>3507</v>
      </c>
      <c r="C717" s="1" t="s">
        <v>2020</v>
      </c>
      <c r="D717" s="1">
        <v>49.64</v>
      </c>
      <c r="E717" s="1">
        <v>1.75</v>
      </c>
      <c r="F717" s="1">
        <v>14.56</v>
      </c>
      <c r="G717" s="1">
        <v>0</v>
      </c>
      <c r="H717" s="1">
        <v>12.84</v>
      </c>
      <c r="I717" s="2">
        <v>0</v>
      </c>
      <c r="J717" s="1">
        <v>0.21</v>
      </c>
      <c r="K717" s="2">
        <v>6.9</v>
      </c>
      <c r="L717" s="2">
        <v>11.62</v>
      </c>
      <c r="M717" s="1">
        <v>2.2400000000000002</v>
      </c>
      <c r="N717" s="1">
        <v>0.22</v>
      </c>
      <c r="O717" s="1">
        <v>0.17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/>
      <c r="W717" s="1"/>
    </row>
    <row r="718" spans="1:23" ht="13.2">
      <c r="A718" s="1">
        <v>717</v>
      </c>
      <c r="B718" s="1" t="s">
        <v>3508</v>
      </c>
      <c r="C718" s="1" t="s">
        <v>2020</v>
      </c>
      <c r="D718" s="1">
        <v>49.85</v>
      </c>
      <c r="E718" s="1">
        <v>1.83</v>
      </c>
      <c r="F718" s="1">
        <v>14.23</v>
      </c>
      <c r="G718" s="1">
        <v>0</v>
      </c>
      <c r="H718" s="1">
        <v>13.12</v>
      </c>
      <c r="I718" s="2">
        <v>0</v>
      </c>
      <c r="J718" s="1">
        <v>0.22</v>
      </c>
      <c r="K718" s="2">
        <v>6.81</v>
      </c>
      <c r="L718" s="2">
        <v>11.44</v>
      </c>
      <c r="M718" s="1">
        <v>2.44</v>
      </c>
      <c r="N718" s="1">
        <v>0.24</v>
      </c>
      <c r="O718" s="1">
        <v>0.18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/>
      <c r="W718" s="1"/>
    </row>
    <row r="719" spans="1:23" ht="13.2">
      <c r="A719" s="1">
        <v>718</v>
      </c>
      <c r="B719" s="1" t="s">
        <v>3509</v>
      </c>
      <c r="C719" s="1" t="s">
        <v>2020</v>
      </c>
      <c r="D719" s="1">
        <v>49.6</v>
      </c>
      <c r="E719" s="1">
        <v>1.83</v>
      </c>
      <c r="F719" s="1">
        <v>13.77</v>
      </c>
      <c r="G719" s="1">
        <v>0</v>
      </c>
      <c r="H719" s="1">
        <v>15.37</v>
      </c>
      <c r="I719" s="2">
        <v>0</v>
      </c>
      <c r="J719" s="1">
        <v>0.24</v>
      </c>
      <c r="K719" s="2">
        <v>6.38</v>
      </c>
      <c r="L719" s="2">
        <v>10.06</v>
      </c>
      <c r="M719" s="1">
        <v>2.4700000000000002</v>
      </c>
      <c r="N719" s="1">
        <v>0.28999999999999998</v>
      </c>
      <c r="O719" s="1">
        <v>0.18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/>
      <c r="W719" s="1"/>
    </row>
    <row r="720" spans="1:23" ht="13.2">
      <c r="A720" s="1">
        <v>719</v>
      </c>
      <c r="B720" s="1" t="s">
        <v>3510</v>
      </c>
      <c r="C720" s="1" t="s">
        <v>2020</v>
      </c>
      <c r="D720" s="1">
        <v>49.56</v>
      </c>
      <c r="E720" s="1">
        <v>1.78</v>
      </c>
      <c r="F720" s="1">
        <v>13.63</v>
      </c>
      <c r="G720" s="1">
        <v>0</v>
      </c>
      <c r="H720" s="1">
        <v>15.35</v>
      </c>
      <c r="I720" s="2">
        <v>0</v>
      </c>
      <c r="J720" s="1">
        <v>0.24</v>
      </c>
      <c r="K720" s="2">
        <v>6.57</v>
      </c>
      <c r="L720" s="2">
        <v>10.17</v>
      </c>
      <c r="M720" s="1">
        <v>2.44</v>
      </c>
      <c r="N720" s="1">
        <v>0.28000000000000003</v>
      </c>
      <c r="O720" s="1">
        <v>0.17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/>
      <c r="W720" s="1"/>
    </row>
    <row r="721" spans="1:23" ht="13.2">
      <c r="A721" s="1">
        <v>720</v>
      </c>
      <c r="B721" s="1" t="s">
        <v>3511</v>
      </c>
      <c r="C721" s="1" t="s">
        <v>2026</v>
      </c>
      <c r="D721" s="1">
        <v>40.4</v>
      </c>
      <c r="E721" s="1">
        <v>0</v>
      </c>
      <c r="F721" s="1">
        <v>0</v>
      </c>
      <c r="G721" s="1">
        <v>0</v>
      </c>
      <c r="H721" s="1">
        <v>0</v>
      </c>
      <c r="I721" s="2">
        <v>8.9</v>
      </c>
      <c r="J721" s="1">
        <v>0.13</v>
      </c>
      <c r="K721" s="2">
        <v>49.8</v>
      </c>
      <c r="L721" s="2">
        <v>7.0000000000000007E-2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3900</v>
      </c>
      <c r="S721" s="1">
        <v>0</v>
      </c>
      <c r="T721" s="1">
        <v>0</v>
      </c>
      <c r="U721" s="1">
        <v>0</v>
      </c>
      <c r="V721" s="1"/>
      <c r="W721" s="1"/>
    </row>
    <row r="722" spans="1:23" ht="13.2">
      <c r="A722" s="1">
        <v>721</v>
      </c>
      <c r="B722" s="1" t="s">
        <v>1282</v>
      </c>
      <c r="C722" s="1" t="s">
        <v>2670</v>
      </c>
      <c r="D722" s="1">
        <v>50.56</v>
      </c>
      <c r="E722" s="1">
        <v>0.57999999999999996</v>
      </c>
      <c r="F722" s="1">
        <v>1.41</v>
      </c>
      <c r="G722" s="1">
        <v>0</v>
      </c>
      <c r="H722" s="1">
        <v>0.12</v>
      </c>
      <c r="I722" s="2">
        <v>23.17</v>
      </c>
      <c r="J722" s="1">
        <v>0</v>
      </c>
      <c r="K722" s="2">
        <v>16.100000000000001</v>
      </c>
      <c r="L722" s="2">
        <v>7.05</v>
      </c>
      <c r="M722" s="1">
        <v>0.26</v>
      </c>
      <c r="N722" s="1">
        <v>0.23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 t="s">
        <v>3512</v>
      </c>
      <c r="W722" s="1" t="s">
        <v>3513</v>
      </c>
    </row>
    <row r="723" spans="1:23" ht="13.2">
      <c r="A723" s="1">
        <v>722</v>
      </c>
      <c r="B723" s="1" t="s">
        <v>3514</v>
      </c>
      <c r="C723" s="1" t="s">
        <v>3515</v>
      </c>
      <c r="D723" s="1">
        <v>52.48</v>
      </c>
      <c r="E723" s="1">
        <v>0.67</v>
      </c>
      <c r="F723" s="1">
        <v>0.96</v>
      </c>
      <c r="G723" s="1">
        <v>0</v>
      </c>
      <c r="H723" s="1">
        <v>31.74</v>
      </c>
      <c r="I723" s="2">
        <v>0.93</v>
      </c>
      <c r="J723" s="1">
        <v>0.1</v>
      </c>
      <c r="K723" s="2">
        <v>0.15</v>
      </c>
      <c r="L723" s="2">
        <v>0.28000000000000003</v>
      </c>
      <c r="M723" s="1">
        <v>12.05</v>
      </c>
      <c r="N723" s="1">
        <v>0.35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 t="s">
        <v>3512</v>
      </c>
      <c r="W723" s="1"/>
    </row>
    <row r="724" spans="1:23" ht="13.2">
      <c r="A724" s="1">
        <v>723</v>
      </c>
      <c r="B724" s="1" t="s">
        <v>3516</v>
      </c>
      <c r="C724" s="1" t="s">
        <v>3517</v>
      </c>
      <c r="D724" s="1">
        <v>62.91</v>
      </c>
      <c r="E724" s="1">
        <v>0</v>
      </c>
      <c r="F724" s="1">
        <v>28.42</v>
      </c>
      <c r="G724" s="1">
        <v>0</v>
      </c>
      <c r="H724" s="1">
        <v>0.53</v>
      </c>
      <c r="I724" s="2">
        <v>0</v>
      </c>
      <c r="J724" s="1">
        <v>0</v>
      </c>
      <c r="K724" s="2">
        <v>0.13</v>
      </c>
      <c r="L724" s="2">
        <v>0.11</v>
      </c>
      <c r="M724" s="1">
        <v>0.46</v>
      </c>
      <c r="N724" s="1">
        <v>0.69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 t="s">
        <v>3512</v>
      </c>
      <c r="W724" s="1" t="s">
        <v>3518</v>
      </c>
    </row>
    <row r="725" spans="1:23" ht="13.2">
      <c r="A725" s="1">
        <v>724</v>
      </c>
      <c r="B725" s="1" t="s">
        <v>3519</v>
      </c>
      <c r="C725" s="1" t="s">
        <v>3520</v>
      </c>
      <c r="D725" s="1">
        <v>56.54</v>
      </c>
      <c r="E725" s="1">
        <v>0.44</v>
      </c>
      <c r="F725" s="1">
        <v>18.38</v>
      </c>
      <c r="G725" s="1">
        <v>0</v>
      </c>
      <c r="H725" s="1">
        <v>5.67</v>
      </c>
      <c r="I725" s="2">
        <v>1.05</v>
      </c>
      <c r="J725" s="1">
        <v>0.1</v>
      </c>
      <c r="K725" s="2">
        <v>1.44</v>
      </c>
      <c r="L725" s="2">
        <v>2.69</v>
      </c>
      <c r="M725" s="1">
        <v>13</v>
      </c>
      <c r="N725" s="1">
        <v>0.03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 t="s">
        <v>3512</v>
      </c>
      <c r="W725" s="1" t="s">
        <v>3521</v>
      </c>
    </row>
    <row r="726" spans="1:23" ht="13.2">
      <c r="A726" s="1">
        <v>725</v>
      </c>
      <c r="B726" s="1" t="s">
        <v>3522</v>
      </c>
      <c r="C726" s="1" t="s">
        <v>2578</v>
      </c>
      <c r="D726" s="1">
        <v>45.5</v>
      </c>
      <c r="E726" s="1">
        <v>0.4</v>
      </c>
      <c r="F726" s="1">
        <v>7.9</v>
      </c>
      <c r="G726" s="1">
        <v>0</v>
      </c>
      <c r="H726" s="1">
        <v>21.4</v>
      </c>
      <c r="I726" s="2">
        <v>0</v>
      </c>
      <c r="J726" s="1">
        <v>0</v>
      </c>
      <c r="K726" s="2">
        <v>17.2</v>
      </c>
      <c r="L726" s="2">
        <v>8.6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/>
      <c r="W726" s="1"/>
    </row>
    <row r="727" spans="1:23" ht="13.2">
      <c r="A727" s="1">
        <v>726</v>
      </c>
      <c r="B727" s="5" t="s">
        <v>3523</v>
      </c>
      <c r="C727" s="1" t="s">
        <v>2578</v>
      </c>
      <c r="D727" s="1">
        <v>46.1</v>
      </c>
      <c r="E727" s="1">
        <v>1.6</v>
      </c>
      <c r="F727" s="1">
        <v>14.3</v>
      </c>
      <c r="G727" s="1">
        <v>0</v>
      </c>
      <c r="H727" s="1">
        <v>15.2</v>
      </c>
      <c r="I727" s="2">
        <v>0</v>
      </c>
      <c r="J727" s="1">
        <v>0</v>
      </c>
      <c r="K727" s="2">
        <v>12.5</v>
      </c>
      <c r="L727" s="2">
        <v>10.4</v>
      </c>
      <c r="M727" s="1">
        <v>0.8</v>
      </c>
      <c r="N727" s="1">
        <v>0.1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/>
      <c r="W727" s="1"/>
    </row>
    <row r="728" spans="1:23" ht="13.2">
      <c r="A728" s="1">
        <v>727</v>
      </c>
      <c r="B728" s="5" t="s">
        <v>3524</v>
      </c>
      <c r="C728" s="1" t="s">
        <v>2578</v>
      </c>
      <c r="D728" s="1">
        <v>46.26</v>
      </c>
      <c r="E728" s="1">
        <v>0.98</v>
      </c>
      <c r="F728" s="1">
        <v>12.98</v>
      </c>
      <c r="G728" s="1">
        <v>0</v>
      </c>
      <c r="H728" s="1">
        <v>21.5</v>
      </c>
      <c r="I728" s="2">
        <v>0</v>
      </c>
      <c r="J728" s="1">
        <v>0</v>
      </c>
      <c r="K728" s="2">
        <v>6.47</v>
      </c>
      <c r="L728" s="2">
        <v>12.73</v>
      </c>
      <c r="M728" s="1">
        <v>0.28999999999999998</v>
      </c>
      <c r="N728" s="1">
        <v>0.04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/>
      <c r="W728" s="1"/>
    </row>
    <row r="729" spans="1:23" ht="13.2">
      <c r="A729" s="1">
        <v>728</v>
      </c>
      <c r="B729" s="5" t="s">
        <v>3525</v>
      </c>
      <c r="C729" s="1" t="s">
        <v>2578</v>
      </c>
      <c r="D729" s="1">
        <v>44.97</v>
      </c>
      <c r="E729" s="1">
        <v>0.3</v>
      </c>
      <c r="F729" s="1">
        <v>26.74</v>
      </c>
      <c r="G729" s="1">
        <v>0</v>
      </c>
      <c r="H729" s="1">
        <v>5.25</v>
      </c>
      <c r="I729" s="2">
        <v>0</v>
      </c>
      <c r="J729" s="1">
        <v>0</v>
      </c>
      <c r="K729" s="2">
        <v>6.86</v>
      </c>
      <c r="L729" s="2">
        <v>15.64</v>
      </c>
      <c r="M729" s="1">
        <v>0.23</v>
      </c>
      <c r="N729" s="1">
        <v>0.05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/>
      <c r="W729" s="1"/>
    </row>
    <row r="730" spans="1:23" ht="13.2">
      <c r="A730" s="1">
        <v>729</v>
      </c>
      <c r="B730" s="5" t="s">
        <v>3526</v>
      </c>
      <c r="C730" s="1" t="s">
        <v>2578</v>
      </c>
      <c r="D730" s="1">
        <v>50.19</v>
      </c>
      <c r="E730" s="1">
        <v>0</v>
      </c>
      <c r="F730" s="1">
        <v>13.45</v>
      </c>
      <c r="G730" s="1">
        <v>0</v>
      </c>
      <c r="H730" s="1">
        <v>0</v>
      </c>
      <c r="I730" s="2">
        <v>0</v>
      </c>
      <c r="J730" s="1">
        <v>0</v>
      </c>
      <c r="K730" s="2">
        <v>14.17</v>
      </c>
      <c r="L730" s="2">
        <v>22.19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/>
      <c r="W730" s="1"/>
    </row>
    <row r="731" spans="1:23" ht="13.2">
      <c r="A731" s="1">
        <v>730</v>
      </c>
      <c r="B731" s="1" t="s">
        <v>3527</v>
      </c>
      <c r="C731" s="1" t="s">
        <v>2578</v>
      </c>
      <c r="D731" s="1">
        <v>41.65</v>
      </c>
      <c r="E731" s="1">
        <v>4.8499999999999996</v>
      </c>
      <c r="F731" s="1">
        <v>7.63</v>
      </c>
      <c r="G731" s="1">
        <v>0</v>
      </c>
      <c r="H731" s="1">
        <v>0</v>
      </c>
      <c r="I731" s="2">
        <v>22.42</v>
      </c>
      <c r="J731" s="1">
        <v>0.35</v>
      </c>
      <c r="K731" s="2">
        <v>13.06</v>
      </c>
      <c r="L731" s="2">
        <v>8.41</v>
      </c>
      <c r="M731" s="1">
        <v>0.45</v>
      </c>
      <c r="N731" s="1">
        <v>0.05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 t="s">
        <v>3528</v>
      </c>
      <c r="W731" s="1"/>
    </row>
    <row r="732" spans="1:23" ht="13.2">
      <c r="A732" s="1">
        <v>731</v>
      </c>
      <c r="B732" s="1" t="s">
        <v>3529</v>
      </c>
      <c r="C732" s="1" t="s">
        <v>2578</v>
      </c>
      <c r="D732" s="1">
        <v>41.65</v>
      </c>
      <c r="E732" s="1">
        <v>4.8499999999999996</v>
      </c>
      <c r="F732" s="1">
        <v>7.63</v>
      </c>
      <c r="G732" s="1">
        <v>0</v>
      </c>
      <c r="H732" s="1">
        <v>0</v>
      </c>
      <c r="I732" s="2">
        <v>22.42</v>
      </c>
      <c r="J732" s="1">
        <v>0.35</v>
      </c>
      <c r="K732" s="2">
        <v>13.06</v>
      </c>
      <c r="L732" s="2">
        <v>8.41</v>
      </c>
      <c r="M732" s="1">
        <v>0.45</v>
      </c>
      <c r="N732" s="1">
        <v>0.05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 t="s">
        <v>3528</v>
      </c>
      <c r="W732" s="1"/>
    </row>
    <row r="733" spans="1:23" ht="13.2">
      <c r="A733" s="1">
        <v>732</v>
      </c>
      <c r="B733" s="1" t="s">
        <v>3530</v>
      </c>
      <c r="C733" s="1" t="s">
        <v>2578</v>
      </c>
      <c r="D733" s="1">
        <v>41.65</v>
      </c>
      <c r="E733" s="1">
        <v>4.8499999999999996</v>
      </c>
      <c r="F733" s="1">
        <v>7.63</v>
      </c>
      <c r="G733" s="1">
        <v>0</v>
      </c>
      <c r="H733" s="1">
        <v>0</v>
      </c>
      <c r="I733" s="2">
        <v>22.42</v>
      </c>
      <c r="J733" s="1">
        <v>0.35</v>
      </c>
      <c r="K733" s="2">
        <v>13.06</v>
      </c>
      <c r="L733" s="2">
        <v>8.41</v>
      </c>
      <c r="M733" s="1">
        <v>0.45</v>
      </c>
      <c r="N733" s="1">
        <v>0.05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 t="s">
        <v>3528</v>
      </c>
      <c r="W733" s="1"/>
    </row>
    <row r="734" spans="1:23" ht="13.2">
      <c r="A734" s="1">
        <v>733</v>
      </c>
      <c r="B734" s="1" t="s">
        <v>3531</v>
      </c>
      <c r="C734" s="1" t="s">
        <v>2578</v>
      </c>
      <c r="D734" s="1">
        <v>37.75</v>
      </c>
      <c r="E734" s="1">
        <v>9.99</v>
      </c>
      <c r="F734" s="1">
        <v>6.57</v>
      </c>
      <c r="G734" s="1">
        <v>0</v>
      </c>
      <c r="H734" s="1">
        <v>0</v>
      </c>
      <c r="I734" s="2">
        <v>22.64</v>
      </c>
      <c r="J734" s="1">
        <v>0.28999999999999998</v>
      </c>
      <c r="K734" s="2">
        <v>13.82</v>
      </c>
      <c r="L734" s="2">
        <v>7.55</v>
      </c>
      <c r="M734" s="1">
        <v>0.37</v>
      </c>
      <c r="N734" s="1">
        <v>0.06</v>
      </c>
      <c r="O734" s="1">
        <v>0.03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 t="s">
        <v>3528</v>
      </c>
      <c r="W734" s="1"/>
    </row>
    <row r="735" spans="1:23" ht="13.2">
      <c r="A735" s="1">
        <v>734</v>
      </c>
      <c r="B735" s="5" t="s">
        <v>3532</v>
      </c>
      <c r="C735" s="1" t="s">
        <v>2578</v>
      </c>
      <c r="D735" s="1">
        <v>56.5</v>
      </c>
      <c r="E735" s="1">
        <v>0.67</v>
      </c>
      <c r="F735" s="1">
        <v>16.600000000000001</v>
      </c>
      <c r="G735" s="1">
        <v>0</v>
      </c>
      <c r="H735" s="1">
        <v>6.89</v>
      </c>
      <c r="I735" s="2">
        <v>0</v>
      </c>
      <c r="J735" s="1">
        <v>0.12</v>
      </c>
      <c r="K735" s="2">
        <v>6</v>
      </c>
      <c r="L735" s="2">
        <v>8.23</v>
      </c>
      <c r="M735" s="1">
        <v>3.16</v>
      </c>
      <c r="N735" s="1">
        <v>1.48</v>
      </c>
      <c r="O735" s="1">
        <v>0.11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/>
      <c r="W735" s="1"/>
    </row>
    <row r="736" spans="1:23" ht="13.2">
      <c r="A736" s="1">
        <v>735</v>
      </c>
      <c r="B736" s="5" t="s">
        <v>3533</v>
      </c>
      <c r="C736" s="1" t="s">
        <v>2578</v>
      </c>
      <c r="D736" s="1">
        <v>61.2</v>
      </c>
      <c r="E736" s="1">
        <v>0.68</v>
      </c>
      <c r="F736" s="1">
        <v>16.22</v>
      </c>
      <c r="G736" s="1">
        <v>0</v>
      </c>
      <c r="H736" s="1">
        <v>0.67</v>
      </c>
      <c r="I736" s="2">
        <v>3.81</v>
      </c>
      <c r="J736" s="1">
        <v>0.09</v>
      </c>
      <c r="K736" s="2">
        <v>4.18</v>
      </c>
      <c r="L736" s="2">
        <v>6.56</v>
      </c>
      <c r="M736" s="1">
        <v>4.0599999999999996</v>
      </c>
      <c r="N736" s="1">
        <v>1.03</v>
      </c>
      <c r="O736" s="1">
        <v>0.23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/>
      <c r="W736" s="1" t="s">
        <v>3534</v>
      </c>
    </row>
    <row r="737" spans="1:23" ht="13.2">
      <c r="A737" s="1">
        <v>736</v>
      </c>
      <c r="B737" s="5" t="s">
        <v>3535</v>
      </c>
      <c r="C737" s="1" t="s">
        <v>2578</v>
      </c>
      <c r="D737" s="1">
        <v>65.28</v>
      </c>
      <c r="E737" s="1">
        <v>0.49</v>
      </c>
      <c r="F737" s="1">
        <v>16.7</v>
      </c>
      <c r="G737" s="1">
        <v>0</v>
      </c>
      <c r="H737" s="1">
        <v>1.48</v>
      </c>
      <c r="I737" s="2">
        <v>2.0299999999999998</v>
      </c>
      <c r="J737" s="1">
        <v>0.06</v>
      </c>
      <c r="K737" s="2">
        <v>2.5499999999999998</v>
      </c>
      <c r="L737" s="2">
        <v>5.23</v>
      </c>
      <c r="M737" s="1">
        <v>4.66</v>
      </c>
      <c r="N737" s="1">
        <v>1.5</v>
      </c>
      <c r="O737" s="1">
        <v>0.12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/>
      <c r="W737" s="1" t="s">
        <v>3536</v>
      </c>
    </row>
    <row r="738" spans="1:23" ht="13.2">
      <c r="A738" s="1">
        <v>737</v>
      </c>
      <c r="B738" s="5" t="s">
        <v>3537</v>
      </c>
      <c r="C738" s="1" t="s">
        <v>2578</v>
      </c>
      <c r="D738" s="1">
        <v>68.89</v>
      </c>
      <c r="E738" s="1">
        <v>0.28999999999999998</v>
      </c>
      <c r="F738" s="1">
        <v>14.64</v>
      </c>
      <c r="G738" s="1">
        <v>0</v>
      </c>
      <c r="H738" s="1">
        <v>1.63</v>
      </c>
      <c r="I738" s="2">
        <v>1.03</v>
      </c>
      <c r="J738" s="1">
        <v>7.0000000000000007E-2</v>
      </c>
      <c r="K738" s="2">
        <v>0.47</v>
      </c>
      <c r="L738" s="2">
        <v>1.79</v>
      </c>
      <c r="M738" s="1">
        <v>6</v>
      </c>
      <c r="N738" s="1">
        <v>2.74</v>
      </c>
      <c r="O738" s="1">
        <v>0.09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/>
      <c r="W738" s="1" t="s">
        <v>3538</v>
      </c>
    </row>
    <row r="739" spans="1:23" ht="39.6">
      <c r="A739" s="1">
        <v>738</v>
      </c>
      <c r="B739" s="5" t="s">
        <v>3539</v>
      </c>
      <c r="C739" s="1" t="s">
        <v>2020</v>
      </c>
      <c r="D739" s="1">
        <v>61</v>
      </c>
      <c r="E739" s="1">
        <v>0.4</v>
      </c>
      <c r="F739" s="1">
        <v>12</v>
      </c>
      <c r="G739" s="1">
        <v>0.02</v>
      </c>
      <c r="H739" s="1">
        <v>15</v>
      </c>
      <c r="I739" s="2">
        <v>0</v>
      </c>
      <c r="J739" s="1">
        <v>0.12</v>
      </c>
      <c r="K739" s="2">
        <v>6</v>
      </c>
      <c r="L739" s="2">
        <v>3</v>
      </c>
      <c r="M739" s="1">
        <v>1.5</v>
      </c>
      <c r="N739" s="1">
        <v>0.5</v>
      </c>
      <c r="O739" s="1">
        <v>0.05</v>
      </c>
      <c r="P739" s="1">
        <v>0</v>
      </c>
      <c r="Q739" s="1">
        <v>150</v>
      </c>
      <c r="R739" s="1">
        <v>100</v>
      </c>
      <c r="S739" s="1">
        <v>0</v>
      </c>
      <c r="T739" s="1">
        <v>120</v>
      </c>
      <c r="U739" s="1">
        <v>300</v>
      </c>
      <c r="V739" s="1"/>
      <c r="W739" s="1" t="s">
        <v>3540</v>
      </c>
    </row>
    <row r="740" spans="1:23" ht="39.6">
      <c r="A740" s="1">
        <v>739</v>
      </c>
      <c r="B740" s="5" t="s">
        <v>3541</v>
      </c>
      <c r="C740" s="1" t="s">
        <v>2020</v>
      </c>
      <c r="D740" s="1">
        <v>56.7</v>
      </c>
      <c r="E740" s="1">
        <v>0.63</v>
      </c>
      <c r="F740" s="1">
        <v>16.399999999999999</v>
      </c>
      <c r="G740" s="1">
        <v>0.01</v>
      </c>
      <c r="H740" s="1">
        <v>8.65</v>
      </c>
      <c r="I740" s="2">
        <v>0</v>
      </c>
      <c r="J740" s="1">
        <v>0.13</v>
      </c>
      <c r="K740" s="2">
        <v>3.8</v>
      </c>
      <c r="L740" s="2">
        <v>9.58</v>
      </c>
      <c r="M740" s="1">
        <v>2.5499999999999998</v>
      </c>
      <c r="N740" s="1">
        <v>1.24</v>
      </c>
      <c r="O740" s="1">
        <v>0.12</v>
      </c>
      <c r="P740" s="1">
        <v>0</v>
      </c>
      <c r="Q740" s="1">
        <v>100</v>
      </c>
      <c r="R740" s="1">
        <v>70</v>
      </c>
      <c r="S740" s="1">
        <v>0</v>
      </c>
      <c r="T740" s="1">
        <v>90</v>
      </c>
      <c r="U740" s="1">
        <v>300</v>
      </c>
      <c r="V740" s="1"/>
      <c r="W740" s="1" t="s">
        <v>3542</v>
      </c>
    </row>
    <row r="741" spans="1:23" ht="39.6">
      <c r="A741" s="1">
        <v>740</v>
      </c>
      <c r="B741" s="5" t="s">
        <v>3543</v>
      </c>
      <c r="C741" s="1" t="s">
        <v>2020</v>
      </c>
      <c r="D741" s="1">
        <v>56</v>
      </c>
      <c r="E741" s="1">
        <v>0.7</v>
      </c>
      <c r="F741" s="1">
        <v>16</v>
      </c>
      <c r="G741" s="1">
        <v>0.02</v>
      </c>
      <c r="H741" s="1">
        <v>9.4</v>
      </c>
      <c r="I741" s="2">
        <v>0</v>
      </c>
      <c r="J741" s="1">
        <v>0.13</v>
      </c>
      <c r="K741" s="2">
        <v>3.4</v>
      </c>
      <c r="L741" s="2">
        <v>9.5</v>
      </c>
      <c r="M741" s="1">
        <v>2.8</v>
      </c>
      <c r="N741" s="1">
        <v>1.4</v>
      </c>
      <c r="O741" s="1">
        <v>0.15</v>
      </c>
      <c r="P741" s="1">
        <v>0</v>
      </c>
      <c r="Q741" s="1">
        <v>160</v>
      </c>
      <c r="R741" s="1">
        <v>90</v>
      </c>
      <c r="S741" s="1">
        <v>30</v>
      </c>
      <c r="T741" s="1">
        <v>100</v>
      </c>
      <c r="U741" s="1">
        <v>330</v>
      </c>
      <c r="V741" s="1"/>
      <c r="W741" s="1" t="s">
        <v>3544</v>
      </c>
    </row>
    <row r="742" spans="1:23" ht="39.6">
      <c r="A742" s="1">
        <v>741</v>
      </c>
      <c r="B742" s="5" t="s">
        <v>3545</v>
      </c>
      <c r="C742" s="1" t="s">
        <v>2020</v>
      </c>
      <c r="D742" s="1">
        <v>56.7</v>
      </c>
      <c r="E742" s="1">
        <v>0.72</v>
      </c>
      <c r="F742" s="1">
        <v>15.6</v>
      </c>
      <c r="G742" s="1">
        <v>0.02</v>
      </c>
      <c r="H742" s="1">
        <v>9.5</v>
      </c>
      <c r="I742" s="2">
        <v>0</v>
      </c>
      <c r="J742" s="1">
        <v>0.15</v>
      </c>
      <c r="K742" s="2">
        <v>3.85</v>
      </c>
      <c r="L742" s="2">
        <v>9.1</v>
      </c>
      <c r="M742" s="1">
        <v>2.5499999999999998</v>
      </c>
      <c r="N742" s="1">
        <v>1.45</v>
      </c>
      <c r="O742" s="1">
        <v>0.13</v>
      </c>
      <c r="P742" s="1">
        <v>0</v>
      </c>
      <c r="Q742" s="1">
        <v>160</v>
      </c>
      <c r="R742" s="1">
        <v>80</v>
      </c>
      <c r="S742" s="1">
        <v>30</v>
      </c>
      <c r="T742" s="1">
        <v>110</v>
      </c>
      <c r="U742" s="1">
        <v>330</v>
      </c>
      <c r="V742" s="1"/>
      <c r="W742" s="1" t="s">
        <v>3546</v>
      </c>
    </row>
    <row r="743" spans="1:23" ht="39.6">
      <c r="A743" s="1">
        <v>742</v>
      </c>
      <c r="B743" s="5" t="s">
        <v>3547</v>
      </c>
      <c r="C743" s="1" t="s">
        <v>2020</v>
      </c>
      <c r="D743" s="1">
        <v>57</v>
      </c>
      <c r="E743" s="1">
        <v>0.86</v>
      </c>
      <c r="F743" s="1">
        <v>16</v>
      </c>
      <c r="G743" s="1">
        <v>0.01</v>
      </c>
      <c r="H743" s="1">
        <v>8.8000000000000007</v>
      </c>
      <c r="I743" s="2">
        <v>0</v>
      </c>
      <c r="J743" s="1">
        <v>0.13</v>
      </c>
      <c r="K743" s="2">
        <v>3.5</v>
      </c>
      <c r="L743" s="2">
        <v>9.1999999999999993</v>
      </c>
      <c r="M743" s="1">
        <v>2.6</v>
      </c>
      <c r="N743" s="1">
        <v>1.5</v>
      </c>
      <c r="O743" s="1">
        <v>0.13</v>
      </c>
      <c r="P743" s="1">
        <v>0</v>
      </c>
      <c r="Q743" s="1">
        <v>140</v>
      </c>
      <c r="R743" s="1">
        <v>80</v>
      </c>
      <c r="S743" s="1">
        <v>30</v>
      </c>
      <c r="T743" s="1">
        <v>130</v>
      </c>
      <c r="U743" s="1">
        <v>470</v>
      </c>
      <c r="V743" s="1"/>
      <c r="W743" s="1" t="s">
        <v>3548</v>
      </c>
    </row>
    <row r="744" spans="1:23" ht="39.6">
      <c r="A744" s="1">
        <v>743</v>
      </c>
      <c r="B744" s="5" t="s">
        <v>3549</v>
      </c>
      <c r="C744" s="1" t="s">
        <v>2020</v>
      </c>
      <c r="D744" s="1">
        <v>57.67</v>
      </c>
      <c r="E744" s="1">
        <v>0.71</v>
      </c>
      <c r="F744" s="1">
        <v>16</v>
      </c>
      <c r="G744" s="1">
        <v>0.01</v>
      </c>
      <c r="H744" s="1">
        <v>8.5</v>
      </c>
      <c r="I744" s="2">
        <v>0</v>
      </c>
      <c r="J744" s="1">
        <v>0.13</v>
      </c>
      <c r="K744" s="2">
        <v>3.6</v>
      </c>
      <c r="L744" s="2">
        <v>9.1</v>
      </c>
      <c r="M744" s="1">
        <v>2.6</v>
      </c>
      <c r="N744" s="1">
        <v>1.4</v>
      </c>
      <c r="O744" s="1">
        <v>0.11</v>
      </c>
      <c r="P744" s="1">
        <v>0</v>
      </c>
      <c r="Q744" s="1">
        <v>110</v>
      </c>
      <c r="R744" s="1">
        <v>90</v>
      </c>
      <c r="S744" s="1">
        <v>30</v>
      </c>
      <c r="T744" s="1">
        <v>90</v>
      </c>
      <c r="U744" s="1">
        <v>400</v>
      </c>
      <c r="V744" s="1"/>
      <c r="W744" s="1" t="s">
        <v>3550</v>
      </c>
    </row>
    <row r="745" spans="1:23" ht="13.2">
      <c r="A745" s="1">
        <v>744</v>
      </c>
      <c r="B745" s="1" t="s">
        <v>3551</v>
      </c>
      <c r="C745" s="1" t="s">
        <v>2578</v>
      </c>
      <c r="D745" s="1">
        <v>49.95</v>
      </c>
      <c r="E745" s="1">
        <v>1</v>
      </c>
      <c r="F745" s="1">
        <v>7.4</v>
      </c>
      <c r="G745" s="1">
        <v>0</v>
      </c>
      <c r="H745" s="1">
        <v>0</v>
      </c>
      <c r="I745" s="2">
        <v>19.36</v>
      </c>
      <c r="J745" s="1">
        <v>0.48</v>
      </c>
      <c r="K745" s="2">
        <v>7.13</v>
      </c>
      <c r="L745" s="2">
        <v>10.99</v>
      </c>
      <c r="M745" s="1">
        <v>1.5</v>
      </c>
      <c r="N745" s="1">
        <v>0.38</v>
      </c>
      <c r="O745" s="1">
        <v>0.7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 t="s">
        <v>3552</v>
      </c>
      <c r="W745" s="1"/>
    </row>
    <row r="746" spans="1:23" ht="13.2">
      <c r="A746" s="1">
        <v>745</v>
      </c>
      <c r="B746" s="1" t="s">
        <v>3553</v>
      </c>
      <c r="C746" s="1" t="s">
        <v>2578</v>
      </c>
      <c r="D746" s="1">
        <v>50.75</v>
      </c>
      <c r="E746" s="1">
        <v>2.15</v>
      </c>
      <c r="F746" s="1">
        <v>12.43</v>
      </c>
      <c r="G746" s="1">
        <v>0</v>
      </c>
      <c r="H746" s="1">
        <v>0</v>
      </c>
      <c r="I746" s="2">
        <v>13.94</v>
      </c>
      <c r="J746" s="1">
        <v>0.15</v>
      </c>
      <c r="K746" s="2">
        <v>6.17</v>
      </c>
      <c r="L746" s="2">
        <v>9.5299999999999994</v>
      </c>
      <c r="M746" s="1">
        <v>2.38</v>
      </c>
      <c r="N746" s="1">
        <v>0.51</v>
      </c>
      <c r="O746" s="1">
        <v>0.31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 t="s">
        <v>3552</v>
      </c>
      <c r="W746" s="1"/>
    </row>
    <row r="747" spans="1:23" ht="13.2">
      <c r="A747" s="1">
        <v>746</v>
      </c>
      <c r="B747" s="1" t="s">
        <v>3554</v>
      </c>
      <c r="C747" s="1" t="s">
        <v>2578</v>
      </c>
      <c r="D747" s="1">
        <v>58.92</v>
      </c>
      <c r="E747" s="1">
        <v>1.03</v>
      </c>
      <c r="F747" s="1">
        <v>15.43</v>
      </c>
      <c r="G747" s="1">
        <v>0</v>
      </c>
      <c r="H747" s="1">
        <v>0</v>
      </c>
      <c r="I747" s="2">
        <v>6.95</v>
      </c>
      <c r="J747" s="1">
        <v>0.11</v>
      </c>
      <c r="K747" s="2">
        <v>3.78</v>
      </c>
      <c r="L747" s="2">
        <v>7.2</v>
      </c>
      <c r="M747" s="1">
        <v>2.72</v>
      </c>
      <c r="N747" s="1">
        <v>2.02</v>
      </c>
      <c r="O747" s="1">
        <v>0.51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 t="s">
        <v>3552</v>
      </c>
      <c r="W747" s="1"/>
    </row>
    <row r="748" spans="1:23" ht="13.2">
      <c r="A748" s="1">
        <v>747</v>
      </c>
      <c r="B748" s="1" t="s">
        <v>3555</v>
      </c>
      <c r="C748" s="1" t="s">
        <v>2578</v>
      </c>
      <c r="D748" s="1">
        <v>57.56</v>
      </c>
      <c r="E748" s="1">
        <v>0.52</v>
      </c>
      <c r="F748" s="1">
        <v>11.3</v>
      </c>
      <c r="G748" s="1">
        <v>0</v>
      </c>
      <c r="H748" s="1">
        <v>0</v>
      </c>
      <c r="I748" s="2">
        <v>15.26</v>
      </c>
      <c r="J748" s="1">
        <v>0.18</v>
      </c>
      <c r="K748" s="2">
        <v>1.1200000000000001</v>
      </c>
      <c r="L748" s="2">
        <v>7.49</v>
      </c>
      <c r="M748" s="1">
        <v>2.71</v>
      </c>
      <c r="N748" s="1">
        <v>1.54</v>
      </c>
      <c r="O748" s="1">
        <v>1.47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 t="s">
        <v>3552</v>
      </c>
      <c r="W748" s="1"/>
    </row>
    <row r="749" spans="1:23" ht="13.2">
      <c r="A749" s="1">
        <v>748</v>
      </c>
      <c r="B749" s="1" t="s">
        <v>3556</v>
      </c>
      <c r="C749" s="1" t="s">
        <v>2578</v>
      </c>
      <c r="D749" s="1">
        <v>67.819999999999993</v>
      </c>
      <c r="E749" s="1">
        <v>0.66</v>
      </c>
      <c r="F749" s="1">
        <v>11.71</v>
      </c>
      <c r="G749" s="1">
        <v>0</v>
      </c>
      <c r="H749" s="1">
        <v>0</v>
      </c>
      <c r="I749" s="2">
        <v>8.02</v>
      </c>
      <c r="J749" s="1">
        <v>0.28000000000000003</v>
      </c>
      <c r="K749" s="2">
        <v>0.92</v>
      </c>
      <c r="L749" s="2">
        <v>4.47</v>
      </c>
      <c r="M749" s="1">
        <v>4.3099999999999996</v>
      </c>
      <c r="N749" s="1">
        <v>1.57</v>
      </c>
      <c r="O749" s="1">
        <v>0.26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 t="s">
        <v>3552</v>
      </c>
      <c r="W749" s="1"/>
    </row>
    <row r="750" spans="1:23" ht="13.2">
      <c r="A750" s="1">
        <v>749</v>
      </c>
      <c r="B750" s="1" t="s">
        <v>923</v>
      </c>
      <c r="C750" s="1" t="s">
        <v>51</v>
      </c>
      <c r="D750" s="1">
        <v>55.69</v>
      </c>
      <c r="E750" s="1">
        <v>7.0000000000000007E-2</v>
      </c>
      <c r="F750" s="1">
        <v>29.15</v>
      </c>
      <c r="G750" s="1">
        <v>0</v>
      </c>
      <c r="H750" s="1">
        <v>0.45</v>
      </c>
      <c r="I750" s="2">
        <v>0.1</v>
      </c>
      <c r="J750" s="1">
        <v>0</v>
      </c>
      <c r="K750" s="2">
        <v>0.17</v>
      </c>
      <c r="L750" s="2">
        <v>8.74</v>
      </c>
      <c r="M750" s="1">
        <v>5.01</v>
      </c>
      <c r="N750" s="1">
        <v>0.25</v>
      </c>
      <c r="O750" s="1">
        <v>0.03</v>
      </c>
      <c r="P750" s="1">
        <v>0.3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/>
      <c r="W750" s="1" t="s">
        <v>3557</v>
      </c>
    </row>
    <row r="751" spans="1:23" ht="26.4">
      <c r="A751" s="1">
        <v>750</v>
      </c>
      <c r="B751" s="1" t="s">
        <v>3558</v>
      </c>
      <c r="C751" s="1" t="s">
        <v>51</v>
      </c>
      <c r="D751" s="1">
        <v>52.24</v>
      </c>
      <c r="E751" s="1">
        <v>0.08</v>
      </c>
      <c r="F751" s="1">
        <v>30.35</v>
      </c>
      <c r="G751" s="1">
        <v>0.03</v>
      </c>
      <c r="H751" s="1">
        <v>0.66</v>
      </c>
      <c r="I751" s="2">
        <v>0.1</v>
      </c>
      <c r="J751" s="1">
        <v>0.01</v>
      </c>
      <c r="K751" s="2">
        <v>0.42</v>
      </c>
      <c r="L751" s="2">
        <v>12.2</v>
      </c>
      <c r="M751" s="1">
        <v>3.04</v>
      </c>
      <c r="N751" s="1">
        <v>0.09</v>
      </c>
      <c r="O751" s="1">
        <v>0.02</v>
      </c>
      <c r="P751" s="1">
        <v>0.8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/>
      <c r="W751" s="1" t="s">
        <v>3559</v>
      </c>
    </row>
    <row r="752" spans="1:23" ht="13.2">
      <c r="A752" s="1">
        <v>751</v>
      </c>
      <c r="B752" s="1" t="s">
        <v>3560</v>
      </c>
      <c r="C752" s="1" t="s">
        <v>2020</v>
      </c>
      <c r="D752" s="1">
        <v>48.2</v>
      </c>
      <c r="E752" s="1">
        <v>0.63</v>
      </c>
      <c r="F752" s="1">
        <v>13.9</v>
      </c>
      <c r="G752" s="1">
        <v>0.33</v>
      </c>
      <c r="H752" s="1">
        <v>0</v>
      </c>
      <c r="I752" s="2">
        <v>18</v>
      </c>
      <c r="J752" s="1">
        <v>0.57999999999999996</v>
      </c>
      <c r="K752" s="2">
        <v>6.33</v>
      </c>
      <c r="L752" s="2">
        <v>10.6</v>
      </c>
      <c r="M752" s="1">
        <v>0.49</v>
      </c>
      <c r="N752" s="1">
        <v>0.04</v>
      </c>
      <c r="O752" s="1">
        <v>7.0000000000000007E-2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 t="s">
        <v>3561</v>
      </c>
      <c r="W752" s="1" t="s">
        <v>3562</v>
      </c>
    </row>
    <row r="753" spans="1:23" ht="13.2">
      <c r="A753" s="1">
        <v>752</v>
      </c>
      <c r="B753" s="1" t="s">
        <v>3560</v>
      </c>
      <c r="C753" s="1" t="s">
        <v>50</v>
      </c>
      <c r="D753" s="1">
        <v>48.45</v>
      </c>
      <c r="E753" s="1">
        <v>0.62</v>
      </c>
      <c r="F753" s="1">
        <v>2.2000000000000002</v>
      </c>
      <c r="G753" s="1">
        <v>0.28999999999999998</v>
      </c>
      <c r="H753" s="1">
        <v>0</v>
      </c>
      <c r="I753" s="2">
        <v>26.95</v>
      </c>
      <c r="J753" s="1">
        <v>0.92</v>
      </c>
      <c r="K753" s="2">
        <v>10.59</v>
      </c>
      <c r="L753" s="2">
        <v>9.4</v>
      </c>
      <c r="M753" s="1">
        <v>0.03</v>
      </c>
      <c r="N753" s="1">
        <v>0.01</v>
      </c>
      <c r="O753" s="1">
        <v>0.04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 t="s">
        <v>3561</v>
      </c>
      <c r="W753" s="1" t="s">
        <v>3563</v>
      </c>
    </row>
    <row r="754" spans="1:23" ht="26.4">
      <c r="A754" s="1">
        <v>753</v>
      </c>
      <c r="B754" s="1" t="s">
        <v>3560</v>
      </c>
      <c r="C754" s="1" t="s">
        <v>51</v>
      </c>
      <c r="D754" s="1">
        <v>48.52</v>
      </c>
      <c r="E754" s="1">
        <v>0.04</v>
      </c>
      <c r="F754" s="1">
        <v>30.26</v>
      </c>
      <c r="G754" s="1">
        <v>0.01</v>
      </c>
      <c r="H754" s="1">
        <v>0</v>
      </c>
      <c r="I754" s="2">
        <v>1.6</v>
      </c>
      <c r="J754" s="1">
        <v>0.05</v>
      </c>
      <c r="K754" s="2">
        <v>0.4</v>
      </c>
      <c r="L754" s="2">
        <v>17.07</v>
      </c>
      <c r="M754" s="1">
        <v>1.1399999999999999</v>
      </c>
      <c r="N754" s="1">
        <v>0.04</v>
      </c>
      <c r="O754" s="1">
        <v>0.01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 t="s">
        <v>3561</v>
      </c>
      <c r="W754" s="1" t="s">
        <v>3564</v>
      </c>
    </row>
    <row r="755" spans="1:23" ht="13.2">
      <c r="A755" s="1">
        <v>754</v>
      </c>
      <c r="B755" s="1" t="s">
        <v>3560</v>
      </c>
      <c r="C755" s="1" t="s">
        <v>3053</v>
      </c>
      <c r="D755" s="1">
        <v>0.02</v>
      </c>
      <c r="E755" s="1">
        <v>7.48</v>
      </c>
      <c r="F755" s="1">
        <v>6.73</v>
      </c>
      <c r="G755" s="1">
        <v>43.52</v>
      </c>
      <c r="H755" s="1">
        <v>0</v>
      </c>
      <c r="I755" s="2">
        <v>37.770000000000003</v>
      </c>
      <c r="J755" s="1">
        <v>0.64</v>
      </c>
      <c r="K755" s="2">
        <v>0.62</v>
      </c>
      <c r="L755" s="2">
        <v>0.13</v>
      </c>
      <c r="M755" s="1">
        <v>0.04</v>
      </c>
      <c r="N755" s="1">
        <v>0.01</v>
      </c>
      <c r="O755" s="1">
        <v>0.02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 t="s">
        <v>3561</v>
      </c>
      <c r="W755" s="1" t="s">
        <v>3565</v>
      </c>
    </row>
    <row r="756" spans="1:23" ht="13.2">
      <c r="A756" s="1">
        <v>755</v>
      </c>
      <c r="B756" s="1" t="s">
        <v>3566</v>
      </c>
      <c r="C756" s="1" t="s">
        <v>2578</v>
      </c>
      <c r="D756" s="1">
        <v>76.510000000000005</v>
      </c>
      <c r="E756" s="1">
        <v>0.03</v>
      </c>
      <c r="F756" s="1">
        <v>12.56</v>
      </c>
      <c r="G756" s="1">
        <v>0</v>
      </c>
      <c r="H756" s="1">
        <v>0</v>
      </c>
      <c r="I756" s="2">
        <v>0.7</v>
      </c>
      <c r="J756" s="1">
        <v>7.0000000000000007E-2</v>
      </c>
      <c r="K756" s="2">
        <v>0.01</v>
      </c>
      <c r="L756" s="2">
        <v>0.25</v>
      </c>
      <c r="M756" s="1">
        <v>4.47</v>
      </c>
      <c r="N756" s="1">
        <v>4.24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 t="s">
        <v>3567</v>
      </c>
      <c r="W756" s="1" t="s">
        <v>3568</v>
      </c>
    </row>
    <row r="757" spans="1:23" ht="26.4">
      <c r="A757" s="1">
        <v>756</v>
      </c>
      <c r="B757" s="1" t="s">
        <v>3569</v>
      </c>
      <c r="C757" s="1" t="s">
        <v>2020</v>
      </c>
      <c r="D757" s="1">
        <v>46.7</v>
      </c>
      <c r="E757" s="1">
        <v>0.41</v>
      </c>
      <c r="F757" s="1">
        <v>24.4</v>
      </c>
      <c r="G757" s="1">
        <v>0.11</v>
      </c>
      <c r="H757" s="1">
        <v>4.16</v>
      </c>
      <c r="I757" s="2">
        <v>0</v>
      </c>
      <c r="J757" s="1">
        <v>7.0000000000000007E-2</v>
      </c>
      <c r="K757" s="2">
        <v>7.9</v>
      </c>
      <c r="L757" s="2">
        <v>13.6</v>
      </c>
      <c r="M757" s="1">
        <v>1.26</v>
      </c>
      <c r="N757" s="1">
        <v>0.08</v>
      </c>
      <c r="O757" s="1">
        <v>0.15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 t="s">
        <v>3570</v>
      </c>
      <c r="W757" s="1"/>
    </row>
    <row r="758" spans="1:23" ht="26.4">
      <c r="A758" s="1">
        <v>757</v>
      </c>
      <c r="B758" s="1" t="s">
        <v>3569</v>
      </c>
      <c r="C758" s="1" t="s">
        <v>2578</v>
      </c>
      <c r="D758" s="1">
        <v>46.6</v>
      </c>
      <c r="E758" s="1">
        <v>0.12</v>
      </c>
      <c r="F758" s="1">
        <v>21.55</v>
      </c>
      <c r="G758" s="1">
        <v>0.12</v>
      </c>
      <c r="H758" s="1">
        <v>5.65</v>
      </c>
      <c r="I758" s="2">
        <v>0</v>
      </c>
      <c r="J758" s="1">
        <v>0.09</v>
      </c>
      <c r="K758" s="2">
        <v>9.5</v>
      </c>
      <c r="L758" s="2">
        <v>12.6</v>
      </c>
      <c r="M758" s="1">
        <v>0.97</v>
      </c>
      <c r="N758" s="1">
        <v>0.12</v>
      </c>
      <c r="O758" s="1">
        <v>7.0000000000000007E-2</v>
      </c>
      <c r="P758" s="1">
        <v>2.74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 t="s">
        <v>3570</v>
      </c>
      <c r="W758" s="1"/>
    </row>
    <row r="759" spans="1:23" ht="26.4">
      <c r="A759" s="1">
        <v>758</v>
      </c>
      <c r="B759" s="1" t="s">
        <v>3569</v>
      </c>
      <c r="C759" s="1" t="s">
        <v>2026</v>
      </c>
      <c r="D759" s="1">
        <v>38.01</v>
      </c>
      <c r="E759" s="1">
        <v>0</v>
      </c>
      <c r="F759" s="1">
        <v>0</v>
      </c>
      <c r="G759" s="1">
        <v>0</v>
      </c>
      <c r="H759" s="1">
        <v>0</v>
      </c>
      <c r="I759" s="2">
        <v>22.32</v>
      </c>
      <c r="J759" s="1">
        <v>0.28999999999999998</v>
      </c>
      <c r="K759" s="2">
        <v>38.869999999999997</v>
      </c>
      <c r="L759" s="2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 t="s">
        <v>3570</v>
      </c>
      <c r="W759" s="1" t="s">
        <v>3571</v>
      </c>
    </row>
    <row r="760" spans="1:23" ht="26.4">
      <c r="A760" s="1">
        <v>759</v>
      </c>
      <c r="B760" s="1" t="s">
        <v>3569</v>
      </c>
      <c r="C760" s="1" t="s">
        <v>51</v>
      </c>
      <c r="D760" s="1">
        <v>48.47</v>
      </c>
      <c r="E760" s="1">
        <v>0</v>
      </c>
      <c r="F760" s="1">
        <v>32.74</v>
      </c>
      <c r="G760" s="1">
        <v>0</v>
      </c>
      <c r="H760" s="1">
        <v>0</v>
      </c>
      <c r="I760" s="2">
        <v>0.39</v>
      </c>
      <c r="J760" s="1">
        <v>0</v>
      </c>
      <c r="K760" s="2">
        <v>0.01</v>
      </c>
      <c r="L760" s="2">
        <v>16.21</v>
      </c>
      <c r="M760" s="1">
        <v>2.2400000000000002</v>
      </c>
      <c r="N760" s="1">
        <v>0.13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 t="s">
        <v>3570</v>
      </c>
      <c r="W760" s="1"/>
    </row>
    <row r="761" spans="1:23" ht="26.4">
      <c r="A761" s="1">
        <v>760</v>
      </c>
      <c r="B761" s="1" t="s">
        <v>3569</v>
      </c>
      <c r="C761" s="1" t="s">
        <v>50</v>
      </c>
      <c r="D761" s="1">
        <v>51.85</v>
      </c>
      <c r="E761" s="1">
        <v>0.78</v>
      </c>
      <c r="F761" s="1">
        <v>2.2599999999999998</v>
      </c>
      <c r="G761" s="1">
        <v>0.08</v>
      </c>
      <c r="H761" s="1">
        <v>0</v>
      </c>
      <c r="I761" s="2">
        <v>7.23</v>
      </c>
      <c r="J761" s="1">
        <v>0.19</v>
      </c>
      <c r="K761" s="2">
        <v>15.37</v>
      </c>
      <c r="L761" s="2">
        <v>22.42</v>
      </c>
      <c r="M761" s="1">
        <v>0.13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 t="s">
        <v>3570</v>
      </c>
      <c r="W761" s="1" t="s">
        <v>3572</v>
      </c>
    </row>
    <row r="762" spans="1:23" ht="26.4">
      <c r="A762" s="1">
        <v>761</v>
      </c>
      <c r="B762" s="1" t="s">
        <v>3569</v>
      </c>
      <c r="C762" s="1" t="s">
        <v>49</v>
      </c>
      <c r="D762" s="1">
        <v>54.52</v>
      </c>
      <c r="E762" s="1">
        <v>0.24</v>
      </c>
      <c r="F762" s="1">
        <v>0.92</v>
      </c>
      <c r="G762" s="1">
        <v>0.05</v>
      </c>
      <c r="H762" s="1">
        <v>0</v>
      </c>
      <c r="I762" s="2">
        <v>13.99</v>
      </c>
      <c r="J762" s="1">
        <v>0.28999999999999998</v>
      </c>
      <c r="K762" s="2">
        <v>27.99</v>
      </c>
      <c r="L762" s="2">
        <v>1.69</v>
      </c>
      <c r="M762" s="1">
        <v>0.01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 t="s">
        <v>3570</v>
      </c>
      <c r="W762" s="1"/>
    </row>
    <row r="763" spans="1:23" ht="13.2">
      <c r="A763" s="1">
        <v>762</v>
      </c>
      <c r="B763" s="1" t="s">
        <v>3573</v>
      </c>
      <c r="C763" s="1" t="s">
        <v>2020</v>
      </c>
      <c r="D763" s="1">
        <v>46.67</v>
      </c>
      <c r="E763" s="1">
        <v>1.71</v>
      </c>
      <c r="F763" s="1">
        <v>15.79</v>
      </c>
      <c r="G763" s="1">
        <v>0.02</v>
      </c>
      <c r="H763" s="1">
        <v>12.5</v>
      </c>
      <c r="I763" s="2">
        <v>8.17</v>
      </c>
      <c r="J763" s="1">
        <v>0.19</v>
      </c>
      <c r="K763" s="2">
        <v>9.39</v>
      </c>
      <c r="L763" s="2">
        <v>9.9</v>
      </c>
      <c r="M763" s="1">
        <v>2.83</v>
      </c>
      <c r="N763" s="1">
        <v>0.78</v>
      </c>
      <c r="O763" s="1">
        <v>0.71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 t="s">
        <v>3574</v>
      </c>
      <c r="W763" s="1" t="s">
        <v>3575</v>
      </c>
    </row>
    <row r="764" spans="1:23" ht="13.2">
      <c r="A764" s="1">
        <v>763</v>
      </c>
      <c r="B764" s="1" t="s">
        <v>3573</v>
      </c>
      <c r="C764" s="1" t="s">
        <v>2578</v>
      </c>
      <c r="D764" s="1">
        <v>46.11</v>
      </c>
      <c r="E764" s="1">
        <v>2.8</v>
      </c>
      <c r="F764" s="1">
        <v>14.92</v>
      </c>
      <c r="G764" s="1">
        <v>0.01</v>
      </c>
      <c r="H764" s="1">
        <v>0</v>
      </c>
      <c r="I764" s="2">
        <v>12.66</v>
      </c>
      <c r="J764" s="1">
        <v>0.22</v>
      </c>
      <c r="K764" s="2">
        <v>5.07</v>
      </c>
      <c r="L764" s="2">
        <v>9.98</v>
      </c>
      <c r="M764" s="1">
        <v>3.96</v>
      </c>
      <c r="N764" s="1">
        <v>1.43</v>
      </c>
      <c r="O764" s="1">
        <v>1.02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 t="s">
        <v>3574</v>
      </c>
      <c r="W764" s="1"/>
    </row>
    <row r="765" spans="1:23" ht="13.2">
      <c r="A765" s="1">
        <v>764</v>
      </c>
      <c r="B765" s="1" t="s">
        <v>3573</v>
      </c>
      <c r="C765" s="1" t="s">
        <v>51</v>
      </c>
      <c r="D765" s="1">
        <v>49.8</v>
      </c>
      <c r="E765" s="1">
        <v>0.1</v>
      </c>
      <c r="F765" s="1">
        <v>31.87</v>
      </c>
      <c r="G765" s="1">
        <v>0.01</v>
      </c>
      <c r="H765" s="1">
        <v>0</v>
      </c>
      <c r="I765" s="2">
        <v>0.85</v>
      </c>
      <c r="J765" s="1">
        <v>0.02</v>
      </c>
      <c r="K765" s="2">
        <v>0.15</v>
      </c>
      <c r="L765" s="2">
        <v>14.19</v>
      </c>
      <c r="M765" s="1">
        <v>3.22</v>
      </c>
      <c r="N765" s="1">
        <v>0.13</v>
      </c>
      <c r="O765" s="1">
        <v>0.02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 t="s">
        <v>3574</v>
      </c>
      <c r="W765" s="1"/>
    </row>
    <row r="766" spans="1:23" ht="13.2">
      <c r="A766" s="1">
        <v>765</v>
      </c>
      <c r="B766" s="1" t="s">
        <v>3573</v>
      </c>
      <c r="C766" s="1" t="s">
        <v>2026</v>
      </c>
      <c r="D766" s="1">
        <v>37.71</v>
      </c>
      <c r="E766" s="1">
        <v>0.17</v>
      </c>
      <c r="F766" s="1">
        <v>0.56000000000000005</v>
      </c>
      <c r="G766" s="1">
        <v>0.01</v>
      </c>
      <c r="H766" s="1">
        <v>0</v>
      </c>
      <c r="I766" s="2">
        <v>23.16</v>
      </c>
      <c r="J766" s="1">
        <v>0.4</v>
      </c>
      <c r="K766" s="2">
        <v>36.1</v>
      </c>
      <c r="L766" s="2">
        <v>0.72</v>
      </c>
      <c r="M766" s="1">
        <v>0.11</v>
      </c>
      <c r="N766" s="1">
        <v>0.06</v>
      </c>
      <c r="O766" s="1">
        <v>0.41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 t="s">
        <v>3574</v>
      </c>
      <c r="W766" s="1"/>
    </row>
    <row r="767" spans="1:23" ht="13.2">
      <c r="A767" s="1">
        <v>766</v>
      </c>
      <c r="B767" s="1" t="s">
        <v>3573</v>
      </c>
      <c r="C767" s="1" t="s">
        <v>3576</v>
      </c>
      <c r="D767" s="1">
        <v>1.94</v>
      </c>
      <c r="E767" s="1">
        <v>14.36</v>
      </c>
      <c r="F767" s="1">
        <v>6.14</v>
      </c>
      <c r="G767" s="1">
        <v>1.05</v>
      </c>
      <c r="H767" s="1">
        <v>0</v>
      </c>
      <c r="I767" s="2">
        <v>65.349999999999994</v>
      </c>
      <c r="J767" s="1">
        <v>0.46</v>
      </c>
      <c r="K767" s="2">
        <v>4.7699999999999996</v>
      </c>
      <c r="L767" s="2">
        <v>0.48</v>
      </c>
      <c r="M767" s="1">
        <v>0.18</v>
      </c>
      <c r="N767" s="1">
        <v>0.09</v>
      </c>
      <c r="O767" s="1">
        <v>0.05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 t="s">
        <v>3574</v>
      </c>
      <c r="W767" s="1"/>
    </row>
    <row r="768" spans="1:23" ht="13.2">
      <c r="A768" s="1">
        <v>767</v>
      </c>
      <c r="B768" s="5" t="s">
        <v>3577</v>
      </c>
      <c r="C768" s="1" t="s">
        <v>3578</v>
      </c>
      <c r="D768" s="1">
        <v>0.11</v>
      </c>
      <c r="E768" s="1">
        <v>0</v>
      </c>
      <c r="F768" s="1">
        <v>0.01</v>
      </c>
      <c r="G768" s="1">
        <v>0</v>
      </c>
      <c r="H768" s="1">
        <v>0</v>
      </c>
      <c r="I768" s="2">
        <v>0</v>
      </c>
      <c r="J768" s="1">
        <v>0.01</v>
      </c>
      <c r="K768" s="2">
        <v>1.41</v>
      </c>
      <c r="L768" s="2">
        <v>98.04</v>
      </c>
      <c r="M768" s="1">
        <v>0.41</v>
      </c>
      <c r="N768" s="1">
        <v>0</v>
      </c>
      <c r="O768" s="1">
        <v>0.02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 t="s">
        <v>3579</v>
      </c>
      <c r="W768" s="1"/>
    </row>
    <row r="769" spans="1:23" ht="13.2">
      <c r="A769" s="1">
        <v>768</v>
      </c>
      <c r="B769" s="5" t="s">
        <v>3580</v>
      </c>
      <c r="C769" s="1" t="s">
        <v>3578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2">
        <v>0</v>
      </c>
      <c r="J769" s="1">
        <v>7.0000000000000007E-2</v>
      </c>
      <c r="K769" s="2">
        <v>0.28999999999999998</v>
      </c>
      <c r="L769" s="2">
        <v>98.57</v>
      </c>
      <c r="M769" s="1">
        <v>0.36</v>
      </c>
      <c r="N769" s="1">
        <v>0</v>
      </c>
      <c r="O769" s="1">
        <v>0.03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 t="s">
        <v>3579</v>
      </c>
      <c r="W769" s="1"/>
    </row>
    <row r="770" spans="1:23" ht="13.2">
      <c r="A770" s="1">
        <v>769</v>
      </c>
      <c r="B770" s="5" t="s">
        <v>3581</v>
      </c>
      <c r="C770" s="1" t="s">
        <v>3582</v>
      </c>
      <c r="D770" s="1">
        <v>31.21</v>
      </c>
      <c r="E770" s="1">
        <v>0</v>
      </c>
      <c r="F770" s="1">
        <v>0</v>
      </c>
      <c r="G770" s="1">
        <v>0</v>
      </c>
      <c r="H770" s="1">
        <v>0</v>
      </c>
      <c r="I770" s="2">
        <v>0</v>
      </c>
      <c r="J770" s="1">
        <v>0</v>
      </c>
      <c r="K770" s="2">
        <v>0.01</v>
      </c>
      <c r="L770" s="2">
        <v>53.79</v>
      </c>
      <c r="M770" s="1">
        <v>14.63</v>
      </c>
      <c r="N770" s="1">
        <v>0.02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 t="s">
        <v>3579</v>
      </c>
      <c r="W770" s="1"/>
    </row>
    <row r="771" spans="1:23" ht="13.2">
      <c r="A771" s="1">
        <v>770</v>
      </c>
      <c r="B771" s="5" t="s">
        <v>3583</v>
      </c>
      <c r="C771" s="1" t="s">
        <v>3584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2">
        <v>0</v>
      </c>
      <c r="J771" s="1">
        <v>0</v>
      </c>
      <c r="K771" s="2">
        <v>41.3</v>
      </c>
      <c r="L771" s="2">
        <v>3.51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 t="s">
        <v>3579</v>
      </c>
      <c r="W771" s="1"/>
    </row>
    <row r="772" spans="1:23" ht="13.2">
      <c r="A772" s="1">
        <v>771</v>
      </c>
      <c r="B772" s="5" t="s">
        <v>3585</v>
      </c>
      <c r="C772" s="1" t="s">
        <v>3586</v>
      </c>
      <c r="D772" s="1">
        <v>3.45</v>
      </c>
      <c r="E772" s="1">
        <v>0</v>
      </c>
      <c r="F772" s="1">
        <v>23.45</v>
      </c>
      <c r="G772" s="1">
        <v>0</v>
      </c>
      <c r="H772" s="1">
        <v>2.88</v>
      </c>
      <c r="I772" s="2">
        <v>0.96</v>
      </c>
      <c r="J772" s="1">
        <v>0.01</v>
      </c>
      <c r="K772" s="2">
        <v>27.2</v>
      </c>
      <c r="L772" s="2">
        <v>2.1800000000000002</v>
      </c>
      <c r="M772" s="1">
        <v>0</v>
      </c>
      <c r="N772" s="1">
        <v>0</v>
      </c>
      <c r="O772" s="1">
        <v>0.04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 t="s">
        <v>3579</v>
      </c>
      <c r="W772" s="1"/>
    </row>
    <row r="773" spans="1:23" ht="13.2">
      <c r="A773" s="1">
        <v>772</v>
      </c>
      <c r="B773" s="5" t="s">
        <v>3587</v>
      </c>
      <c r="C773" s="1" t="s">
        <v>3588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2">
        <v>0.01</v>
      </c>
      <c r="J773" s="1">
        <v>0</v>
      </c>
      <c r="K773" s="2">
        <v>0.09</v>
      </c>
      <c r="L773" s="2">
        <v>0.38</v>
      </c>
      <c r="M773" s="1">
        <v>53.64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 t="s">
        <v>3579</v>
      </c>
      <c r="W773" s="1"/>
    </row>
    <row r="774" spans="1:23" ht="13.2">
      <c r="A774" s="1">
        <v>773</v>
      </c>
      <c r="B774" s="5" t="s">
        <v>3589</v>
      </c>
      <c r="C774" s="1" t="s">
        <v>3590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2">
        <v>0.01</v>
      </c>
      <c r="J774" s="1">
        <v>0.01</v>
      </c>
      <c r="K774" s="2">
        <v>0.05</v>
      </c>
      <c r="L774" s="2">
        <v>0.31</v>
      </c>
      <c r="M774" s="1">
        <v>47.98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 t="s">
        <v>3579</v>
      </c>
      <c r="W774" s="1"/>
    </row>
    <row r="775" spans="1:23" ht="13.2">
      <c r="A775" s="1">
        <v>774</v>
      </c>
      <c r="B775" s="5" t="s">
        <v>3591</v>
      </c>
      <c r="C775" s="1" t="s">
        <v>3592</v>
      </c>
      <c r="D775" s="1">
        <v>0.01</v>
      </c>
      <c r="E775" s="1">
        <v>0.04</v>
      </c>
      <c r="F775" s="1">
        <v>0</v>
      </c>
      <c r="G775" s="1">
        <v>0</v>
      </c>
      <c r="H775" s="1">
        <v>0.18</v>
      </c>
      <c r="I775" s="2">
        <v>0</v>
      </c>
      <c r="J775" s="1">
        <v>0</v>
      </c>
      <c r="K775" s="2">
        <v>73.430000000000007</v>
      </c>
      <c r="L775" s="2">
        <v>0.1</v>
      </c>
      <c r="M775" s="1">
        <v>0.04</v>
      </c>
      <c r="N775" s="1">
        <v>1.24</v>
      </c>
      <c r="O775" s="1">
        <v>0.04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 t="s">
        <v>3579</v>
      </c>
      <c r="W775" s="1"/>
    </row>
    <row r="776" spans="1:23" ht="13.2">
      <c r="A776" s="1">
        <v>775</v>
      </c>
      <c r="B776" s="5" t="s">
        <v>3593</v>
      </c>
      <c r="C776" s="1" t="s">
        <v>3594</v>
      </c>
      <c r="D776" s="1">
        <v>0</v>
      </c>
      <c r="E776" s="1">
        <v>0</v>
      </c>
      <c r="F776" s="1">
        <v>0</v>
      </c>
      <c r="G776" s="1">
        <v>0</v>
      </c>
      <c r="H776" s="1">
        <v>13.2</v>
      </c>
      <c r="I776" s="2">
        <v>0</v>
      </c>
      <c r="J776" s="1">
        <v>1.8</v>
      </c>
      <c r="K776" s="2">
        <v>42.79</v>
      </c>
      <c r="L776" s="2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 t="s">
        <v>3579</v>
      </c>
      <c r="W776" s="1"/>
    </row>
    <row r="777" spans="1:23" ht="13.2">
      <c r="A777" s="1">
        <v>776</v>
      </c>
      <c r="B777" s="5" t="s">
        <v>3595</v>
      </c>
      <c r="C777" s="1" t="s">
        <v>2020</v>
      </c>
      <c r="D777" s="1">
        <v>47.71</v>
      </c>
      <c r="E777" s="1">
        <v>1.59</v>
      </c>
      <c r="F777" s="1">
        <v>15.02</v>
      </c>
      <c r="G777" s="1">
        <v>0.04</v>
      </c>
      <c r="H777" s="1">
        <v>3.44</v>
      </c>
      <c r="I777" s="2">
        <v>7.35</v>
      </c>
      <c r="J777" s="1">
        <v>0.18</v>
      </c>
      <c r="K777" s="2">
        <v>9.01</v>
      </c>
      <c r="L777" s="2">
        <v>10.42</v>
      </c>
      <c r="M777" s="1">
        <v>2.7</v>
      </c>
      <c r="N777" s="1">
        <v>0.82</v>
      </c>
      <c r="O777" s="1">
        <v>0.66</v>
      </c>
      <c r="P777" s="1">
        <v>0.71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 t="s">
        <v>3596</v>
      </c>
      <c r="W777" s="1" t="s">
        <v>3597</v>
      </c>
    </row>
    <row r="778" spans="1:23" ht="13.2">
      <c r="A778" s="1">
        <v>777</v>
      </c>
      <c r="B778" s="5" t="s">
        <v>3598</v>
      </c>
      <c r="C778" s="1" t="s">
        <v>2020</v>
      </c>
      <c r="D778" s="1">
        <v>47.2</v>
      </c>
      <c r="E778" s="1">
        <v>2.2999999999999998</v>
      </c>
      <c r="F778" s="1">
        <v>16.7</v>
      </c>
      <c r="G778" s="1">
        <v>0</v>
      </c>
      <c r="H778" s="1">
        <v>5.9</v>
      </c>
      <c r="I778" s="2">
        <v>6.2</v>
      </c>
      <c r="J778" s="1">
        <v>0.21</v>
      </c>
      <c r="K778" s="2">
        <v>6.5</v>
      </c>
      <c r="L778" s="2">
        <v>9.1999999999999993</v>
      </c>
      <c r="M778" s="1">
        <v>3.5</v>
      </c>
      <c r="N778" s="1">
        <v>1.1000000000000001</v>
      </c>
      <c r="O778" s="1">
        <v>0.52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 t="s">
        <v>3596</v>
      </c>
      <c r="W778" s="1"/>
    </row>
    <row r="779" spans="1:23" ht="13.2">
      <c r="A779" s="1">
        <v>778</v>
      </c>
      <c r="B779" s="5" t="s">
        <v>3599</v>
      </c>
      <c r="C779" s="1" t="s">
        <v>2020</v>
      </c>
      <c r="D779" s="1">
        <v>48.28</v>
      </c>
      <c r="E779" s="1">
        <v>0.05</v>
      </c>
      <c r="F779" s="1">
        <v>32.01</v>
      </c>
      <c r="G779" s="1">
        <v>0</v>
      </c>
      <c r="H779" s="1">
        <v>0.09</v>
      </c>
      <c r="I779" s="2">
        <v>1.34</v>
      </c>
      <c r="J779" s="1">
        <v>0.01</v>
      </c>
      <c r="K779" s="2">
        <v>0.22</v>
      </c>
      <c r="L779" s="2">
        <v>15.43</v>
      </c>
      <c r="M779" s="1">
        <v>2.38</v>
      </c>
      <c r="N779" s="1">
        <v>0.16</v>
      </c>
      <c r="O779" s="1">
        <v>0.01</v>
      </c>
      <c r="P779" s="1">
        <v>0.39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 t="s">
        <v>3600</v>
      </c>
      <c r="W779" s="1"/>
    </row>
    <row r="780" spans="1:23" ht="13.2">
      <c r="A780" s="1">
        <v>779</v>
      </c>
      <c r="B780" s="5" t="s">
        <v>3601</v>
      </c>
      <c r="C780" s="1" t="s">
        <v>2020</v>
      </c>
      <c r="D780" s="1">
        <v>48.22</v>
      </c>
      <c r="E780" s="1">
        <v>0.05</v>
      </c>
      <c r="F780" s="1">
        <v>33.01</v>
      </c>
      <c r="G780" s="1">
        <v>0</v>
      </c>
      <c r="H780" s="1">
        <v>0.09</v>
      </c>
      <c r="I780" s="2">
        <v>1.34</v>
      </c>
      <c r="J780" s="1">
        <v>0.01</v>
      </c>
      <c r="K780" s="2">
        <v>0.22</v>
      </c>
      <c r="L780" s="2">
        <v>15.43</v>
      </c>
      <c r="M780" s="1">
        <v>2.38</v>
      </c>
      <c r="N780" s="1">
        <v>0.16</v>
      </c>
      <c r="O780" s="1">
        <v>0.01</v>
      </c>
      <c r="P780" s="1">
        <v>0.39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 t="s">
        <v>3600</v>
      </c>
      <c r="W780" s="1"/>
    </row>
    <row r="781" spans="1:23" ht="13.2">
      <c r="A781" s="1">
        <v>780</v>
      </c>
      <c r="B781" s="5" t="s">
        <v>3602</v>
      </c>
      <c r="C781" s="1" t="s">
        <v>2020</v>
      </c>
      <c r="D781" s="1">
        <v>47.49</v>
      </c>
      <c r="E781" s="1">
        <v>0.14000000000000001</v>
      </c>
      <c r="F781" s="1">
        <v>22.59</v>
      </c>
      <c r="G781" s="1">
        <v>0.02</v>
      </c>
      <c r="H781" s="1">
        <v>0.73</v>
      </c>
      <c r="I781" s="2">
        <v>7.8</v>
      </c>
      <c r="J781" s="1">
        <v>0.17</v>
      </c>
      <c r="K781" s="2">
        <v>10.24</v>
      </c>
      <c r="L781" s="2">
        <v>8.02</v>
      </c>
      <c r="M781" s="1">
        <v>1.65</v>
      </c>
      <c r="N781" s="1">
        <v>7.0000000000000007E-2</v>
      </c>
      <c r="O781" s="1">
        <v>0.06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 t="s">
        <v>3603</v>
      </c>
      <c r="W781" s="1" t="s">
        <v>3604</v>
      </c>
    </row>
    <row r="782" spans="1:23" ht="13.2">
      <c r="A782" s="1">
        <v>781</v>
      </c>
      <c r="B782" s="5" t="s">
        <v>3605</v>
      </c>
      <c r="C782" s="1" t="s">
        <v>2020</v>
      </c>
      <c r="D782" s="1">
        <v>49.14</v>
      </c>
      <c r="E782" s="1">
        <v>1.91</v>
      </c>
      <c r="F782" s="1">
        <v>16.23</v>
      </c>
      <c r="G782" s="1">
        <v>0</v>
      </c>
      <c r="H782" s="1">
        <v>4.7699999999999996</v>
      </c>
      <c r="I782" s="2">
        <v>8.3000000000000007</v>
      </c>
      <c r="J782" s="1">
        <v>0.19</v>
      </c>
      <c r="K782" s="2">
        <v>3.84</v>
      </c>
      <c r="L782" s="2">
        <v>9.1300000000000008</v>
      </c>
      <c r="M782" s="1">
        <v>2.75</v>
      </c>
      <c r="N782" s="1">
        <v>1.01</v>
      </c>
      <c r="O782" s="1">
        <v>0.44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 t="s">
        <v>3603</v>
      </c>
      <c r="W782" s="1" t="s">
        <v>3606</v>
      </c>
    </row>
    <row r="783" spans="1:23" ht="13.2">
      <c r="A783" s="1">
        <v>782</v>
      </c>
      <c r="B783" s="5" t="s">
        <v>3607</v>
      </c>
      <c r="C783" s="1" t="s">
        <v>2020</v>
      </c>
      <c r="D783" s="1">
        <v>49.13</v>
      </c>
      <c r="E783" s="1">
        <v>5.47</v>
      </c>
      <c r="F783" s="1">
        <v>12.33</v>
      </c>
      <c r="G783" s="1">
        <v>0.04</v>
      </c>
      <c r="H783" s="1">
        <v>9.9</v>
      </c>
      <c r="I783" s="2">
        <v>6.02</v>
      </c>
      <c r="J783" s="1">
        <v>0.36</v>
      </c>
      <c r="K783" s="2">
        <v>6.15</v>
      </c>
      <c r="L783" s="2">
        <v>6.67</v>
      </c>
      <c r="M783" s="1">
        <v>2.16</v>
      </c>
      <c r="N783" s="1">
        <v>0.32</v>
      </c>
      <c r="O783" s="1">
        <v>0.12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 t="s">
        <v>3603</v>
      </c>
      <c r="W783" s="1" t="s">
        <v>3608</v>
      </c>
    </row>
    <row r="784" spans="1:23" ht="13.2">
      <c r="A784" s="1">
        <v>783</v>
      </c>
      <c r="B784" s="5" t="s">
        <v>3609</v>
      </c>
      <c r="C784" s="1" t="s">
        <v>2020</v>
      </c>
      <c r="D784" s="1">
        <v>34.75</v>
      </c>
      <c r="E784" s="1">
        <v>3.5</v>
      </c>
      <c r="F784" s="1">
        <v>21</v>
      </c>
      <c r="G784" s="1">
        <v>0</v>
      </c>
      <c r="H784" s="1">
        <v>10.5</v>
      </c>
      <c r="I784" s="2">
        <v>3</v>
      </c>
      <c r="J784" s="1">
        <v>0.25</v>
      </c>
      <c r="K784" s="2">
        <v>3</v>
      </c>
      <c r="L784" s="2">
        <v>5.5</v>
      </c>
      <c r="M784" s="1">
        <v>2.25</v>
      </c>
      <c r="N784" s="1">
        <v>0.55000000000000004</v>
      </c>
      <c r="O784" s="1">
        <v>0.8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 t="s">
        <v>3610</v>
      </c>
      <c r="W784" s="1"/>
    </row>
    <row r="785" spans="1:23" ht="13.2">
      <c r="A785" s="1">
        <v>784</v>
      </c>
      <c r="B785" s="5" t="s">
        <v>3611</v>
      </c>
      <c r="C785" s="1" t="s">
        <v>2020</v>
      </c>
      <c r="D785" s="1">
        <v>47.9</v>
      </c>
      <c r="E785" s="1">
        <v>1.58</v>
      </c>
      <c r="F785" s="1">
        <v>17.2</v>
      </c>
      <c r="G785" s="1">
        <v>0</v>
      </c>
      <c r="H785" s="1">
        <v>11.7</v>
      </c>
      <c r="I785" s="2">
        <v>0</v>
      </c>
      <c r="J785" s="1">
        <v>0.24</v>
      </c>
      <c r="K785" s="2">
        <v>6.44</v>
      </c>
      <c r="L785" s="2">
        <v>8.93</v>
      </c>
      <c r="M785" s="1">
        <v>3.95</v>
      </c>
      <c r="N785" s="1">
        <v>2.42</v>
      </c>
      <c r="O785" s="1">
        <v>0.98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 t="s">
        <v>3612</v>
      </c>
      <c r="W785" s="1"/>
    </row>
    <row r="786" spans="1:23" ht="26.4">
      <c r="A786" s="1">
        <v>785</v>
      </c>
      <c r="B786" s="1" t="s">
        <v>558</v>
      </c>
      <c r="C786" s="1" t="s">
        <v>2020</v>
      </c>
      <c r="D786" s="1">
        <v>47.9</v>
      </c>
      <c r="E786" s="1">
        <v>0.12</v>
      </c>
      <c r="F786" s="1">
        <v>0.91</v>
      </c>
      <c r="G786" s="1">
        <v>0.63</v>
      </c>
      <c r="H786" s="1">
        <v>0</v>
      </c>
      <c r="I786" s="2">
        <v>17.3</v>
      </c>
      <c r="J786" s="1">
        <v>0.56000000000000005</v>
      </c>
      <c r="K786" s="2">
        <v>31</v>
      </c>
      <c r="L786" s="2">
        <v>1.37</v>
      </c>
      <c r="M786" s="1">
        <v>0.02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 t="s">
        <v>3613</v>
      </c>
      <c r="W786" s="1"/>
    </row>
    <row r="787" spans="1:23" ht="13.2">
      <c r="A787" s="1">
        <v>786</v>
      </c>
      <c r="B787" s="5" t="s">
        <v>3614</v>
      </c>
      <c r="C787" s="1" t="s">
        <v>2020</v>
      </c>
      <c r="D787" s="1">
        <v>46.67</v>
      </c>
      <c r="E787" s="1">
        <v>1.71</v>
      </c>
      <c r="F787" s="1">
        <v>15.79</v>
      </c>
      <c r="G787" s="1">
        <v>0.02</v>
      </c>
      <c r="H787" s="1">
        <v>12.5</v>
      </c>
      <c r="I787" s="2">
        <v>8.17</v>
      </c>
      <c r="J787" s="1">
        <v>0.19</v>
      </c>
      <c r="K787" s="2">
        <v>9.39</v>
      </c>
      <c r="L787" s="2">
        <v>9.9</v>
      </c>
      <c r="M787" s="1">
        <v>2.83</v>
      </c>
      <c r="N787" s="1">
        <v>0.78</v>
      </c>
      <c r="O787" s="1">
        <v>0.71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 t="s">
        <v>3574</v>
      </c>
      <c r="W787" s="1" t="s">
        <v>3615</v>
      </c>
    </row>
    <row r="788" spans="1:23" ht="13.2">
      <c r="A788" s="1">
        <v>787</v>
      </c>
      <c r="B788" s="1" t="s">
        <v>3614</v>
      </c>
      <c r="C788" s="1" t="s">
        <v>51</v>
      </c>
      <c r="D788" s="1">
        <v>49.8</v>
      </c>
      <c r="E788" s="1">
        <v>0.1</v>
      </c>
      <c r="F788" s="1">
        <v>31.87</v>
      </c>
      <c r="G788" s="1">
        <v>0.01</v>
      </c>
      <c r="H788" s="1">
        <v>0</v>
      </c>
      <c r="I788" s="2">
        <v>0.85</v>
      </c>
      <c r="J788" s="1">
        <v>0.02</v>
      </c>
      <c r="K788" s="2">
        <v>0.15</v>
      </c>
      <c r="L788" s="2">
        <v>14.19</v>
      </c>
      <c r="M788" s="1">
        <v>3.22</v>
      </c>
      <c r="N788" s="1">
        <v>0.13</v>
      </c>
      <c r="O788" s="1">
        <v>0.02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 t="s">
        <v>3574</v>
      </c>
      <c r="W788" s="1"/>
    </row>
    <row r="789" spans="1:23" ht="13.2">
      <c r="A789" s="1">
        <v>788</v>
      </c>
      <c r="B789" s="1" t="s">
        <v>3614</v>
      </c>
      <c r="C789" s="1" t="s">
        <v>2578</v>
      </c>
      <c r="D789" s="1">
        <v>46.11</v>
      </c>
      <c r="E789" s="1">
        <v>2.8</v>
      </c>
      <c r="F789" s="1">
        <v>14.92</v>
      </c>
      <c r="G789" s="1">
        <v>0.01</v>
      </c>
      <c r="H789" s="1">
        <v>0</v>
      </c>
      <c r="I789" s="2">
        <v>12.66</v>
      </c>
      <c r="J789" s="1">
        <v>0.22</v>
      </c>
      <c r="K789" s="2">
        <v>5.07</v>
      </c>
      <c r="L789" s="2">
        <v>9.98</v>
      </c>
      <c r="M789" s="1">
        <v>3.96</v>
      </c>
      <c r="N789" s="1">
        <v>1.43</v>
      </c>
      <c r="O789" s="1">
        <v>1.02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 t="s">
        <v>3574</v>
      </c>
      <c r="W789" s="1"/>
    </row>
    <row r="790" spans="1:23" ht="13.2">
      <c r="A790" s="1">
        <v>789</v>
      </c>
      <c r="B790" s="1" t="s">
        <v>3614</v>
      </c>
      <c r="C790" s="1" t="s">
        <v>50</v>
      </c>
      <c r="D790" s="1">
        <v>47.18</v>
      </c>
      <c r="E790" s="1">
        <v>2.4700000000000002</v>
      </c>
      <c r="F790" s="1">
        <v>5.56</v>
      </c>
      <c r="G790" s="1">
        <v>0.08</v>
      </c>
      <c r="H790" s="1">
        <v>0</v>
      </c>
      <c r="I790" s="2">
        <v>10.31</v>
      </c>
      <c r="J790" s="1">
        <v>0.22</v>
      </c>
      <c r="K790" s="2">
        <v>12.31</v>
      </c>
      <c r="L790" s="2">
        <v>20.27</v>
      </c>
      <c r="M790" s="1">
        <v>0.57999999999999996</v>
      </c>
      <c r="N790" s="1">
        <v>0.08</v>
      </c>
      <c r="O790" s="1">
        <v>0.28000000000000003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 t="s">
        <v>3574</v>
      </c>
      <c r="W790" s="1"/>
    </row>
    <row r="791" spans="1:23" ht="13.2">
      <c r="A791" s="1">
        <v>790</v>
      </c>
      <c r="B791" s="1" t="s">
        <v>3614</v>
      </c>
      <c r="C791" s="1" t="s">
        <v>2026</v>
      </c>
      <c r="D791" s="1">
        <v>37.71</v>
      </c>
      <c r="E791" s="1">
        <v>0.17</v>
      </c>
      <c r="F791" s="1">
        <v>0.56000000000000005</v>
      </c>
      <c r="G791" s="1">
        <v>0.01</v>
      </c>
      <c r="H791" s="1">
        <v>0</v>
      </c>
      <c r="I791" s="2">
        <v>23.16</v>
      </c>
      <c r="J791" s="1">
        <v>0.4</v>
      </c>
      <c r="K791" s="2">
        <v>36.1</v>
      </c>
      <c r="L791" s="2">
        <v>0.72</v>
      </c>
      <c r="M791" s="1">
        <v>0.11</v>
      </c>
      <c r="N791" s="1">
        <v>0.06</v>
      </c>
      <c r="O791" s="1">
        <v>0.41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 t="s">
        <v>3574</v>
      </c>
      <c r="W791" s="1"/>
    </row>
    <row r="792" spans="1:23" ht="13.2">
      <c r="A792" s="1">
        <v>791</v>
      </c>
      <c r="B792" s="1" t="s">
        <v>3614</v>
      </c>
      <c r="C792" s="1" t="s">
        <v>3576</v>
      </c>
      <c r="D792" s="1">
        <v>1.94</v>
      </c>
      <c r="E792" s="1">
        <v>14.36</v>
      </c>
      <c r="F792" s="1">
        <v>6.14</v>
      </c>
      <c r="G792" s="1">
        <v>1.05</v>
      </c>
      <c r="H792" s="1">
        <v>0</v>
      </c>
      <c r="I792" s="2">
        <v>65.349999999999994</v>
      </c>
      <c r="J792" s="1">
        <v>0.46</v>
      </c>
      <c r="K792" s="2">
        <v>4.7699999999999996</v>
      </c>
      <c r="L792" s="2">
        <v>0.48</v>
      </c>
      <c r="M792" s="1">
        <v>0.18</v>
      </c>
      <c r="N792" s="1">
        <v>0.09</v>
      </c>
      <c r="O792" s="1">
        <v>0.05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 t="s">
        <v>3574</v>
      </c>
      <c r="W792" s="1"/>
    </row>
    <row r="793" spans="1:23" ht="13.2">
      <c r="A793" s="1">
        <v>792</v>
      </c>
      <c r="B793" s="5" t="s">
        <v>3616</v>
      </c>
      <c r="C793" s="1" t="s">
        <v>2020</v>
      </c>
      <c r="D793" s="1">
        <v>46.67</v>
      </c>
      <c r="E793" s="1">
        <v>1.71</v>
      </c>
      <c r="F793" s="1">
        <v>15.79</v>
      </c>
      <c r="G793" s="1">
        <v>0.02</v>
      </c>
      <c r="H793" s="1">
        <v>12.5</v>
      </c>
      <c r="I793" s="2">
        <v>8.17</v>
      </c>
      <c r="J793" s="1">
        <v>0.19</v>
      </c>
      <c r="K793" s="2">
        <v>9.39</v>
      </c>
      <c r="L793" s="2">
        <v>9.9</v>
      </c>
      <c r="M793" s="1">
        <v>2.83</v>
      </c>
      <c r="N793" s="1">
        <v>0.78</v>
      </c>
      <c r="O793" s="1">
        <v>0.71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 t="s">
        <v>3574</v>
      </c>
      <c r="W793" s="1" t="s">
        <v>3615</v>
      </c>
    </row>
    <row r="794" spans="1:23" ht="13.2">
      <c r="A794" s="1">
        <v>793</v>
      </c>
      <c r="B794" s="5" t="s">
        <v>3617</v>
      </c>
      <c r="C794" s="1" t="s">
        <v>2020</v>
      </c>
      <c r="D794" s="1">
        <v>46.7</v>
      </c>
      <c r="E794" s="1">
        <v>0.41</v>
      </c>
      <c r="F794" s="1">
        <v>24.4</v>
      </c>
      <c r="G794" s="1">
        <v>0.11</v>
      </c>
      <c r="H794" s="1">
        <v>4.6100000000000003</v>
      </c>
      <c r="I794" s="2">
        <v>0</v>
      </c>
      <c r="J794" s="1">
        <v>7.0000000000000007E-2</v>
      </c>
      <c r="K794" s="2">
        <v>7.9</v>
      </c>
      <c r="L794" s="2">
        <v>13.6</v>
      </c>
      <c r="M794" s="1">
        <v>1.26</v>
      </c>
      <c r="N794" s="1">
        <v>0.08</v>
      </c>
      <c r="O794" s="1">
        <v>0.15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 t="s">
        <v>3574</v>
      </c>
      <c r="W794" s="1"/>
    </row>
    <row r="795" spans="1:23" ht="26.4">
      <c r="A795" s="1">
        <v>794</v>
      </c>
      <c r="B795" s="5" t="s">
        <v>3617</v>
      </c>
      <c r="C795" s="1" t="s">
        <v>2578</v>
      </c>
      <c r="D795" s="1">
        <v>46.6</v>
      </c>
      <c r="E795" s="1">
        <v>0.12</v>
      </c>
      <c r="F795" s="1">
        <v>21.55</v>
      </c>
      <c r="G795" s="1">
        <v>0.12</v>
      </c>
      <c r="H795" s="1">
        <v>5.65</v>
      </c>
      <c r="I795" s="2">
        <v>0</v>
      </c>
      <c r="J795" s="1">
        <v>0.09</v>
      </c>
      <c r="K795" s="2">
        <v>9.5</v>
      </c>
      <c r="L795" s="2">
        <v>12.6</v>
      </c>
      <c r="M795" s="1">
        <v>0.97</v>
      </c>
      <c r="N795" s="1">
        <v>0.12</v>
      </c>
      <c r="O795" s="1">
        <v>7.0000000000000007E-2</v>
      </c>
      <c r="P795" s="1">
        <v>2.74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 t="s">
        <v>3570</v>
      </c>
      <c r="W795" s="1"/>
    </row>
    <row r="796" spans="1:23" ht="26.4">
      <c r="A796" s="1">
        <v>795</v>
      </c>
      <c r="B796" s="1" t="s">
        <v>3617</v>
      </c>
      <c r="C796" s="1" t="s">
        <v>51</v>
      </c>
      <c r="D796" s="1">
        <v>48.48</v>
      </c>
      <c r="E796" s="1">
        <v>0</v>
      </c>
      <c r="F796" s="1">
        <v>32.75</v>
      </c>
      <c r="G796" s="1">
        <v>0</v>
      </c>
      <c r="H796" s="1">
        <v>0</v>
      </c>
      <c r="I796" s="2">
        <v>0.39</v>
      </c>
      <c r="J796" s="1">
        <v>0</v>
      </c>
      <c r="K796" s="2">
        <v>0.01</v>
      </c>
      <c r="L796" s="2">
        <v>16.21</v>
      </c>
      <c r="M796" s="1">
        <v>2.2400000000000002</v>
      </c>
      <c r="N796" s="1">
        <v>0.13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 t="s">
        <v>3570</v>
      </c>
      <c r="W796" s="1"/>
    </row>
    <row r="797" spans="1:23" ht="26.4">
      <c r="A797" s="1">
        <v>796</v>
      </c>
      <c r="B797" s="1" t="s">
        <v>3617</v>
      </c>
      <c r="C797" s="1" t="s">
        <v>2026</v>
      </c>
      <c r="D797" s="1">
        <v>38.01</v>
      </c>
      <c r="E797" s="1">
        <v>0</v>
      </c>
      <c r="F797" s="1">
        <v>0</v>
      </c>
      <c r="G797" s="1">
        <v>0</v>
      </c>
      <c r="H797" s="1">
        <v>0</v>
      </c>
      <c r="I797" s="2">
        <v>22.32</v>
      </c>
      <c r="J797" s="1">
        <v>0.28999999999999998</v>
      </c>
      <c r="K797" s="2">
        <v>38.869999999999997</v>
      </c>
      <c r="L797" s="2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 t="s">
        <v>3570</v>
      </c>
      <c r="W797" s="1" t="s">
        <v>3571</v>
      </c>
    </row>
    <row r="798" spans="1:23" ht="26.4">
      <c r="A798" s="1">
        <v>797</v>
      </c>
      <c r="B798" s="1" t="s">
        <v>3617</v>
      </c>
      <c r="C798" s="1" t="s">
        <v>50</v>
      </c>
      <c r="D798" s="1">
        <v>51.85</v>
      </c>
      <c r="E798" s="1">
        <v>0.78</v>
      </c>
      <c r="F798" s="1">
        <v>2.2599999999999998</v>
      </c>
      <c r="G798" s="1">
        <v>0.08</v>
      </c>
      <c r="H798" s="1">
        <v>0</v>
      </c>
      <c r="I798" s="2">
        <v>7.23</v>
      </c>
      <c r="J798" s="1">
        <v>0.19</v>
      </c>
      <c r="K798" s="2">
        <v>15.37</v>
      </c>
      <c r="L798" s="2">
        <v>22.42</v>
      </c>
      <c r="M798" s="1">
        <v>0.13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 t="s">
        <v>3570</v>
      </c>
      <c r="W798" s="1" t="s">
        <v>3572</v>
      </c>
    </row>
    <row r="799" spans="1:23" ht="26.4">
      <c r="A799" s="1">
        <v>798</v>
      </c>
      <c r="B799" s="1" t="s">
        <v>3617</v>
      </c>
      <c r="C799" s="1" t="s">
        <v>49</v>
      </c>
      <c r="D799" s="1">
        <v>54.52</v>
      </c>
      <c r="E799" s="1">
        <v>0.24</v>
      </c>
      <c r="F799" s="1">
        <v>0.92</v>
      </c>
      <c r="G799" s="1">
        <v>0.05</v>
      </c>
      <c r="H799" s="1">
        <v>0</v>
      </c>
      <c r="I799" s="2">
        <v>13.99</v>
      </c>
      <c r="J799" s="1">
        <v>0.28999999999999998</v>
      </c>
      <c r="K799" s="2">
        <v>27.99</v>
      </c>
      <c r="L799" s="2">
        <v>1.69</v>
      </c>
      <c r="M799" s="1">
        <v>0.01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 t="s">
        <v>3570</v>
      </c>
      <c r="W799" s="1"/>
    </row>
    <row r="800" spans="1:23" ht="13.2">
      <c r="A800" s="1">
        <v>799</v>
      </c>
      <c r="B800" s="5" t="s">
        <v>3618</v>
      </c>
      <c r="C800" s="1" t="s">
        <v>2578</v>
      </c>
      <c r="D800" s="1">
        <v>46.5</v>
      </c>
      <c r="E800" s="1">
        <v>0.36</v>
      </c>
      <c r="F800" s="1">
        <v>8.3800000000000008</v>
      </c>
      <c r="G800" s="1">
        <v>0.66</v>
      </c>
      <c r="H800" s="1">
        <v>0</v>
      </c>
      <c r="I800" s="2">
        <v>15.06</v>
      </c>
      <c r="J800" s="1">
        <v>0.28000000000000003</v>
      </c>
      <c r="K800" s="2">
        <v>18.8</v>
      </c>
      <c r="L800" s="2">
        <v>9.39</v>
      </c>
      <c r="M800" s="1">
        <v>0.17</v>
      </c>
      <c r="N800" s="1">
        <v>0.04</v>
      </c>
      <c r="O800" s="1">
        <v>0.13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/>
      <c r="W800" s="1" t="s">
        <v>3619</v>
      </c>
    </row>
    <row r="801" spans="1:23" ht="13.2">
      <c r="A801" s="1">
        <v>800</v>
      </c>
      <c r="B801" s="5" t="s">
        <v>3620</v>
      </c>
      <c r="C801" s="1" t="s">
        <v>2578</v>
      </c>
      <c r="D801" s="1">
        <v>49.14</v>
      </c>
      <c r="E801" s="1">
        <v>1.85</v>
      </c>
      <c r="F801" s="1">
        <v>17.39</v>
      </c>
      <c r="G801" s="1">
        <v>0</v>
      </c>
      <c r="H801" s="1">
        <v>0</v>
      </c>
      <c r="I801" s="2">
        <v>10.41</v>
      </c>
      <c r="J801" s="1">
        <v>0.16</v>
      </c>
      <c r="K801" s="2">
        <v>5.83</v>
      </c>
      <c r="L801" s="2">
        <v>8.68</v>
      </c>
      <c r="M801" s="1">
        <v>3.32</v>
      </c>
      <c r="N801" s="1">
        <v>1.68</v>
      </c>
      <c r="O801" s="1">
        <v>1.36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/>
      <c r="W801" s="1" t="s">
        <v>3621</v>
      </c>
    </row>
    <row r="802" spans="1:23" ht="13.2">
      <c r="A802" s="1">
        <v>801</v>
      </c>
      <c r="B802" s="5" t="s">
        <v>3622</v>
      </c>
      <c r="C802" s="1" t="s">
        <v>2578</v>
      </c>
      <c r="D802" s="1">
        <v>77.040000000000006</v>
      </c>
      <c r="E802" s="1">
        <v>0.11</v>
      </c>
      <c r="F802" s="1">
        <v>12.76</v>
      </c>
      <c r="G802" s="1">
        <v>0</v>
      </c>
      <c r="H802" s="1">
        <v>0</v>
      </c>
      <c r="I802" s="2">
        <v>0.68</v>
      </c>
      <c r="J802" s="1">
        <v>7.0000000000000007E-2</v>
      </c>
      <c r="K802" s="2">
        <v>0.08</v>
      </c>
      <c r="L802" s="2">
        <v>0.57999999999999996</v>
      </c>
      <c r="M802" s="1">
        <v>4.07</v>
      </c>
      <c r="N802" s="1">
        <v>4.79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/>
      <c r="W802" s="1" t="s">
        <v>3623</v>
      </c>
    </row>
    <row r="803" spans="1:23" ht="13.2">
      <c r="A803" s="1">
        <v>802</v>
      </c>
      <c r="B803" s="5" t="s">
        <v>3624</v>
      </c>
      <c r="C803" s="1" t="s">
        <v>2578</v>
      </c>
      <c r="D803" s="1">
        <v>49.89</v>
      </c>
      <c r="E803" s="1">
        <v>0.89</v>
      </c>
      <c r="F803" s="1">
        <v>15.57</v>
      </c>
      <c r="G803" s="1">
        <v>0</v>
      </c>
      <c r="H803" s="1">
        <v>0</v>
      </c>
      <c r="I803" s="2">
        <v>7.82</v>
      </c>
      <c r="J803" s="1">
        <v>0.02</v>
      </c>
      <c r="K803" s="2">
        <v>5.75</v>
      </c>
      <c r="L803" s="2">
        <v>11.4</v>
      </c>
      <c r="M803" s="1">
        <v>1.95</v>
      </c>
      <c r="N803" s="1">
        <v>7.52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/>
      <c r="W803" s="1" t="s">
        <v>3625</v>
      </c>
    </row>
    <row r="804" spans="1:23" ht="13.2">
      <c r="A804" s="1">
        <v>803</v>
      </c>
      <c r="B804" s="1" t="s">
        <v>3626</v>
      </c>
      <c r="C804" s="1" t="s">
        <v>2065</v>
      </c>
      <c r="D804" s="1">
        <v>58.3</v>
      </c>
      <c r="E804" s="1">
        <v>0.04</v>
      </c>
      <c r="F804" s="1">
        <v>1.56</v>
      </c>
      <c r="G804" s="1">
        <v>0.01</v>
      </c>
      <c r="H804" s="1">
        <v>0.84</v>
      </c>
      <c r="I804" s="2">
        <v>0.33</v>
      </c>
      <c r="J804" s="1">
        <v>0.01</v>
      </c>
      <c r="K804" s="2">
        <v>38.869999999999997</v>
      </c>
      <c r="L804" s="2">
        <v>0.02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 t="s">
        <v>3627</v>
      </c>
      <c r="W804" s="1" t="s">
        <v>3628</v>
      </c>
    </row>
    <row r="805" spans="1:23" ht="13.2">
      <c r="A805" s="1">
        <v>804</v>
      </c>
      <c r="B805" s="1" t="s">
        <v>3629</v>
      </c>
      <c r="C805" s="1" t="s">
        <v>3274</v>
      </c>
      <c r="D805" s="1">
        <v>53.78</v>
      </c>
      <c r="E805" s="1">
        <v>0.08</v>
      </c>
      <c r="F805" s="1">
        <v>0.72</v>
      </c>
      <c r="G805" s="1">
        <v>0</v>
      </c>
      <c r="H805" s="1">
        <v>0.88</v>
      </c>
      <c r="I805" s="2">
        <v>2.16</v>
      </c>
      <c r="J805" s="1">
        <v>0.18</v>
      </c>
      <c r="K805" s="2">
        <v>16.43</v>
      </c>
      <c r="L805" s="2">
        <v>25.74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 t="s">
        <v>3627</v>
      </c>
      <c r="W805" s="1" t="s">
        <v>3630</v>
      </c>
    </row>
    <row r="806" spans="1:23" ht="13.2">
      <c r="A806" s="1">
        <v>805</v>
      </c>
      <c r="B806" s="5" t="s">
        <v>3631</v>
      </c>
      <c r="C806" s="1" t="s">
        <v>2578</v>
      </c>
      <c r="D806" s="1">
        <v>39.5</v>
      </c>
      <c r="E806" s="1">
        <v>9.3699999999999992</v>
      </c>
      <c r="F806" s="1">
        <v>6.27</v>
      </c>
      <c r="G806" s="1">
        <v>0</v>
      </c>
      <c r="H806" s="1">
        <v>0</v>
      </c>
      <c r="I806" s="2">
        <v>22.53</v>
      </c>
      <c r="J806" s="1">
        <v>0.34</v>
      </c>
      <c r="K806" s="2">
        <v>14.06</v>
      </c>
      <c r="L806" s="2">
        <v>7.4</v>
      </c>
      <c r="M806" s="1">
        <v>0.55000000000000004</v>
      </c>
      <c r="N806" s="1">
        <v>0.08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/>
      <c r="W806" s="1" t="s">
        <v>3632</v>
      </c>
    </row>
    <row r="807" spans="1:23" ht="13.2">
      <c r="A807" s="1">
        <v>806</v>
      </c>
      <c r="B807" s="5" t="s">
        <v>3633</v>
      </c>
      <c r="C807" s="1" t="s">
        <v>2578</v>
      </c>
      <c r="D807" s="1">
        <v>42.88</v>
      </c>
      <c r="E807" s="1">
        <v>3.54</v>
      </c>
      <c r="F807" s="1">
        <v>8.33</v>
      </c>
      <c r="G807" s="1">
        <v>0.49</v>
      </c>
      <c r="H807" s="1">
        <v>0</v>
      </c>
      <c r="I807" s="2">
        <v>21.71</v>
      </c>
      <c r="J807" s="1">
        <v>0.2</v>
      </c>
      <c r="K807" s="2">
        <v>13.81</v>
      </c>
      <c r="L807" s="2">
        <v>8.61</v>
      </c>
      <c r="M807" s="1">
        <v>0.42</v>
      </c>
      <c r="N807" s="1">
        <v>0.01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/>
      <c r="W807" s="1" t="s">
        <v>3634</v>
      </c>
    </row>
    <row r="808" spans="1:23" ht="39.6">
      <c r="A808" s="1">
        <v>807</v>
      </c>
      <c r="B808" s="5" t="s">
        <v>3635</v>
      </c>
      <c r="C808" s="1" t="s">
        <v>3636</v>
      </c>
      <c r="D808" s="1">
        <v>36.630000000000003</v>
      </c>
      <c r="E808" s="1">
        <v>0</v>
      </c>
      <c r="F808" s="1">
        <v>0.96</v>
      </c>
      <c r="G808" s="1">
        <v>0</v>
      </c>
      <c r="H808" s="1">
        <v>39.229999999999997</v>
      </c>
      <c r="I808" s="2">
        <v>0</v>
      </c>
      <c r="J808" s="1">
        <v>3.56</v>
      </c>
      <c r="K808" s="2">
        <v>0.35</v>
      </c>
      <c r="L808" s="2">
        <v>0.18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 t="s">
        <v>3637</v>
      </c>
      <c r="W808" s="1"/>
    </row>
    <row r="809" spans="1:23" ht="39.6">
      <c r="A809" s="5">
        <v>808</v>
      </c>
      <c r="B809" s="5" t="s">
        <v>3638</v>
      </c>
      <c r="C809" s="1" t="s">
        <v>3636</v>
      </c>
      <c r="D809" s="1">
        <v>38.78</v>
      </c>
      <c r="E809" s="1">
        <v>0</v>
      </c>
      <c r="F809" s="1">
        <v>0.83</v>
      </c>
      <c r="G809" s="1">
        <v>0</v>
      </c>
      <c r="H809" s="1">
        <v>20.69</v>
      </c>
      <c r="I809" s="2">
        <v>0</v>
      </c>
      <c r="J809" s="1">
        <v>22.09</v>
      </c>
      <c r="K809" s="2">
        <v>3.05</v>
      </c>
      <c r="L809" s="2">
        <v>0.65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 t="s">
        <v>3637</v>
      </c>
      <c r="W809" s="1"/>
    </row>
    <row r="810" spans="1:23" ht="39.6">
      <c r="A810" s="5">
        <v>809</v>
      </c>
      <c r="B810" s="5" t="s">
        <v>3639</v>
      </c>
      <c r="C810" s="1" t="s">
        <v>3636</v>
      </c>
      <c r="D810" s="1">
        <v>35.83</v>
      </c>
      <c r="E810" s="1">
        <v>0</v>
      </c>
      <c r="F810" s="1">
        <v>0.56000000000000005</v>
      </c>
      <c r="G810" s="1">
        <v>0</v>
      </c>
      <c r="H810" s="1">
        <v>44.08</v>
      </c>
      <c r="I810" s="2">
        <v>0</v>
      </c>
      <c r="J810" s="1">
        <v>0.1</v>
      </c>
      <c r="K810" s="2">
        <v>0.75</v>
      </c>
      <c r="L810" s="2">
        <v>0.44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 t="s">
        <v>3637</v>
      </c>
      <c r="W810" s="1"/>
    </row>
    <row r="811" spans="1:23" ht="39.6">
      <c r="A811" s="5">
        <v>810</v>
      </c>
      <c r="B811" s="5" t="s">
        <v>3640</v>
      </c>
      <c r="C811" s="1" t="s">
        <v>3636</v>
      </c>
      <c r="D811" s="1">
        <v>36.979999999999997</v>
      </c>
      <c r="E811" s="1">
        <v>0</v>
      </c>
      <c r="F811" s="1">
        <v>0.05</v>
      </c>
      <c r="G811" s="1">
        <v>0</v>
      </c>
      <c r="H811" s="1">
        <v>40.57</v>
      </c>
      <c r="I811" s="2">
        <v>0</v>
      </c>
      <c r="J811" s="1">
        <v>2.63</v>
      </c>
      <c r="K811" s="2">
        <v>2.27</v>
      </c>
      <c r="L811" s="2">
        <v>1.07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 t="s">
        <v>3637</v>
      </c>
      <c r="W811" s="1"/>
    </row>
    <row r="812" spans="1:23" ht="39.6">
      <c r="A812" s="5">
        <v>811</v>
      </c>
      <c r="B812" s="5" t="s">
        <v>3641</v>
      </c>
      <c r="C812" s="1" t="s">
        <v>3636</v>
      </c>
      <c r="D812" s="1">
        <v>39.01</v>
      </c>
      <c r="E812" s="1">
        <v>0</v>
      </c>
      <c r="F812" s="1">
        <v>2.92</v>
      </c>
      <c r="G812" s="1">
        <v>0</v>
      </c>
      <c r="H812" s="1">
        <v>36.380000000000003</v>
      </c>
      <c r="I812" s="2">
        <v>0</v>
      </c>
      <c r="J812" s="1">
        <v>2.92</v>
      </c>
      <c r="K812" s="2">
        <v>2.19</v>
      </c>
      <c r="L812" s="2">
        <v>0.45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 t="s">
        <v>3637</v>
      </c>
      <c r="W812" s="1"/>
    </row>
    <row r="813" spans="1:23" ht="13.2">
      <c r="A813" s="1">
        <v>812</v>
      </c>
      <c r="B813" s="1" t="s">
        <v>3642</v>
      </c>
      <c r="C813" s="1" t="s">
        <v>2578</v>
      </c>
      <c r="D813" s="1">
        <v>49.14</v>
      </c>
      <c r="E813" s="1">
        <v>1.85</v>
      </c>
      <c r="F813" s="1">
        <v>17.39</v>
      </c>
      <c r="G813" s="1">
        <v>0</v>
      </c>
      <c r="H813" s="1">
        <v>0</v>
      </c>
      <c r="I813" s="2">
        <v>10.41</v>
      </c>
      <c r="J813" s="1">
        <v>0.16</v>
      </c>
      <c r="K813" s="2">
        <v>5.83</v>
      </c>
      <c r="L813" s="2">
        <v>8.68</v>
      </c>
      <c r="M813" s="1">
        <v>3.32</v>
      </c>
      <c r="N813" s="1">
        <v>1.68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/>
      <c r="W813" s="1"/>
    </row>
    <row r="814" spans="1:23" ht="13.2">
      <c r="A814" s="1">
        <v>813</v>
      </c>
      <c r="B814" s="1" t="s">
        <v>3643</v>
      </c>
      <c r="C814" s="1" t="s">
        <v>2026</v>
      </c>
      <c r="D814" s="1">
        <v>55.85</v>
      </c>
      <c r="E814" s="1">
        <v>0</v>
      </c>
      <c r="F814" s="1">
        <v>0.8</v>
      </c>
      <c r="G814" s="1">
        <v>0.23</v>
      </c>
      <c r="H814" s="1">
        <v>0</v>
      </c>
      <c r="I814" s="2">
        <v>1.56</v>
      </c>
      <c r="J814" s="1">
        <v>0.06</v>
      </c>
      <c r="K814" s="2">
        <v>23.05</v>
      </c>
      <c r="L814" s="2">
        <v>6.04</v>
      </c>
      <c r="M814" s="1">
        <v>0</v>
      </c>
      <c r="N814" s="1">
        <v>0</v>
      </c>
      <c r="O814" s="1">
        <v>0.04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 t="s">
        <v>3644</v>
      </c>
      <c r="W814" s="1"/>
    </row>
    <row r="815" spans="1:23" ht="13.2">
      <c r="A815" s="1">
        <v>814</v>
      </c>
      <c r="B815" s="1" t="s">
        <v>3645</v>
      </c>
      <c r="C815" s="1" t="s">
        <v>2677</v>
      </c>
      <c r="D815" s="1">
        <v>50.31</v>
      </c>
      <c r="E815" s="1">
        <v>1.43</v>
      </c>
      <c r="F815" s="1">
        <v>4.78</v>
      </c>
      <c r="G815" s="1">
        <v>0.46</v>
      </c>
      <c r="H815" s="1">
        <v>0</v>
      </c>
      <c r="I815" s="2">
        <v>4.34</v>
      </c>
      <c r="J815" s="1">
        <v>0.08</v>
      </c>
      <c r="K815" s="2">
        <v>15.87</v>
      </c>
      <c r="L815" s="2">
        <v>22.57</v>
      </c>
      <c r="M815" s="1">
        <v>0.45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/>
      <c r="W815" s="1"/>
    </row>
    <row r="816" spans="1:23" ht="13.2">
      <c r="A816" s="1">
        <v>815</v>
      </c>
      <c r="B816" s="1" t="s">
        <v>3646</v>
      </c>
      <c r="C816" s="1" t="s">
        <v>2578</v>
      </c>
      <c r="D816" s="1">
        <v>45.8</v>
      </c>
      <c r="E816" s="1">
        <v>0.93</v>
      </c>
      <c r="F816" s="1">
        <v>17.399999999999999</v>
      </c>
      <c r="G816" s="1">
        <v>0.35</v>
      </c>
      <c r="H816" s="1">
        <v>0</v>
      </c>
      <c r="I816" s="2">
        <v>4.8</v>
      </c>
      <c r="J816" s="1">
        <v>0.19</v>
      </c>
      <c r="K816" s="2">
        <v>17</v>
      </c>
      <c r="L816" s="2">
        <v>12.5</v>
      </c>
      <c r="M816" s="1">
        <v>0.19</v>
      </c>
      <c r="N816" s="1">
        <v>0.23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 t="s">
        <v>3647</v>
      </c>
      <c r="W816" s="1" t="s">
        <v>3648</v>
      </c>
    </row>
    <row r="817" spans="1:23" ht="13.2">
      <c r="A817" s="1">
        <v>816</v>
      </c>
      <c r="B817" s="1" t="s">
        <v>3649</v>
      </c>
      <c r="C817" s="1" t="s">
        <v>2578</v>
      </c>
      <c r="D817" s="1">
        <v>44.4</v>
      </c>
      <c r="E817" s="1">
        <v>0.47</v>
      </c>
      <c r="F817" s="1">
        <v>26.4</v>
      </c>
      <c r="G817" s="1">
        <v>0.16</v>
      </c>
      <c r="H817" s="1">
        <v>0</v>
      </c>
      <c r="I817" s="2">
        <v>2.6</v>
      </c>
      <c r="J817" s="1">
        <v>7.0000000000000007E-2</v>
      </c>
      <c r="K817" s="2">
        <v>8.8000000000000007</v>
      </c>
      <c r="L817" s="2">
        <v>16.399999999999999</v>
      </c>
      <c r="M817" s="1">
        <v>0.19</v>
      </c>
      <c r="N817" s="1">
        <v>0.15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 t="s">
        <v>3647</v>
      </c>
      <c r="W817" s="1" t="s">
        <v>3650</v>
      </c>
    </row>
    <row r="818" spans="1:23" ht="13.2">
      <c r="A818" s="1">
        <v>817</v>
      </c>
      <c r="B818" s="1" t="s">
        <v>3651</v>
      </c>
      <c r="C818" s="1" t="s">
        <v>2578</v>
      </c>
      <c r="D818" s="1">
        <v>57</v>
      </c>
      <c r="E818" s="1">
        <v>7</v>
      </c>
      <c r="F818" s="1">
        <v>11.2</v>
      </c>
      <c r="G818" s="1">
        <v>0.04</v>
      </c>
      <c r="H818" s="1">
        <v>0</v>
      </c>
      <c r="I818" s="2">
        <v>12</v>
      </c>
      <c r="J818" s="1">
        <v>0.4</v>
      </c>
      <c r="K818" s="2">
        <v>1.7</v>
      </c>
      <c r="L818" s="2">
        <v>8</v>
      </c>
      <c r="M818" s="1">
        <v>0.21</v>
      </c>
      <c r="N818" s="1">
        <v>1.9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 t="s">
        <v>3647</v>
      </c>
      <c r="W818" s="1"/>
    </row>
    <row r="819" spans="1:23" ht="13.2">
      <c r="A819" s="1">
        <v>818</v>
      </c>
      <c r="B819" s="1" t="s">
        <v>3651</v>
      </c>
      <c r="C819" s="1" t="s">
        <v>2026</v>
      </c>
      <c r="D819" s="1">
        <v>41.8</v>
      </c>
      <c r="E819" s="1">
        <v>0</v>
      </c>
      <c r="F819" s="1">
        <v>0.2</v>
      </c>
      <c r="G819" s="1">
        <v>0.34</v>
      </c>
      <c r="H819" s="1">
        <v>0</v>
      </c>
      <c r="I819" s="2">
        <v>5.7</v>
      </c>
      <c r="J819" s="1">
        <v>0.17</v>
      </c>
      <c r="K819" s="2">
        <v>52.4</v>
      </c>
      <c r="L819" s="2">
        <v>0.28999999999999998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 t="s">
        <v>3647</v>
      </c>
      <c r="W819" s="1" t="s">
        <v>3652</v>
      </c>
    </row>
    <row r="820" spans="1:23" ht="13.2">
      <c r="A820" s="1">
        <v>819</v>
      </c>
      <c r="B820" s="1" t="s">
        <v>3651</v>
      </c>
      <c r="C820" s="1" t="s">
        <v>3154</v>
      </c>
      <c r="D820" s="1">
        <v>0.23</v>
      </c>
      <c r="E820" s="1">
        <v>0.24</v>
      </c>
      <c r="F820" s="1">
        <v>53.1</v>
      </c>
      <c r="G820" s="1">
        <v>16.3</v>
      </c>
      <c r="H820" s="1">
        <v>0</v>
      </c>
      <c r="I820" s="2">
        <v>7.9</v>
      </c>
      <c r="J820" s="1">
        <v>0.19</v>
      </c>
      <c r="K820" s="2">
        <v>21.4</v>
      </c>
      <c r="L820" s="2">
        <v>0.12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 t="s">
        <v>3647</v>
      </c>
      <c r="W820" s="1" t="s">
        <v>3653</v>
      </c>
    </row>
    <row r="821" spans="1:23" ht="13.2">
      <c r="A821" s="1">
        <v>820</v>
      </c>
      <c r="B821" s="1" t="s">
        <v>3651</v>
      </c>
      <c r="C821" s="1" t="s">
        <v>51</v>
      </c>
      <c r="D821" s="1">
        <v>45.7</v>
      </c>
      <c r="E821" s="1">
        <v>0.06</v>
      </c>
      <c r="F821" s="1">
        <v>34.799999999999997</v>
      </c>
      <c r="G821" s="1">
        <v>0</v>
      </c>
      <c r="H821" s="1">
        <v>0</v>
      </c>
      <c r="I821" s="2">
        <v>0.3</v>
      </c>
      <c r="J821" s="1">
        <v>0</v>
      </c>
      <c r="K821" s="2">
        <v>0.59</v>
      </c>
      <c r="L821" s="2">
        <v>19.100000000000001</v>
      </c>
      <c r="M821" s="1">
        <v>0.33</v>
      </c>
      <c r="N821" s="1">
        <v>0.11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 t="s">
        <v>3647</v>
      </c>
      <c r="W821" s="1"/>
    </row>
    <row r="822" spans="1:23" ht="13.2">
      <c r="A822" s="1">
        <v>821</v>
      </c>
      <c r="B822" s="1" t="s">
        <v>3651</v>
      </c>
      <c r="C822" s="1" t="s">
        <v>2034</v>
      </c>
      <c r="D822" s="1">
        <v>49</v>
      </c>
      <c r="E822" s="1">
        <v>2.7</v>
      </c>
      <c r="F822" s="1">
        <v>6</v>
      </c>
      <c r="G822" s="1">
        <v>1.6</v>
      </c>
      <c r="H822" s="1">
        <v>0</v>
      </c>
      <c r="I822" s="2">
        <v>6</v>
      </c>
      <c r="J822" s="1">
        <v>0.4</v>
      </c>
      <c r="K822" s="2">
        <v>16</v>
      </c>
      <c r="L822" s="2">
        <v>19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 t="s">
        <v>3647</v>
      </c>
      <c r="W822" s="1" t="s">
        <v>3654</v>
      </c>
    </row>
    <row r="823" spans="1:23" ht="13.2">
      <c r="A823" s="1">
        <v>822</v>
      </c>
      <c r="B823" s="1" t="s">
        <v>3655</v>
      </c>
      <c r="C823" s="1" t="s">
        <v>3656</v>
      </c>
      <c r="D823" s="1">
        <v>49.2</v>
      </c>
      <c r="E823" s="1">
        <v>1.3</v>
      </c>
      <c r="F823" s="1">
        <v>25.6</v>
      </c>
      <c r="G823" s="1">
        <v>0</v>
      </c>
      <c r="H823" s="1">
        <v>0</v>
      </c>
      <c r="I823" s="2">
        <v>1.6</v>
      </c>
      <c r="J823" s="1">
        <v>0</v>
      </c>
      <c r="K823" s="2">
        <v>3.8</v>
      </c>
      <c r="L823" s="2">
        <v>18.600000000000001</v>
      </c>
      <c r="M823" s="1">
        <v>0.27</v>
      </c>
      <c r="N823" s="1">
        <v>0.27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 t="s">
        <v>3647</v>
      </c>
      <c r="W823" s="1"/>
    </row>
    <row r="824" spans="1:23" ht="13.2">
      <c r="A824" s="1">
        <v>823</v>
      </c>
      <c r="B824" s="1" t="s">
        <v>3655</v>
      </c>
      <c r="C824" s="1" t="s">
        <v>2026</v>
      </c>
      <c r="D824" s="1">
        <v>41.7</v>
      </c>
      <c r="E824" s="1">
        <v>0.06</v>
      </c>
      <c r="F824" s="1">
        <v>0.3</v>
      </c>
      <c r="G824" s="1">
        <v>0.39</v>
      </c>
      <c r="H824" s="1">
        <v>0</v>
      </c>
      <c r="I824" s="2">
        <v>6.2</v>
      </c>
      <c r="J824" s="1">
        <v>0.17</v>
      </c>
      <c r="K824" s="2">
        <v>52</v>
      </c>
      <c r="L824" s="2">
        <v>0.3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 t="s">
        <v>3647</v>
      </c>
      <c r="W824" s="1" t="s">
        <v>3657</v>
      </c>
    </row>
    <row r="825" spans="1:23" ht="13.2">
      <c r="A825" s="1">
        <v>824</v>
      </c>
      <c r="B825" s="1" t="s">
        <v>3658</v>
      </c>
      <c r="C825" s="1" t="s">
        <v>2578</v>
      </c>
      <c r="D825" s="1">
        <v>59</v>
      </c>
      <c r="E825" s="1">
        <v>5</v>
      </c>
      <c r="F825" s="1">
        <v>11</v>
      </c>
      <c r="G825" s="1">
        <v>0.03</v>
      </c>
      <c r="H825" s="1">
        <v>0</v>
      </c>
      <c r="I825" s="2">
        <v>12</v>
      </c>
      <c r="J825" s="1">
        <v>0.37</v>
      </c>
      <c r="K825" s="2">
        <v>1.5</v>
      </c>
      <c r="L825" s="2">
        <v>8.1</v>
      </c>
      <c r="M825" s="1">
        <v>0.16</v>
      </c>
      <c r="N825" s="1">
        <v>2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 t="s">
        <v>3647</v>
      </c>
      <c r="W825" s="1"/>
    </row>
    <row r="826" spans="1:23" ht="13.2">
      <c r="A826" s="1">
        <v>825</v>
      </c>
      <c r="B826" s="1" t="s">
        <v>3658</v>
      </c>
      <c r="C826" s="1" t="s">
        <v>2026</v>
      </c>
      <c r="D826" s="1">
        <v>41.2</v>
      </c>
      <c r="E826" s="1">
        <v>0</v>
      </c>
      <c r="F826" s="1">
        <v>0</v>
      </c>
      <c r="G826" s="1">
        <v>0.4</v>
      </c>
      <c r="H826" s="1">
        <v>0</v>
      </c>
      <c r="I826" s="2">
        <v>9</v>
      </c>
      <c r="J826" s="1">
        <v>0.2</v>
      </c>
      <c r="K826" s="2">
        <v>50</v>
      </c>
      <c r="L826" s="2">
        <v>0.5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 t="s">
        <v>3647</v>
      </c>
      <c r="W826" s="1" t="s">
        <v>3659</v>
      </c>
    </row>
    <row r="827" spans="1:23" ht="13.2">
      <c r="A827" s="1">
        <v>826</v>
      </c>
      <c r="B827" s="1" t="s">
        <v>3658</v>
      </c>
      <c r="C827" s="1" t="s">
        <v>51</v>
      </c>
      <c r="D827" s="1">
        <v>44.2</v>
      </c>
      <c r="E827" s="1">
        <v>0</v>
      </c>
      <c r="F827" s="1">
        <v>36</v>
      </c>
      <c r="G827" s="1">
        <v>0</v>
      </c>
      <c r="H827" s="1">
        <v>0</v>
      </c>
      <c r="I827" s="2">
        <v>0.09</v>
      </c>
      <c r="J827" s="1">
        <v>0</v>
      </c>
      <c r="K827" s="2">
        <v>0.37</v>
      </c>
      <c r="L827" s="2">
        <v>19.8</v>
      </c>
      <c r="M827" s="1">
        <v>0.13</v>
      </c>
      <c r="N827" s="1">
        <v>0.03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 t="s">
        <v>3647</v>
      </c>
      <c r="W827" s="1"/>
    </row>
    <row r="828" spans="1:23" ht="13.2">
      <c r="A828" s="1">
        <v>827</v>
      </c>
      <c r="B828" s="1" t="s">
        <v>3658</v>
      </c>
      <c r="C828" s="1" t="s">
        <v>2034</v>
      </c>
      <c r="D828" s="1">
        <v>49</v>
      </c>
      <c r="E828" s="1">
        <v>2.7</v>
      </c>
      <c r="F828" s="1">
        <v>6</v>
      </c>
      <c r="G828" s="1">
        <v>1.4</v>
      </c>
      <c r="H828" s="1">
        <v>0</v>
      </c>
      <c r="I828" s="2">
        <v>6</v>
      </c>
      <c r="J828" s="1">
        <v>0.31</v>
      </c>
      <c r="K828" s="2">
        <v>15</v>
      </c>
      <c r="L828" s="2">
        <v>20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 t="s">
        <v>3647</v>
      </c>
      <c r="W828" s="1" t="s">
        <v>3660</v>
      </c>
    </row>
    <row r="829" spans="1:23" ht="13.2">
      <c r="A829" s="1">
        <v>828</v>
      </c>
      <c r="B829" s="1" t="s">
        <v>3661</v>
      </c>
      <c r="C829" s="1" t="s">
        <v>3656</v>
      </c>
      <c r="D829" s="1">
        <v>44.6</v>
      </c>
      <c r="E829" s="1">
        <v>0</v>
      </c>
      <c r="F829" s="1">
        <v>35.700000000000003</v>
      </c>
      <c r="G829" s="1">
        <v>0</v>
      </c>
      <c r="H829" s="1">
        <v>0</v>
      </c>
      <c r="I829" s="2">
        <v>0.16</v>
      </c>
      <c r="J829" s="1">
        <v>0</v>
      </c>
      <c r="K829" s="2">
        <v>0.5</v>
      </c>
      <c r="L829" s="2">
        <v>19.600000000000001</v>
      </c>
      <c r="M829" s="1">
        <v>0.2</v>
      </c>
      <c r="N829" s="1">
        <v>0.04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 t="s">
        <v>3647</v>
      </c>
      <c r="W829" s="1"/>
    </row>
    <row r="830" spans="1:23" ht="13.2">
      <c r="A830" s="1">
        <v>829</v>
      </c>
      <c r="B830" s="1" t="s">
        <v>3661</v>
      </c>
      <c r="C830" s="1" t="s">
        <v>2026</v>
      </c>
      <c r="D830" s="1">
        <v>40.299999999999997</v>
      </c>
      <c r="E830" s="1">
        <v>0.1</v>
      </c>
      <c r="F830" s="1">
        <v>7.0000000000000007E-2</v>
      </c>
      <c r="G830" s="1">
        <v>0.56000000000000005</v>
      </c>
      <c r="H830" s="1">
        <v>0</v>
      </c>
      <c r="I830" s="2">
        <v>13.2</v>
      </c>
      <c r="J830" s="1">
        <v>0.41</v>
      </c>
      <c r="K830" s="2">
        <v>46</v>
      </c>
      <c r="L830" s="2">
        <v>0.7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 t="s">
        <v>3647</v>
      </c>
      <c r="W830" s="1" t="s">
        <v>3662</v>
      </c>
    </row>
    <row r="831" spans="1:23" ht="13.2">
      <c r="A831" s="1">
        <v>830</v>
      </c>
      <c r="B831" s="5" t="s">
        <v>3663</v>
      </c>
      <c r="C831" s="1" t="s">
        <v>2578</v>
      </c>
      <c r="D831" s="1">
        <v>51.84</v>
      </c>
      <c r="E831" s="1">
        <v>0.91</v>
      </c>
      <c r="F831" s="1">
        <v>16.010000000000002</v>
      </c>
      <c r="G831" s="1">
        <v>0.4</v>
      </c>
      <c r="H831" s="1">
        <v>0</v>
      </c>
      <c r="I831" s="2">
        <v>11.67</v>
      </c>
      <c r="J831" s="1">
        <v>0.17</v>
      </c>
      <c r="K831" s="2">
        <v>3.61</v>
      </c>
      <c r="L831" s="2">
        <v>6.76</v>
      </c>
      <c r="M831" s="1">
        <v>6.39</v>
      </c>
      <c r="N831" s="1">
        <v>2.23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/>
      <c r="W831" s="1" t="s">
        <v>3664</v>
      </c>
    </row>
    <row r="832" spans="1:23" ht="13.2">
      <c r="A832" s="1">
        <v>831</v>
      </c>
      <c r="B832" s="5" t="s">
        <v>3665</v>
      </c>
      <c r="C832" s="1" t="s">
        <v>2578</v>
      </c>
      <c r="D832" s="1">
        <v>50.57</v>
      </c>
      <c r="E832" s="1">
        <v>1.04</v>
      </c>
      <c r="F832" s="1">
        <v>11.92</v>
      </c>
      <c r="G832" s="1">
        <v>0.19</v>
      </c>
      <c r="H832" s="1">
        <v>0</v>
      </c>
      <c r="I832" s="2">
        <v>13.83</v>
      </c>
      <c r="J832" s="1">
        <v>0.3</v>
      </c>
      <c r="K832" s="2">
        <v>8.31</v>
      </c>
      <c r="L832" s="2">
        <v>9.5</v>
      </c>
      <c r="M832" s="1">
        <v>3.98</v>
      </c>
      <c r="N832" s="1">
        <v>0.36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/>
      <c r="W832" s="1" t="s">
        <v>3666</v>
      </c>
    </row>
    <row r="833" spans="1:23" ht="13.2">
      <c r="A833" s="1">
        <v>832</v>
      </c>
      <c r="B833" s="5" t="s">
        <v>3667</v>
      </c>
      <c r="C833" s="1" t="s">
        <v>2578</v>
      </c>
      <c r="D833" s="1">
        <v>46.7</v>
      </c>
      <c r="E833" s="1">
        <v>0.49</v>
      </c>
      <c r="F833" s="1">
        <v>11.11</v>
      </c>
      <c r="G833" s="1">
        <v>0.62</v>
      </c>
      <c r="H833" s="1">
        <v>0</v>
      </c>
      <c r="I833" s="2">
        <v>19.190000000000001</v>
      </c>
      <c r="J833" s="1">
        <v>0.42</v>
      </c>
      <c r="K833" s="2">
        <v>11.06</v>
      </c>
      <c r="L833" s="2">
        <v>7.92</v>
      </c>
      <c r="M833" s="1">
        <v>2.44</v>
      </c>
      <c r="N833" s="1">
        <v>7.0000000000000007E-2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/>
      <c r="W833" s="1" t="s">
        <v>3668</v>
      </c>
    </row>
    <row r="834" spans="1:23" ht="13.2">
      <c r="A834" s="1">
        <v>833</v>
      </c>
      <c r="B834" s="5" t="s">
        <v>3669</v>
      </c>
      <c r="C834" s="1" t="s">
        <v>2578</v>
      </c>
      <c r="D834" s="1">
        <v>57.77</v>
      </c>
      <c r="E834" s="1">
        <v>0</v>
      </c>
      <c r="F834" s="1">
        <v>14.08</v>
      </c>
      <c r="G834" s="1">
        <v>0</v>
      </c>
      <c r="H834" s="1">
        <v>0</v>
      </c>
      <c r="I834" s="2">
        <v>1.03</v>
      </c>
      <c r="J834" s="1">
        <v>0</v>
      </c>
      <c r="K834" s="2">
        <v>15.67</v>
      </c>
      <c r="L834" s="2">
        <v>4.2300000000000004</v>
      </c>
      <c r="M834" s="1">
        <v>7.21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/>
      <c r="W834" s="1" t="s">
        <v>3670</v>
      </c>
    </row>
    <row r="835" spans="1:23" ht="13.2">
      <c r="A835" s="1">
        <v>834</v>
      </c>
      <c r="B835" s="5" t="s">
        <v>3671</v>
      </c>
      <c r="C835" s="1" t="s">
        <v>2578</v>
      </c>
      <c r="D835" s="1">
        <v>58.38</v>
      </c>
      <c r="E835" s="1">
        <v>0</v>
      </c>
      <c r="F835" s="1">
        <v>14.23</v>
      </c>
      <c r="G835" s="1">
        <v>0</v>
      </c>
      <c r="H835" s="1">
        <v>0</v>
      </c>
      <c r="I835" s="2">
        <v>0</v>
      </c>
      <c r="J835" s="1">
        <v>0</v>
      </c>
      <c r="K835" s="2">
        <v>15.83</v>
      </c>
      <c r="L835" s="2">
        <v>4.2699999999999996</v>
      </c>
      <c r="M835" s="1">
        <v>7.29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/>
      <c r="W835" s="1" t="s">
        <v>3672</v>
      </c>
    </row>
    <row r="836" spans="1:23" ht="13.2">
      <c r="A836" s="1">
        <v>835</v>
      </c>
      <c r="B836" s="5" t="s">
        <v>3673</v>
      </c>
      <c r="C836" s="1" t="s">
        <v>2578</v>
      </c>
      <c r="D836" s="1">
        <v>35.04</v>
      </c>
      <c r="E836" s="1">
        <v>14.9</v>
      </c>
      <c r="F836" s="1">
        <v>5.78</v>
      </c>
      <c r="G836" s="1">
        <v>0.89</v>
      </c>
      <c r="H836" s="1">
        <v>0</v>
      </c>
      <c r="I836" s="2">
        <v>22.42</v>
      </c>
      <c r="J836" s="1">
        <v>0.28999999999999998</v>
      </c>
      <c r="K836" s="2">
        <v>12.81</v>
      </c>
      <c r="L836" s="2">
        <v>7.24</v>
      </c>
      <c r="M836" s="1">
        <v>0.36</v>
      </c>
      <c r="N836" s="1">
        <v>0.14000000000000001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/>
      <c r="W836" s="1"/>
    </row>
    <row r="837" spans="1:23" ht="13.2">
      <c r="A837" s="1">
        <v>836</v>
      </c>
      <c r="B837" s="5" t="s">
        <v>3674</v>
      </c>
      <c r="C837" s="1" t="s">
        <v>2578</v>
      </c>
      <c r="D837" s="1">
        <v>38.24</v>
      </c>
      <c r="E837" s="1">
        <v>9.94</v>
      </c>
      <c r="F837" s="1">
        <v>5.99</v>
      </c>
      <c r="G837" s="1">
        <v>0.66</v>
      </c>
      <c r="H837" s="1">
        <v>0</v>
      </c>
      <c r="I837" s="2">
        <v>22.77</v>
      </c>
      <c r="J837" s="1">
        <v>0.31</v>
      </c>
      <c r="K837" s="2">
        <v>13.82</v>
      </c>
      <c r="L837" s="2">
        <v>7.41</v>
      </c>
      <c r="M837" s="1">
        <v>0.42</v>
      </c>
      <c r="N837" s="1">
        <v>0.06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/>
      <c r="W837" s="1"/>
    </row>
    <row r="838" spans="1:23" ht="13.2">
      <c r="A838" s="1">
        <v>837</v>
      </c>
      <c r="B838" s="5" t="s">
        <v>3675</v>
      </c>
      <c r="C838" s="1" t="s">
        <v>2578</v>
      </c>
      <c r="D838" s="1">
        <v>41.65</v>
      </c>
      <c r="E838" s="1">
        <v>4.8499999999999996</v>
      </c>
      <c r="F838" s="1">
        <v>7.63</v>
      </c>
      <c r="G838" s="1">
        <v>0.5</v>
      </c>
      <c r="H838" s="1">
        <v>0</v>
      </c>
      <c r="I838" s="2">
        <v>22.42</v>
      </c>
      <c r="J838" s="1">
        <v>0.35</v>
      </c>
      <c r="K838" s="2">
        <v>13.06</v>
      </c>
      <c r="L838" s="2">
        <v>8.41</v>
      </c>
      <c r="M838" s="1">
        <v>0.45</v>
      </c>
      <c r="N838" s="1">
        <v>0.05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/>
      <c r="W838" s="1"/>
    </row>
    <row r="839" spans="1:23" ht="13.2">
      <c r="A839" s="1">
        <v>838</v>
      </c>
      <c r="B839" s="5" t="s">
        <v>3676</v>
      </c>
      <c r="C839" s="1" t="s">
        <v>2578</v>
      </c>
      <c r="D839" s="1">
        <v>45.6</v>
      </c>
      <c r="E839" s="1">
        <v>0.55000000000000004</v>
      </c>
      <c r="F839" s="1">
        <v>7.86</v>
      </c>
      <c r="G839" s="1">
        <v>0.51</v>
      </c>
      <c r="H839" s="1">
        <v>0</v>
      </c>
      <c r="I839" s="2">
        <v>19.5</v>
      </c>
      <c r="J839" s="1">
        <v>0.28000000000000003</v>
      </c>
      <c r="K839" s="2">
        <v>17.11</v>
      </c>
      <c r="L839" s="2">
        <v>8.43</v>
      </c>
      <c r="M839" s="1">
        <v>0.19</v>
      </c>
      <c r="N839" s="1">
        <v>0.01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/>
      <c r="W839" s="1"/>
    </row>
    <row r="840" spans="1:23" ht="13.2">
      <c r="A840" s="1">
        <v>839</v>
      </c>
      <c r="B840" s="5" t="s">
        <v>3677</v>
      </c>
      <c r="C840" s="1" t="s">
        <v>2578</v>
      </c>
      <c r="D840" s="1">
        <v>46.08</v>
      </c>
      <c r="E840" s="1">
        <v>0.3</v>
      </c>
      <c r="F840" s="1">
        <v>28.05</v>
      </c>
      <c r="G840" s="1">
        <v>0</v>
      </c>
      <c r="H840" s="1">
        <v>0</v>
      </c>
      <c r="I840" s="2">
        <v>4.51</v>
      </c>
      <c r="J840" s="1">
        <v>0</v>
      </c>
      <c r="K840" s="2">
        <v>4.51</v>
      </c>
      <c r="L840" s="2">
        <v>16.03</v>
      </c>
      <c r="M840" s="1">
        <v>0.45</v>
      </c>
      <c r="N840" s="1">
        <v>0.08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/>
      <c r="W840" s="1"/>
    </row>
    <row r="841" spans="1:23" ht="13.2">
      <c r="A841" s="1">
        <v>840</v>
      </c>
      <c r="B841" s="5" t="s">
        <v>3678</v>
      </c>
      <c r="C841" s="1" t="s">
        <v>2578</v>
      </c>
      <c r="D841" s="1">
        <v>44.32</v>
      </c>
      <c r="E841" s="1">
        <v>2.29</v>
      </c>
      <c r="F841" s="1">
        <v>8.42</v>
      </c>
      <c r="G841" s="1">
        <v>0.85</v>
      </c>
      <c r="H841" s="1">
        <v>0</v>
      </c>
      <c r="I841" s="2">
        <v>22.81</v>
      </c>
      <c r="J841" s="1">
        <v>0.32</v>
      </c>
      <c r="K841" s="2">
        <v>11.36</v>
      </c>
      <c r="L841" s="2">
        <v>9.32</v>
      </c>
      <c r="M841" s="1">
        <v>0.27</v>
      </c>
      <c r="N841" s="1">
        <v>0.04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/>
      <c r="W841" s="1"/>
    </row>
    <row r="842" spans="1:23" ht="13.2">
      <c r="A842" s="1">
        <v>841</v>
      </c>
      <c r="B842" s="5" t="s">
        <v>3679</v>
      </c>
      <c r="C842" s="1" t="s">
        <v>2578</v>
      </c>
      <c r="D842" s="1">
        <v>57.97</v>
      </c>
      <c r="E842" s="1">
        <v>0</v>
      </c>
      <c r="F842" s="1">
        <v>14.13</v>
      </c>
      <c r="G842" s="1">
        <v>0.7</v>
      </c>
      <c r="H842" s="1">
        <v>0</v>
      </c>
      <c r="I842" s="2">
        <v>0</v>
      </c>
      <c r="J842" s="1">
        <v>0</v>
      </c>
      <c r="K842" s="2">
        <v>15.72</v>
      </c>
      <c r="L842" s="2">
        <v>4.24</v>
      </c>
      <c r="M842" s="1">
        <v>7.24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/>
      <c r="W842" s="1"/>
    </row>
    <row r="843" spans="1:23" ht="13.2">
      <c r="A843" s="1">
        <v>842</v>
      </c>
      <c r="B843" s="5" t="s">
        <v>3680</v>
      </c>
      <c r="C843" s="1" t="s">
        <v>2578</v>
      </c>
      <c r="D843" s="1">
        <v>57.9</v>
      </c>
      <c r="E843" s="1">
        <v>0.82</v>
      </c>
      <c r="F843" s="1">
        <v>14.11</v>
      </c>
      <c r="G843" s="1">
        <v>0</v>
      </c>
      <c r="H843" s="1">
        <v>0</v>
      </c>
      <c r="I843" s="2">
        <v>0</v>
      </c>
      <c r="J843" s="1">
        <v>0</v>
      </c>
      <c r="K843" s="2">
        <v>15.7</v>
      </c>
      <c r="L843" s="2">
        <v>4.24</v>
      </c>
      <c r="M843" s="1">
        <v>7.23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/>
      <c r="W843" s="1"/>
    </row>
    <row r="844" spans="1:23" ht="13.2">
      <c r="A844" s="1">
        <v>843</v>
      </c>
      <c r="B844" s="5" t="s">
        <v>3681</v>
      </c>
      <c r="C844" s="1" t="s">
        <v>2578</v>
      </c>
      <c r="D844" s="1">
        <v>57.83</v>
      </c>
      <c r="E844" s="1">
        <v>0</v>
      </c>
      <c r="F844" s="1">
        <v>14.09</v>
      </c>
      <c r="G844" s="1">
        <v>0</v>
      </c>
      <c r="H844" s="1">
        <v>0</v>
      </c>
      <c r="I844" s="2">
        <v>0</v>
      </c>
      <c r="J844" s="1">
        <v>0</v>
      </c>
      <c r="K844" s="2">
        <v>15.68</v>
      </c>
      <c r="L844" s="2">
        <v>4.2300000000000004</v>
      </c>
      <c r="M844" s="1">
        <v>7.22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/>
      <c r="W844" s="1" t="s">
        <v>3682</v>
      </c>
    </row>
    <row r="845" spans="1:23" ht="13.2">
      <c r="A845" s="1">
        <v>844</v>
      </c>
      <c r="B845" s="5" t="s">
        <v>3683</v>
      </c>
      <c r="C845" s="1" t="s">
        <v>2578</v>
      </c>
      <c r="D845" s="1">
        <v>56.97</v>
      </c>
      <c r="E845" s="1">
        <v>0.8</v>
      </c>
      <c r="F845" s="1">
        <v>13.88</v>
      </c>
      <c r="G845" s="1">
        <v>0.69</v>
      </c>
      <c r="H845" s="1">
        <v>0</v>
      </c>
      <c r="I845" s="2">
        <v>0</v>
      </c>
      <c r="J845" s="1">
        <v>0</v>
      </c>
      <c r="K845" s="2">
        <v>15.45</v>
      </c>
      <c r="L845" s="2">
        <v>4.17</v>
      </c>
      <c r="M845" s="1">
        <v>7.11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/>
      <c r="W845" s="1" t="s">
        <v>3684</v>
      </c>
    </row>
    <row r="846" spans="1:23" ht="26.4">
      <c r="A846" s="1">
        <v>845</v>
      </c>
      <c r="B846" s="5" t="s">
        <v>3685</v>
      </c>
      <c r="C846" s="1" t="s">
        <v>2026</v>
      </c>
      <c r="D846" s="1">
        <v>40.81</v>
      </c>
      <c r="E846" s="1">
        <v>0</v>
      </c>
      <c r="F846" s="1">
        <v>0</v>
      </c>
      <c r="G846" s="1">
        <v>0</v>
      </c>
      <c r="H846" s="1">
        <v>0</v>
      </c>
      <c r="I846" s="2">
        <v>9.5500000000000007</v>
      </c>
      <c r="J846" s="1">
        <v>0.14000000000000001</v>
      </c>
      <c r="K846" s="2">
        <v>49.42</v>
      </c>
      <c r="L846" s="2">
        <v>0.05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 t="s">
        <v>3686</v>
      </c>
      <c r="W846" s="1"/>
    </row>
    <row r="847" spans="1:23" ht="39.6">
      <c r="A847" s="1">
        <v>846</v>
      </c>
      <c r="B847" s="5" t="s">
        <v>3687</v>
      </c>
      <c r="C847" s="1" t="s">
        <v>2020</v>
      </c>
      <c r="D847" s="1">
        <v>44.4</v>
      </c>
      <c r="E847" s="1">
        <v>0.48</v>
      </c>
      <c r="F847" s="1">
        <v>8.98</v>
      </c>
      <c r="G847" s="1">
        <v>0.01</v>
      </c>
      <c r="H847" s="1">
        <v>3.77</v>
      </c>
      <c r="I847" s="2">
        <v>0</v>
      </c>
      <c r="J847" s="1">
        <v>0</v>
      </c>
      <c r="K847" s="2">
        <v>1.69</v>
      </c>
      <c r="L847" s="2">
        <v>20.3</v>
      </c>
      <c r="M847" s="1">
        <v>0.94</v>
      </c>
      <c r="N847" s="1">
        <v>1.3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/>
      <c r="W847" s="1" t="s">
        <v>3688</v>
      </c>
    </row>
    <row r="848" spans="1:23" ht="13.2">
      <c r="A848" s="1">
        <v>847</v>
      </c>
      <c r="B848" s="5" t="s">
        <v>3689</v>
      </c>
      <c r="C848" s="1" t="s">
        <v>2020</v>
      </c>
      <c r="D848" s="1">
        <v>48.91</v>
      </c>
      <c r="E848" s="1">
        <v>1.05</v>
      </c>
      <c r="F848" s="1">
        <v>14.24</v>
      </c>
      <c r="G848" s="1">
        <v>0</v>
      </c>
      <c r="H848" s="1">
        <v>0</v>
      </c>
      <c r="I848" s="2">
        <v>13.04</v>
      </c>
      <c r="J848" s="1">
        <v>0.2</v>
      </c>
      <c r="K848" s="2">
        <v>6.54</v>
      </c>
      <c r="L848" s="2">
        <v>11.54</v>
      </c>
      <c r="M848" s="1">
        <v>2.02</v>
      </c>
      <c r="N848" s="1">
        <v>0.26</v>
      </c>
      <c r="O848" s="1">
        <v>0.12</v>
      </c>
      <c r="P848" s="1">
        <v>2.12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 t="s">
        <v>3690</v>
      </c>
      <c r="W848" s="1"/>
    </row>
    <row r="849" spans="1:23" ht="13.2">
      <c r="A849" s="1">
        <v>848</v>
      </c>
      <c r="B849" s="5" t="s">
        <v>3691</v>
      </c>
      <c r="C849" s="1" t="s">
        <v>2020</v>
      </c>
      <c r="D849" s="1">
        <v>38.619999999999997</v>
      </c>
      <c r="E849" s="1">
        <v>1.8</v>
      </c>
      <c r="F849" s="1">
        <v>22.25</v>
      </c>
      <c r="G849" s="1">
        <v>0</v>
      </c>
      <c r="H849" s="1">
        <v>0</v>
      </c>
      <c r="I849" s="2">
        <v>9.2899999999999991</v>
      </c>
      <c r="J849" s="1">
        <v>0.16</v>
      </c>
      <c r="K849" s="2">
        <v>8.4600000000000009</v>
      </c>
      <c r="L849" s="2">
        <v>16.63</v>
      </c>
      <c r="M849" s="1">
        <v>0.72</v>
      </c>
      <c r="N849" s="1">
        <v>0.11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 t="s">
        <v>3690</v>
      </c>
      <c r="W849" s="1"/>
    </row>
    <row r="850" spans="1:23" ht="13.2">
      <c r="A850" s="1">
        <v>849</v>
      </c>
      <c r="B850" s="1" t="s">
        <v>3692</v>
      </c>
      <c r="C850" s="1" t="s">
        <v>50</v>
      </c>
      <c r="D850" s="1">
        <v>44.03</v>
      </c>
      <c r="E850" s="1">
        <v>0.81</v>
      </c>
      <c r="F850" s="1">
        <v>15.17</v>
      </c>
      <c r="G850" s="1">
        <v>7.0000000000000007E-2</v>
      </c>
      <c r="H850" s="1">
        <v>5.52</v>
      </c>
      <c r="I850" s="2">
        <v>10.08</v>
      </c>
      <c r="J850" s="1">
        <v>0.39</v>
      </c>
      <c r="K850" s="2">
        <v>13.49</v>
      </c>
      <c r="L850" s="2">
        <v>10.74</v>
      </c>
      <c r="M850" s="1">
        <v>0.68</v>
      </c>
      <c r="N850" s="1">
        <v>0.01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/>
      <c r="W850" s="1"/>
    </row>
    <row r="851" spans="1:23" ht="13.2">
      <c r="A851" s="1">
        <v>850</v>
      </c>
      <c r="B851" s="1" t="s">
        <v>3693</v>
      </c>
      <c r="C851" s="1" t="s">
        <v>50</v>
      </c>
      <c r="D851" s="1">
        <v>55.35</v>
      </c>
      <c r="E851" s="1">
        <v>0.2</v>
      </c>
      <c r="F851" s="1">
        <v>3.6</v>
      </c>
      <c r="G851" s="1">
        <v>0.72</v>
      </c>
      <c r="H851" s="1">
        <v>3.21</v>
      </c>
      <c r="I851" s="2">
        <v>3.39</v>
      </c>
      <c r="J851" s="1">
        <v>0.15</v>
      </c>
      <c r="K851" s="2">
        <v>31.45</v>
      </c>
      <c r="L851" s="2">
        <v>14.56</v>
      </c>
      <c r="M851" s="1">
        <v>1.03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/>
      <c r="W851" s="1" t="s">
        <v>3694</v>
      </c>
    </row>
    <row r="852" spans="1:23" ht="13.2">
      <c r="A852" s="1">
        <v>851</v>
      </c>
      <c r="B852" s="1" t="s">
        <v>3695</v>
      </c>
      <c r="C852" s="1" t="s">
        <v>49</v>
      </c>
      <c r="D852" s="1">
        <v>55.3</v>
      </c>
      <c r="E852" s="1">
        <v>0.56000000000000005</v>
      </c>
      <c r="F852" s="1">
        <v>5.18</v>
      </c>
      <c r="G852" s="1">
        <v>0.61</v>
      </c>
      <c r="H852" s="1">
        <v>0.79</v>
      </c>
      <c r="I852" s="2">
        <v>5.19</v>
      </c>
      <c r="J852" s="1">
        <v>0.18</v>
      </c>
      <c r="K852" s="2">
        <v>27.6</v>
      </c>
      <c r="L852" s="2">
        <v>4.53</v>
      </c>
      <c r="M852" s="1">
        <v>0.59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/>
      <c r="W852" s="1" t="s">
        <v>3696</v>
      </c>
    </row>
    <row r="853" spans="1:23" ht="13.2">
      <c r="A853" s="1">
        <v>852</v>
      </c>
      <c r="B853" s="1" t="s">
        <v>3697</v>
      </c>
      <c r="C853" s="1" t="s">
        <v>49</v>
      </c>
      <c r="D853" s="1">
        <v>55.81</v>
      </c>
      <c r="E853" s="1">
        <v>0.17</v>
      </c>
      <c r="F853" s="1">
        <v>3.49</v>
      </c>
      <c r="G853" s="1">
        <v>0.59</v>
      </c>
      <c r="H853" s="1">
        <v>2.56</v>
      </c>
      <c r="I853" s="2">
        <v>3.61</v>
      </c>
      <c r="J853" s="1">
        <v>0.15</v>
      </c>
      <c r="K853" s="2">
        <v>33.700000000000003</v>
      </c>
      <c r="L853" s="2">
        <v>0.84</v>
      </c>
      <c r="M853" s="1">
        <v>0.09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/>
      <c r="W853" s="1"/>
    </row>
    <row r="854" spans="1:23" ht="13.2">
      <c r="A854" s="1">
        <v>853</v>
      </c>
      <c r="B854" s="1" t="s">
        <v>3698</v>
      </c>
      <c r="C854" s="1" t="s">
        <v>49</v>
      </c>
      <c r="D854" s="1">
        <v>55.01</v>
      </c>
      <c r="E854" s="1">
        <v>0.3</v>
      </c>
      <c r="F854" s="1">
        <v>3.97</v>
      </c>
      <c r="G854" s="1">
        <v>0.75</v>
      </c>
      <c r="H854" s="1">
        <v>0.82</v>
      </c>
      <c r="I854" s="2">
        <v>4.54</v>
      </c>
      <c r="J854" s="1">
        <v>0.13</v>
      </c>
      <c r="K854" s="2">
        <v>30.21</v>
      </c>
      <c r="L854" s="2">
        <v>4.75</v>
      </c>
      <c r="M854" s="1">
        <v>0.32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/>
      <c r="W854" s="1"/>
    </row>
    <row r="855" spans="1:23" ht="13.2">
      <c r="A855" s="1">
        <v>854</v>
      </c>
      <c r="B855" s="1" t="s">
        <v>3699</v>
      </c>
      <c r="C855" s="1" t="s">
        <v>50</v>
      </c>
      <c r="D855" s="1">
        <v>51.69</v>
      </c>
      <c r="E855" s="1">
        <v>0.68</v>
      </c>
      <c r="F855" s="1">
        <v>5.56</v>
      </c>
      <c r="G855" s="1">
        <v>1.32</v>
      </c>
      <c r="H855" s="1">
        <v>1.05</v>
      </c>
      <c r="I855" s="2">
        <v>2.0099999999999998</v>
      </c>
      <c r="J855" s="1">
        <v>0.11</v>
      </c>
      <c r="K855" s="2">
        <v>15.82</v>
      </c>
      <c r="L855" s="2">
        <v>20.57</v>
      </c>
      <c r="M855" s="1">
        <v>1.25</v>
      </c>
      <c r="N855" s="1">
        <v>0.01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/>
      <c r="W855" s="1"/>
    </row>
    <row r="856" spans="1:23" ht="13.2">
      <c r="A856" s="1">
        <v>855</v>
      </c>
      <c r="B856" s="1" t="s">
        <v>3700</v>
      </c>
      <c r="C856" s="1" t="s">
        <v>50</v>
      </c>
      <c r="D856" s="1">
        <v>47.74</v>
      </c>
      <c r="E856" s="1">
        <v>1.63</v>
      </c>
      <c r="F856" s="1">
        <v>9.41</v>
      </c>
      <c r="G856" s="1">
        <v>0.01</v>
      </c>
      <c r="H856" s="1">
        <v>2.75</v>
      </c>
      <c r="I856" s="2">
        <v>4.6900000000000004</v>
      </c>
      <c r="J856" s="1">
        <v>0.16</v>
      </c>
      <c r="K856" s="2">
        <v>13.77</v>
      </c>
      <c r="L856" s="2">
        <v>19.48</v>
      </c>
      <c r="M856" s="1">
        <v>1.18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/>
      <c r="W856" s="1" t="s">
        <v>3696</v>
      </c>
    </row>
    <row r="857" spans="1:23" ht="13.2">
      <c r="A857" s="1">
        <v>856</v>
      </c>
      <c r="B857" s="1" t="s">
        <v>3701</v>
      </c>
      <c r="C857" s="1" t="s">
        <v>50</v>
      </c>
      <c r="D857" s="1">
        <v>46.83</v>
      </c>
      <c r="E857" s="1">
        <v>1.96</v>
      </c>
      <c r="F857" s="1">
        <v>8.33</v>
      </c>
      <c r="G857" s="1">
        <v>0</v>
      </c>
      <c r="H857" s="1">
        <v>4.21</v>
      </c>
      <c r="I857" s="2">
        <v>6.73</v>
      </c>
      <c r="J857" s="1">
        <v>0.25</v>
      </c>
      <c r="K857" s="2">
        <v>10.39</v>
      </c>
      <c r="L857" s="2">
        <v>20.21</v>
      </c>
      <c r="M857" s="1">
        <v>1.48</v>
      </c>
      <c r="N857" s="1">
        <v>0.01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/>
      <c r="W857" s="1"/>
    </row>
    <row r="858" spans="1:23" ht="13.2">
      <c r="A858" s="1">
        <v>857</v>
      </c>
      <c r="B858" s="1" t="s">
        <v>3702</v>
      </c>
      <c r="C858" s="1" t="s">
        <v>49</v>
      </c>
      <c r="D858" s="1">
        <v>55.43</v>
      </c>
      <c r="E858" s="1">
        <v>0.18</v>
      </c>
      <c r="F858" s="1">
        <v>3.45</v>
      </c>
      <c r="G858" s="1">
        <v>0.53</v>
      </c>
      <c r="H858" s="1">
        <v>0.36</v>
      </c>
      <c r="I858" s="2">
        <v>5.46</v>
      </c>
      <c r="J858" s="1">
        <v>0.13</v>
      </c>
      <c r="K858" s="2">
        <v>33.74</v>
      </c>
      <c r="L858" s="2">
        <v>0.84</v>
      </c>
      <c r="M858" s="1">
        <v>0.1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/>
      <c r="W858" s="1"/>
    </row>
    <row r="859" spans="1:23" ht="13.2">
      <c r="A859" s="1">
        <v>858</v>
      </c>
      <c r="B859" s="1" t="s">
        <v>3703</v>
      </c>
      <c r="C859" s="1" t="s">
        <v>50</v>
      </c>
      <c r="D859" s="1">
        <v>47.34</v>
      </c>
      <c r="E859" s="1">
        <v>1.72</v>
      </c>
      <c r="F859" s="1">
        <v>9.3000000000000007</v>
      </c>
      <c r="G859" s="1">
        <v>0.01</v>
      </c>
      <c r="H859" s="1">
        <v>2.82</v>
      </c>
      <c r="I859" s="2">
        <v>5.2</v>
      </c>
      <c r="J859" s="1">
        <v>0.16</v>
      </c>
      <c r="K859" s="2">
        <v>13.56</v>
      </c>
      <c r="L859" s="2">
        <v>19.260000000000002</v>
      </c>
      <c r="M859" s="1">
        <v>1.24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/>
      <c r="W859" s="1"/>
    </row>
    <row r="860" spans="1:23" ht="13.2">
      <c r="A860" s="1">
        <v>859</v>
      </c>
      <c r="B860" s="1" t="s">
        <v>3704</v>
      </c>
      <c r="C860" s="1" t="s">
        <v>50</v>
      </c>
      <c r="D860" s="1">
        <v>49.36</v>
      </c>
      <c r="E860" s="1">
        <v>0.8</v>
      </c>
      <c r="F860" s="1">
        <v>6.55</v>
      </c>
      <c r="G860" s="1">
        <v>0.42</v>
      </c>
      <c r="H860" s="1">
        <v>1.94</v>
      </c>
      <c r="I860" s="2">
        <v>5.24</v>
      </c>
      <c r="J860" s="1">
        <v>0.15</v>
      </c>
      <c r="K860" s="2">
        <v>21.18</v>
      </c>
      <c r="L860" s="2">
        <v>14.2</v>
      </c>
      <c r="M860" s="1">
        <v>0.92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/>
      <c r="W860" s="1"/>
    </row>
    <row r="861" spans="1:23" ht="13.2">
      <c r="A861" s="1">
        <v>860</v>
      </c>
      <c r="B861" s="1" t="s">
        <v>3705</v>
      </c>
      <c r="C861" s="1" t="s">
        <v>50</v>
      </c>
      <c r="D861" s="1">
        <v>46.78</v>
      </c>
      <c r="E861" s="1">
        <v>0.83</v>
      </c>
      <c r="F861" s="1">
        <v>11.29</v>
      </c>
      <c r="G861" s="1">
        <v>1.02</v>
      </c>
      <c r="H861" s="1">
        <v>0</v>
      </c>
      <c r="I861" s="2">
        <v>0</v>
      </c>
      <c r="J861" s="1">
        <v>0.15</v>
      </c>
      <c r="K861" s="2">
        <v>17.5</v>
      </c>
      <c r="L861" s="2">
        <v>14.56</v>
      </c>
      <c r="M861" s="1">
        <v>1.03</v>
      </c>
      <c r="N861" s="1">
        <v>0.01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/>
      <c r="W861" s="1"/>
    </row>
    <row r="862" spans="1:23" ht="13.2">
      <c r="A862" s="1">
        <v>861</v>
      </c>
      <c r="B862" s="1" t="s">
        <v>3706</v>
      </c>
      <c r="C862" s="1" t="s">
        <v>50</v>
      </c>
      <c r="D862" s="1">
        <v>50.97</v>
      </c>
      <c r="E862" s="1">
        <v>0.85</v>
      </c>
      <c r="F862" s="1">
        <v>8.0500000000000007</v>
      </c>
      <c r="G862" s="1">
        <v>0.2</v>
      </c>
      <c r="H862" s="1">
        <v>0.81</v>
      </c>
      <c r="I862" s="2">
        <v>2.58</v>
      </c>
      <c r="J862" s="1">
        <v>0.08</v>
      </c>
      <c r="K862" s="2">
        <v>14.83</v>
      </c>
      <c r="L862" s="2">
        <v>20.3</v>
      </c>
      <c r="M862" s="1">
        <v>1.44</v>
      </c>
      <c r="N862" s="1">
        <v>0.01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/>
      <c r="W862" s="1"/>
    </row>
    <row r="863" spans="1:23" ht="13.2">
      <c r="A863" s="1">
        <v>862</v>
      </c>
      <c r="B863" s="1" t="s">
        <v>3707</v>
      </c>
      <c r="C863" s="1" t="s">
        <v>49</v>
      </c>
      <c r="D863" s="1">
        <v>51.34</v>
      </c>
      <c r="E863" s="1">
        <v>0.19</v>
      </c>
      <c r="F863" s="1">
        <v>4.25</v>
      </c>
      <c r="G863" s="1">
        <v>0.02</v>
      </c>
      <c r="H863" s="1">
        <v>0.27</v>
      </c>
      <c r="I863" s="2">
        <v>3.75</v>
      </c>
      <c r="J863" s="1">
        <v>0.15</v>
      </c>
      <c r="K863" s="2">
        <v>32.049999999999997</v>
      </c>
      <c r="L863" s="2">
        <v>20.350000000000001</v>
      </c>
      <c r="M863" s="1">
        <v>1.17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/>
      <c r="W863" s="1"/>
    </row>
    <row r="864" spans="1:23" ht="13.2">
      <c r="A864" s="5">
        <v>863</v>
      </c>
      <c r="B864" s="5" t="s">
        <v>3708</v>
      </c>
      <c r="C864" s="1" t="s">
        <v>50</v>
      </c>
      <c r="D864" s="1">
        <v>52.26</v>
      </c>
      <c r="E864" s="1">
        <v>0.47</v>
      </c>
      <c r="F864" s="1">
        <v>7.11</v>
      </c>
      <c r="G864" s="1">
        <v>1.03</v>
      </c>
      <c r="H864" s="1">
        <v>0.66</v>
      </c>
      <c r="I864" s="2">
        <v>2.38</v>
      </c>
      <c r="J864" s="1">
        <v>7.0000000000000007E-2</v>
      </c>
      <c r="K864" s="2">
        <v>15.25</v>
      </c>
      <c r="L864" s="2">
        <v>20.190000000000001</v>
      </c>
      <c r="M864" s="1">
        <v>1.66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/>
      <c r="W864" s="1"/>
    </row>
    <row r="865" spans="1:23" ht="13.2">
      <c r="A865" s="5">
        <v>864</v>
      </c>
      <c r="B865" s="5" t="s">
        <v>3709</v>
      </c>
      <c r="C865" s="1" t="s">
        <v>49</v>
      </c>
      <c r="D865" s="1">
        <v>55.36</v>
      </c>
      <c r="E865" s="1">
        <v>0.12</v>
      </c>
      <c r="F865" s="1">
        <v>4.8499999999999996</v>
      </c>
      <c r="G865" s="1">
        <v>0.46</v>
      </c>
      <c r="H865" s="1">
        <v>0.49</v>
      </c>
      <c r="I865" s="2">
        <v>5.86</v>
      </c>
      <c r="J865" s="1">
        <v>0.11</v>
      </c>
      <c r="K865" s="2">
        <v>32.4</v>
      </c>
      <c r="L865" s="2">
        <v>0.88</v>
      </c>
      <c r="M865" s="1">
        <v>0.13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/>
      <c r="W865" s="1"/>
    </row>
    <row r="866" spans="1:23" ht="13.2">
      <c r="A866" s="5">
        <v>865</v>
      </c>
      <c r="B866" s="5" t="s">
        <v>3710</v>
      </c>
      <c r="C866" s="1" t="s">
        <v>50</v>
      </c>
      <c r="D866" s="1">
        <v>48.2</v>
      </c>
      <c r="E866" s="1">
        <v>1.36</v>
      </c>
      <c r="F866" s="1">
        <v>6.7</v>
      </c>
      <c r="G866" s="1">
        <v>0.39</v>
      </c>
      <c r="H866" s="1">
        <v>2.4300000000000002</v>
      </c>
      <c r="I866" s="2">
        <v>3.01</v>
      </c>
      <c r="J866" s="1">
        <v>0</v>
      </c>
      <c r="K866" s="2">
        <v>14.4</v>
      </c>
      <c r="L866" s="2">
        <v>21.16</v>
      </c>
      <c r="M866" s="1">
        <v>0.81</v>
      </c>
      <c r="N866" s="1">
        <v>0.06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/>
      <c r="W866" s="1"/>
    </row>
    <row r="867" spans="1:23" ht="13.2">
      <c r="A867" s="5">
        <v>866</v>
      </c>
      <c r="B867" s="5" t="s">
        <v>3711</v>
      </c>
      <c r="C867" s="1" t="s">
        <v>50</v>
      </c>
      <c r="D867" s="1">
        <v>47.93</v>
      </c>
      <c r="E867" s="1">
        <v>1.63</v>
      </c>
      <c r="F867" s="1">
        <v>7.7</v>
      </c>
      <c r="G867" s="1">
        <v>0.06</v>
      </c>
      <c r="H867" s="1">
        <v>2.44</v>
      </c>
      <c r="I867" s="2">
        <v>2.96</v>
      </c>
      <c r="J867" s="1">
        <v>0</v>
      </c>
      <c r="K867" s="2">
        <v>14.3</v>
      </c>
      <c r="L867" s="2">
        <v>20.86</v>
      </c>
      <c r="M867" s="1">
        <v>0.81</v>
      </c>
      <c r="N867" s="1">
        <v>0.05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/>
      <c r="W867" s="1"/>
    </row>
    <row r="868" spans="1:23" ht="13.2">
      <c r="A868" s="5">
        <v>867</v>
      </c>
      <c r="B868" s="5" t="s">
        <v>3712</v>
      </c>
      <c r="C868" s="1" t="s">
        <v>49</v>
      </c>
      <c r="D868" s="1">
        <v>56</v>
      </c>
      <c r="E868" s="1">
        <v>0.01</v>
      </c>
      <c r="F868" s="1">
        <v>3.61</v>
      </c>
      <c r="G868" s="1">
        <v>0.57999999999999996</v>
      </c>
      <c r="H868" s="1">
        <v>0.31</v>
      </c>
      <c r="I868" s="2">
        <v>5.23</v>
      </c>
      <c r="J868" s="1">
        <v>0.14000000000000001</v>
      </c>
      <c r="K868" s="2">
        <v>31.86</v>
      </c>
      <c r="L868" s="2">
        <v>3.27</v>
      </c>
      <c r="M868" s="1">
        <v>0.12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/>
      <c r="W868" s="1"/>
    </row>
    <row r="869" spans="1:23" ht="13.2">
      <c r="A869" s="5">
        <v>868</v>
      </c>
      <c r="B869" s="5" t="s">
        <v>3713</v>
      </c>
      <c r="C869" s="1" t="s">
        <v>50</v>
      </c>
      <c r="D869" s="1">
        <v>49.76</v>
      </c>
      <c r="E869" s="1">
        <v>0.92</v>
      </c>
      <c r="F869" s="1">
        <v>8.6</v>
      </c>
      <c r="G869" s="1">
        <v>0.32</v>
      </c>
      <c r="H869" s="1">
        <v>1.79</v>
      </c>
      <c r="I869" s="2">
        <v>4.76</v>
      </c>
      <c r="J869" s="1">
        <v>0.16</v>
      </c>
      <c r="K869" s="2">
        <v>15.13</v>
      </c>
      <c r="L869" s="2">
        <v>18.66</v>
      </c>
      <c r="M869" s="1">
        <v>1.23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/>
      <c r="W869" s="1"/>
    </row>
    <row r="870" spans="1:23" ht="13.2">
      <c r="A870" s="5">
        <v>869</v>
      </c>
      <c r="B870" s="5" t="s">
        <v>3714</v>
      </c>
      <c r="C870" s="1" t="s">
        <v>50</v>
      </c>
      <c r="D870" s="1">
        <v>51.08</v>
      </c>
      <c r="E870" s="1">
        <v>0.35</v>
      </c>
      <c r="F870" s="1">
        <v>6.77</v>
      </c>
      <c r="G870" s="1">
        <v>0.97</v>
      </c>
      <c r="H870" s="1">
        <v>1.19</v>
      </c>
      <c r="I870" s="2">
        <v>2.89</v>
      </c>
      <c r="J870" s="1">
        <v>0.09</v>
      </c>
      <c r="K870" s="2">
        <v>15.98</v>
      </c>
      <c r="L870" s="2">
        <v>18.78</v>
      </c>
      <c r="M870" s="1">
        <v>1.78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/>
      <c r="W870" s="1" t="s">
        <v>3715</v>
      </c>
    </row>
    <row r="871" spans="1:23" ht="13.2">
      <c r="A871" s="5">
        <v>870</v>
      </c>
      <c r="B871" s="5" t="s">
        <v>3716</v>
      </c>
      <c r="C871" s="1" t="s">
        <v>49</v>
      </c>
      <c r="D871" s="1">
        <v>54.04</v>
      </c>
      <c r="E871" s="1">
        <v>0.11</v>
      </c>
      <c r="F871" s="1">
        <v>4.92</v>
      </c>
      <c r="G871" s="1">
        <v>0.5</v>
      </c>
      <c r="H871" s="1">
        <v>0.87</v>
      </c>
      <c r="I871" s="2">
        <v>6.34</v>
      </c>
      <c r="J871" s="1">
        <v>0.12</v>
      </c>
      <c r="K871" s="2">
        <v>31.67</v>
      </c>
      <c r="L871" s="2">
        <v>1.1499999999999999</v>
      </c>
      <c r="M871" s="1">
        <v>0.19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/>
      <c r="W871" s="1" t="s">
        <v>3717</v>
      </c>
    </row>
    <row r="872" spans="1:23" ht="13.2">
      <c r="A872" s="1">
        <v>871</v>
      </c>
      <c r="B872" s="5" t="s">
        <v>3718</v>
      </c>
      <c r="C872" s="1" t="s">
        <v>50</v>
      </c>
      <c r="D872" s="1">
        <v>51.16</v>
      </c>
      <c r="E872" s="1">
        <v>0.56000000000000005</v>
      </c>
      <c r="F872" s="1">
        <v>7.42</v>
      </c>
      <c r="G872" s="1">
        <v>0.7</v>
      </c>
      <c r="H872" s="1">
        <v>0.25</v>
      </c>
      <c r="I872" s="2">
        <v>2.98</v>
      </c>
      <c r="J872" s="1">
        <v>0.09</v>
      </c>
      <c r="K872" s="2">
        <v>15.42</v>
      </c>
      <c r="L872" s="2">
        <v>19.190000000000001</v>
      </c>
      <c r="M872" s="1">
        <v>1.54</v>
      </c>
      <c r="N872" s="1">
        <v>0.01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/>
      <c r="W872" s="1"/>
    </row>
    <row r="873" spans="1:23" ht="13.2">
      <c r="A873" s="1">
        <v>872</v>
      </c>
      <c r="B873" s="5" t="s">
        <v>3719</v>
      </c>
      <c r="C873" s="1" t="s">
        <v>49</v>
      </c>
      <c r="D873" s="1">
        <v>57.87</v>
      </c>
      <c r="E873" s="1">
        <v>0.05</v>
      </c>
      <c r="F873" s="1">
        <v>0.14000000000000001</v>
      </c>
      <c r="G873" s="1">
        <v>0.01</v>
      </c>
      <c r="H873" s="1">
        <v>0.49</v>
      </c>
      <c r="I873" s="2">
        <v>5.91</v>
      </c>
      <c r="J873" s="1">
        <v>0.26</v>
      </c>
      <c r="K873" s="2">
        <v>35.31</v>
      </c>
      <c r="L873" s="2">
        <v>0.15</v>
      </c>
      <c r="M873" s="1">
        <v>0.04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/>
      <c r="W873" s="1"/>
    </row>
    <row r="874" spans="1:23" ht="13.2">
      <c r="A874" s="1">
        <v>873</v>
      </c>
      <c r="B874" s="5" t="s">
        <v>3720</v>
      </c>
      <c r="C874" s="1" t="s">
        <v>50</v>
      </c>
      <c r="D874" s="1">
        <v>54.96</v>
      </c>
      <c r="E874" s="1">
        <v>0.6</v>
      </c>
      <c r="F874" s="1">
        <v>1.1200000000000001</v>
      </c>
      <c r="G874" s="1">
        <v>0</v>
      </c>
      <c r="H874" s="1">
        <v>0</v>
      </c>
      <c r="I874" s="2">
        <v>11.98</v>
      </c>
      <c r="J874" s="1">
        <v>0.44</v>
      </c>
      <c r="K874" s="2">
        <v>28.56</v>
      </c>
      <c r="L874" s="2">
        <v>4.0599999999999996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/>
      <c r="W874" s="1"/>
    </row>
    <row r="875" spans="1:23" ht="13.2">
      <c r="A875" s="1">
        <v>874</v>
      </c>
      <c r="B875" s="5" t="s">
        <v>3721</v>
      </c>
      <c r="C875" s="1" t="s">
        <v>50</v>
      </c>
      <c r="D875" s="1">
        <v>55.57</v>
      </c>
      <c r="E875" s="1">
        <v>0.6</v>
      </c>
      <c r="F875" s="1">
        <v>1.1200000000000001</v>
      </c>
      <c r="G875" s="1">
        <v>0</v>
      </c>
      <c r="H875" s="1">
        <v>0</v>
      </c>
      <c r="I875" s="2">
        <v>11.13</v>
      </c>
      <c r="J875" s="1">
        <v>0.36</v>
      </c>
      <c r="K875" s="2">
        <v>27.71</v>
      </c>
      <c r="L875" s="2">
        <v>5.23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/>
      <c r="W875" s="1"/>
    </row>
    <row r="876" spans="1:23" ht="13.2">
      <c r="A876" s="1">
        <v>875</v>
      </c>
      <c r="B876" s="5" t="s">
        <v>3722</v>
      </c>
      <c r="C876" s="1" t="s">
        <v>50</v>
      </c>
      <c r="D876" s="1">
        <v>54.58</v>
      </c>
      <c r="E876" s="1">
        <v>0.6</v>
      </c>
      <c r="F876" s="1">
        <v>1.1200000000000001</v>
      </c>
      <c r="G876" s="1">
        <v>0</v>
      </c>
      <c r="H876" s="1">
        <v>0</v>
      </c>
      <c r="I876" s="2">
        <v>16.84</v>
      </c>
      <c r="J876" s="1">
        <v>0.56999999999999995</v>
      </c>
      <c r="K876" s="2">
        <v>24.54</v>
      </c>
      <c r="L876" s="2">
        <v>3.47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/>
      <c r="W876" s="1"/>
    </row>
    <row r="877" spans="1:23" ht="13.2">
      <c r="A877" s="1">
        <v>876</v>
      </c>
      <c r="B877" s="5" t="s">
        <v>3723</v>
      </c>
      <c r="C877" s="1" t="s">
        <v>50</v>
      </c>
      <c r="D877" s="1">
        <v>54.51</v>
      </c>
      <c r="E877" s="1">
        <v>0.6</v>
      </c>
      <c r="F877" s="1">
        <v>1.1200000000000001</v>
      </c>
      <c r="G877" s="1">
        <v>0</v>
      </c>
      <c r="H877" s="1">
        <v>0</v>
      </c>
      <c r="I877" s="2">
        <v>16.59</v>
      </c>
      <c r="J877" s="1">
        <v>0.28999999999999998</v>
      </c>
      <c r="K877" s="2">
        <v>23.89</v>
      </c>
      <c r="L877" s="2">
        <v>4.72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/>
      <c r="W877" s="1"/>
    </row>
    <row r="878" spans="1:23" ht="13.2">
      <c r="A878" s="5">
        <v>877</v>
      </c>
      <c r="B878" s="5" t="s">
        <v>3724</v>
      </c>
      <c r="C878" s="1" t="s">
        <v>50</v>
      </c>
      <c r="D878" s="1">
        <v>52.89</v>
      </c>
      <c r="E878" s="1">
        <v>0.6</v>
      </c>
      <c r="F878" s="1">
        <v>1.1200000000000001</v>
      </c>
      <c r="G878" s="1">
        <v>0</v>
      </c>
      <c r="H878" s="1">
        <v>0</v>
      </c>
      <c r="I878" s="2">
        <v>23.8</v>
      </c>
      <c r="J878" s="1">
        <v>0.12</v>
      </c>
      <c r="K878" s="2">
        <v>19.399999999999999</v>
      </c>
      <c r="L878" s="2">
        <v>3.79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/>
      <c r="W878" s="1"/>
    </row>
    <row r="879" spans="1:23" ht="13.2">
      <c r="A879" s="5">
        <v>878</v>
      </c>
      <c r="B879" s="5" t="s">
        <v>3725</v>
      </c>
      <c r="C879" s="1" t="s">
        <v>50</v>
      </c>
      <c r="D879" s="1">
        <v>52.71</v>
      </c>
      <c r="E879" s="1">
        <v>0.6</v>
      </c>
      <c r="F879" s="1">
        <v>1.1200000000000001</v>
      </c>
      <c r="G879" s="1">
        <v>0</v>
      </c>
      <c r="H879" s="1">
        <v>0</v>
      </c>
      <c r="I879" s="2">
        <v>22.55</v>
      </c>
      <c r="J879" s="1">
        <v>0.18</v>
      </c>
      <c r="K879" s="2">
        <v>19.93</v>
      </c>
      <c r="L879" s="2">
        <v>4.63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/>
      <c r="W879" s="1"/>
    </row>
    <row r="880" spans="1:23" ht="13.2">
      <c r="A880" s="5">
        <v>879</v>
      </c>
      <c r="B880" s="5" t="s">
        <v>3726</v>
      </c>
      <c r="C880" s="1" t="s">
        <v>50</v>
      </c>
      <c r="D880" s="1">
        <v>50.69</v>
      </c>
      <c r="E880" s="1">
        <v>0.6</v>
      </c>
      <c r="F880" s="1">
        <v>1.1200000000000001</v>
      </c>
      <c r="G880" s="1">
        <v>0</v>
      </c>
      <c r="H880" s="1">
        <v>0</v>
      </c>
      <c r="I880" s="2">
        <v>30.67</v>
      </c>
      <c r="J880" s="1">
        <v>0.1</v>
      </c>
      <c r="K880" s="2">
        <v>15.06</v>
      </c>
      <c r="L880" s="2">
        <v>3.48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/>
      <c r="W880" s="1"/>
    </row>
    <row r="881" spans="1:23" ht="13.2">
      <c r="A881" s="1">
        <v>880</v>
      </c>
      <c r="B881" s="5" t="s">
        <v>3727</v>
      </c>
      <c r="C881" s="1" t="s">
        <v>2670</v>
      </c>
      <c r="D881" s="1">
        <v>50.26</v>
      </c>
      <c r="E881" s="1">
        <v>0.78</v>
      </c>
      <c r="F881" s="1">
        <v>1.73</v>
      </c>
      <c r="G881" s="1">
        <v>0.01</v>
      </c>
      <c r="H881" s="1">
        <v>6.12</v>
      </c>
      <c r="I881" s="2">
        <v>11.69</v>
      </c>
      <c r="J881" s="1">
        <v>0.39</v>
      </c>
      <c r="K881" s="2">
        <v>13.93</v>
      </c>
      <c r="L881" s="2">
        <v>15.02</v>
      </c>
      <c r="M881" s="1">
        <v>0.18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/>
      <c r="W881" s="1" t="s">
        <v>3694</v>
      </c>
    </row>
    <row r="882" spans="1:23" ht="13.2">
      <c r="A882" s="1">
        <v>881</v>
      </c>
      <c r="B882" s="5" t="s">
        <v>3728</v>
      </c>
      <c r="C882" s="1" t="s">
        <v>2065</v>
      </c>
      <c r="D882" s="1">
        <v>30.55</v>
      </c>
      <c r="E882" s="1">
        <v>0.01</v>
      </c>
      <c r="F882" s="1">
        <v>18.399999999999999</v>
      </c>
      <c r="G882" s="1">
        <v>0.02</v>
      </c>
      <c r="H882" s="1">
        <v>4.13</v>
      </c>
      <c r="I882" s="2">
        <v>12.43</v>
      </c>
      <c r="J882" s="1">
        <v>0.23</v>
      </c>
      <c r="K882" s="2">
        <v>23.28</v>
      </c>
      <c r="L882" s="2">
        <v>0.25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/>
      <c r="W882" s="1" t="s">
        <v>3572</v>
      </c>
    </row>
    <row r="883" spans="1:23" ht="13.2">
      <c r="A883" s="1">
        <v>882</v>
      </c>
      <c r="B883" s="5" t="s">
        <v>3729</v>
      </c>
      <c r="C883" s="1" t="s">
        <v>49</v>
      </c>
      <c r="D883" s="1">
        <v>49.46</v>
      </c>
      <c r="E883" s="1">
        <v>0.51</v>
      </c>
      <c r="F883" s="1">
        <v>7.22</v>
      </c>
      <c r="G883" s="1">
        <v>0.11</v>
      </c>
      <c r="H883" s="1">
        <v>0.8</v>
      </c>
      <c r="I883" s="2">
        <v>17.22</v>
      </c>
      <c r="J883" s="1">
        <v>0.27</v>
      </c>
      <c r="K883" s="2">
        <v>22.27</v>
      </c>
      <c r="L883" s="2">
        <v>2.37</v>
      </c>
      <c r="M883" s="1">
        <v>0.26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/>
      <c r="W883" s="1" t="s">
        <v>3730</v>
      </c>
    </row>
    <row r="884" spans="1:23" ht="13.2">
      <c r="A884" s="1">
        <v>883</v>
      </c>
      <c r="B884" s="5" t="s">
        <v>3731</v>
      </c>
      <c r="C884" s="1" t="s">
        <v>50</v>
      </c>
      <c r="D884" s="1">
        <v>47.88</v>
      </c>
      <c r="E884" s="1">
        <v>0.08</v>
      </c>
      <c r="F884" s="1">
        <v>0.35</v>
      </c>
      <c r="G884" s="1">
        <v>0</v>
      </c>
      <c r="H884" s="1">
        <v>8.6199999999999992</v>
      </c>
      <c r="I884" s="2">
        <v>22.07</v>
      </c>
      <c r="J884" s="1">
        <v>1.03</v>
      </c>
      <c r="K884" s="2">
        <v>0.46</v>
      </c>
      <c r="L884" s="2">
        <v>18.28</v>
      </c>
      <c r="M884" s="1">
        <v>1.48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/>
      <c r="W884" s="1" t="s">
        <v>3694</v>
      </c>
    </row>
    <row r="885" spans="1:23" ht="13.2">
      <c r="A885" s="5">
        <v>884</v>
      </c>
      <c r="B885" s="5" t="s">
        <v>3732</v>
      </c>
      <c r="C885" s="1" t="s">
        <v>2065</v>
      </c>
      <c r="D885" s="1">
        <v>57.73</v>
      </c>
      <c r="E885" s="1">
        <v>0.01</v>
      </c>
      <c r="F885" s="1">
        <v>0.32</v>
      </c>
      <c r="G885" s="1">
        <v>0.17</v>
      </c>
      <c r="H885" s="1">
        <v>0.65</v>
      </c>
      <c r="I885" s="2">
        <v>5.89</v>
      </c>
      <c r="J885" s="1">
        <v>0.15</v>
      </c>
      <c r="K885" s="2">
        <v>35.32</v>
      </c>
      <c r="L885" s="2">
        <v>0.15</v>
      </c>
      <c r="M885" s="1">
        <v>0.01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/>
      <c r="W885" s="1" t="s">
        <v>3733</v>
      </c>
    </row>
    <row r="886" spans="1:23" ht="13.2">
      <c r="A886" s="5">
        <v>885</v>
      </c>
      <c r="B886" s="5" t="s">
        <v>3734</v>
      </c>
      <c r="C886" s="1" t="s">
        <v>2065</v>
      </c>
      <c r="D886" s="1">
        <v>57.9</v>
      </c>
      <c r="E886" s="1">
        <v>0</v>
      </c>
      <c r="F886" s="1">
        <v>0.06</v>
      </c>
      <c r="G886" s="1">
        <v>0.06</v>
      </c>
      <c r="H886" s="1">
        <v>0</v>
      </c>
      <c r="I886" s="2">
        <v>6.29</v>
      </c>
      <c r="J886" s="1">
        <v>0.12</v>
      </c>
      <c r="K886" s="2">
        <v>35.58</v>
      </c>
      <c r="L886" s="2">
        <v>0.03</v>
      </c>
      <c r="M886" s="1">
        <v>0.01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/>
      <c r="W886" s="1" t="s">
        <v>3733</v>
      </c>
    </row>
    <row r="887" spans="1:23" ht="13.2">
      <c r="A887" s="5">
        <v>886</v>
      </c>
      <c r="B887" s="5" t="s">
        <v>3735</v>
      </c>
      <c r="C887" s="1" t="s">
        <v>49</v>
      </c>
      <c r="D887" s="1">
        <v>54.17</v>
      </c>
      <c r="E887" s="1">
        <v>0.06</v>
      </c>
      <c r="F887" s="1">
        <v>0.56000000000000005</v>
      </c>
      <c r="G887" s="1">
        <v>0.65</v>
      </c>
      <c r="H887" s="1">
        <v>0</v>
      </c>
      <c r="I887" s="2">
        <v>0</v>
      </c>
      <c r="J887" s="1">
        <v>0.59</v>
      </c>
      <c r="K887" s="2">
        <v>27.01</v>
      </c>
      <c r="L887" s="2">
        <v>1.1000000000000001</v>
      </c>
      <c r="M887" s="1">
        <v>0.01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/>
      <c r="W887" s="1"/>
    </row>
    <row r="888" spans="1:23" ht="13.2">
      <c r="A888" s="5">
        <v>887</v>
      </c>
      <c r="B888" s="5" t="s">
        <v>3736</v>
      </c>
      <c r="C888" s="1" t="s">
        <v>2034</v>
      </c>
      <c r="D888" s="1">
        <v>56.09</v>
      </c>
      <c r="E888" s="1">
        <v>0.1</v>
      </c>
      <c r="F888" s="1">
        <v>1.26</v>
      </c>
      <c r="G888" s="1">
        <v>0.98</v>
      </c>
      <c r="H888" s="1">
        <v>0</v>
      </c>
      <c r="I888" s="2">
        <v>6.79</v>
      </c>
      <c r="J888" s="1">
        <v>0.55000000000000004</v>
      </c>
      <c r="K888" s="2">
        <v>32.1</v>
      </c>
      <c r="L888" s="2">
        <v>2.59</v>
      </c>
      <c r="M888" s="1">
        <v>0.01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/>
      <c r="W888" s="1"/>
    </row>
    <row r="889" spans="1:23" ht="13.2">
      <c r="A889" s="5">
        <v>888</v>
      </c>
      <c r="B889" s="5" t="s">
        <v>3737</v>
      </c>
      <c r="C889" s="1" t="s">
        <v>2034</v>
      </c>
      <c r="D889" s="1">
        <v>44.01</v>
      </c>
      <c r="E889" s="1">
        <v>0.05</v>
      </c>
      <c r="F889" s="1">
        <v>0.08</v>
      </c>
      <c r="G889" s="1">
        <v>0</v>
      </c>
      <c r="H889" s="1">
        <v>0</v>
      </c>
      <c r="I889" s="2">
        <v>0</v>
      </c>
      <c r="J889" s="1">
        <v>0.53</v>
      </c>
      <c r="K889" s="2">
        <v>44.66</v>
      </c>
      <c r="L889" s="2">
        <v>0.25</v>
      </c>
      <c r="M889" s="1">
        <v>0.03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/>
      <c r="W889" s="1"/>
    </row>
    <row r="890" spans="1:23" ht="13.2">
      <c r="A890" s="5">
        <v>889</v>
      </c>
      <c r="B890" s="5" t="s">
        <v>3738</v>
      </c>
      <c r="C890" s="1" t="s">
        <v>2034</v>
      </c>
      <c r="D890" s="1">
        <v>55.76</v>
      </c>
      <c r="E890" s="1">
        <v>0.4</v>
      </c>
      <c r="F890" s="1">
        <v>0.65</v>
      </c>
      <c r="G890" s="1">
        <v>1.23</v>
      </c>
      <c r="H890" s="1">
        <v>2.52</v>
      </c>
      <c r="I890" s="2">
        <v>1.33</v>
      </c>
      <c r="J890" s="1">
        <v>0.48</v>
      </c>
      <c r="K890" s="2">
        <v>26.85</v>
      </c>
      <c r="L890" s="2">
        <v>10.94</v>
      </c>
      <c r="M890" s="1">
        <v>0.44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/>
      <c r="W890" s="1"/>
    </row>
    <row r="891" spans="1:23" ht="13.2">
      <c r="A891" s="5">
        <v>890</v>
      </c>
      <c r="B891" s="5" t="s">
        <v>3739</v>
      </c>
      <c r="C891" s="1" t="s">
        <v>2034</v>
      </c>
      <c r="D891" s="1">
        <v>59.58</v>
      </c>
      <c r="E891" s="1">
        <v>0.02</v>
      </c>
      <c r="F891" s="1">
        <v>0.04</v>
      </c>
      <c r="G891" s="1">
        <v>0.04</v>
      </c>
      <c r="H891" s="1">
        <v>0</v>
      </c>
      <c r="I891" s="2">
        <v>0</v>
      </c>
      <c r="J891" s="1">
        <v>0.11</v>
      </c>
      <c r="K891" s="2">
        <v>40.22</v>
      </c>
      <c r="L891" s="2">
        <v>0.24</v>
      </c>
      <c r="M891" s="1">
        <v>0.03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/>
      <c r="W891" s="1"/>
    </row>
    <row r="892" spans="1:23" ht="13.2">
      <c r="A892" s="5">
        <v>891</v>
      </c>
      <c r="B892" s="5" t="s">
        <v>3740</v>
      </c>
      <c r="C892" s="1" t="s">
        <v>2034</v>
      </c>
      <c r="D892" s="1">
        <v>59.8</v>
      </c>
      <c r="E892" s="1">
        <v>0.02</v>
      </c>
      <c r="F892" s="1">
        <v>0.04</v>
      </c>
      <c r="G892" s="1">
        <v>0.02</v>
      </c>
      <c r="H892" s="1">
        <v>0</v>
      </c>
      <c r="I892" s="2">
        <v>0.05</v>
      </c>
      <c r="J892" s="1">
        <v>0.09</v>
      </c>
      <c r="K892" s="2">
        <v>39.799999999999997</v>
      </c>
      <c r="L892" s="2">
        <v>0.26</v>
      </c>
      <c r="M892" s="1">
        <v>0.01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/>
      <c r="W892" s="1"/>
    </row>
    <row r="893" spans="1:23" ht="13.2">
      <c r="A893" s="5">
        <v>892</v>
      </c>
      <c r="B893" s="5" t="s">
        <v>3741</v>
      </c>
      <c r="C893" s="1" t="s">
        <v>49</v>
      </c>
      <c r="D893" s="1">
        <v>54.71</v>
      </c>
      <c r="E893" s="1">
        <v>0.14000000000000001</v>
      </c>
      <c r="F893" s="1">
        <v>1.1399999999999999</v>
      </c>
      <c r="G893" s="1">
        <v>0.28999999999999998</v>
      </c>
      <c r="H893" s="1">
        <v>0</v>
      </c>
      <c r="I893" s="2">
        <v>15.25</v>
      </c>
      <c r="J893" s="1">
        <v>0.56000000000000005</v>
      </c>
      <c r="K893" s="2">
        <v>27.5</v>
      </c>
      <c r="L893" s="2">
        <v>0.98</v>
      </c>
      <c r="M893" s="1">
        <v>0.02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/>
      <c r="W893" s="1"/>
    </row>
    <row r="894" spans="1:23" ht="13.2">
      <c r="A894" s="1">
        <v>893</v>
      </c>
      <c r="B894" s="5" t="s">
        <v>3742</v>
      </c>
      <c r="C894" s="1" t="s">
        <v>3276</v>
      </c>
      <c r="D894" s="1">
        <v>40.28</v>
      </c>
      <c r="E894" s="1">
        <v>0</v>
      </c>
      <c r="F894" s="1">
        <v>0.02</v>
      </c>
      <c r="G894" s="1">
        <v>0</v>
      </c>
      <c r="H894" s="1">
        <v>0</v>
      </c>
      <c r="I894" s="2">
        <v>9.1999999999999993</v>
      </c>
      <c r="J894" s="1">
        <v>0</v>
      </c>
      <c r="K894" s="2">
        <v>50.42</v>
      </c>
      <c r="L894" s="2">
        <v>0.08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/>
      <c r="W894" s="1"/>
    </row>
    <row r="895" spans="1:23" ht="13.2">
      <c r="A895" s="1">
        <v>894</v>
      </c>
      <c r="B895" s="5" t="s">
        <v>3743</v>
      </c>
      <c r="C895" s="1" t="s">
        <v>3276</v>
      </c>
      <c r="D895" s="1">
        <v>42.91</v>
      </c>
      <c r="E895" s="1">
        <v>0</v>
      </c>
      <c r="F895" s="1">
        <v>7.0000000000000007E-2</v>
      </c>
      <c r="G895" s="1">
        <v>0</v>
      </c>
      <c r="H895" s="1">
        <v>0</v>
      </c>
      <c r="I895" s="2">
        <v>0.38</v>
      </c>
      <c r="J895" s="1">
        <v>0</v>
      </c>
      <c r="K895" s="2">
        <v>56.62</v>
      </c>
      <c r="L895" s="2">
        <v>0.02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/>
      <c r="W895" s="1"/>
    </row>
    <row r="896" spans="1:23" ht="13.2">
      <c r="A896" s="1">
        <v>895</v>
      </c>
      <c r="B896" s="5" t="s">
        <v>3744</v>
      </c>
      <c r="C896" s="1" t="s">
        <v>3276</v>
      </c>
      <c r="D896" s="1">
        <v>42.36</v>
      </c>
      <c r="E896" s="1">
        <v>0</v>
      </c>
      <c r="F896" s="1">
        <v>0.72</v>
      </c>
      <c r="G896" s="1">
        <v>0</v>
      </c>
      <c r="H896" s="1">
        <v>0</v>
      </c>
      <c r="I896" s="2">
        <v>0.56999999999999995</v>
      </c>
      <c r="J896" s="1">
        <v>0</v>
      </c>
      <c r="K896" s="2">
        <v>56.25</v>
      </c>
      <c r="L896" s="2">
        <v>0.1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/>
      <c r="W896" s="1"/>
    </row>
    <row r="897" spans="1:23" ht="13.2">
      <c r="A897" s="1">
        <v>896</v>
      </c>
      <c r="B897" s="5" t="s">
        <v>3745</v>
      </c>
      <c r="C897" s="1" t="s">
        <v>3276</v>
      </c>
      <c r="D897" s="1">
        <v>42.07</v>
      </c>
      <c r="E897" s="1">
        <v>0</v>
      </c>
      <c r="F897" s="1">
        <v>0.01</v>
      </c>
      <c r="G897" s="1">
        <v>0</v>
      </c>
      <c r="H897" s="1">
        <v>0</v>
      </c>
      <c r="I897" s="2">
        <v>0.06</v>
      </c>
      <c r="J897" s="1">
        <v>0</v>
      </c>
      <c r="K897" s="2">
        <v>57.85</v>
      </c>
      <c r="L897" s="2">
        <v>0.01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/>
      <c r="W897" s="1"/>
    </row>
    <row r="898" spans="1:23" ht="13.2">
      <c r="A898" s="1">
        <v>897</v>
      </c>
      <c r="B898" s="5" t="s">
        <v>3746</v>
      </c>
      <c r="C898" s="1" t="s">
        <v>3276</v>
      </c>
      <c r="D898" s="1">
        <v>41.96</v>
      </c>
      <c r="E898" s="1">
        <v>0</v>
      </c>
      <c r="F898" s="1">
        <v>0.24</v>
      </c>
      <c r="G898" s="1">
        <v>0</v>
      </c>
      <c r="H898" s="1">
        <v>0</v>
      </c>
      <c r="I898" s="2">
        <v>0</v>
      </c>
      <c r="J898" s="1">
        <v>0</v>
      </c>
      <c r="K898" s="2">
        <v>57.76</v>
      </c>
      <c r="L898" s="2">
        <v>0.04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/>
      <c r="W898" s="1"/>
    </row>
    <row r="899" spans="1:23" ht="13.2">
      <c r="A899" s="1">
        <v>898</v>
      </c>
      <c r="B899" s="5" t="s">
        <v>3747</v>
      </c>
      <c r="C899" s="1" t="s">
        <v>3276</v>
      </c>
      <c r="D899" s="1">
        <v>41.8</v>
      </c>
      <c r="E899" s="1">
        <v>0</v>
      </c>
      <c r="F899" s="1">
        <v>0.02</v>
      </c>
      <c r="G899" s="1">
        <v>0</v>
      </c>
      <c r="H899" s="1">
        <v>0</v>
      </c>
      <c r="I899" s="2">
        <v>0</v>
      </c>
      <c r="J899" s="1">
        <v>0</v>
      </c>
      <c r="K899" s="2">
        <v>58.69</v>
      </c>
      <c r="L899" s="2">
        <v>0.02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/>
      <c r="W899" s="1"/>
    </row>
    <row r="900" spans="1:23" ht="13.2">
      <c r="A900" s="1">
        <v>899</v>
      </c>
      <c r="B900" s="5" t="s">
        <v>3748</v>
      </c>
      <c r="C900" s="1" t="s">
        <v>3276</v>
      </c>
      <c r="D900" s="1">
        <v>41.59</v>
      </c>
      <c r="E900" s="1">
        <v>0</v>
      </c>
      <c r="F900" s="1">
        <v>0.21</v>
      </c>
      <c r="G900" s="1">
        <v>0</v>
      </c>
      <c r="H900" s="1">
        <v>0</v>
      </c>
      <c r="I900" s="2">
        <v>0</v>
      </c>
      <c r="J900" s="1">
        <v>0</v>
      </c>
      <c r="K900" s="2">
        <v>58.01</v>
      </c>
      <c r="L900" s="2">
        <v>0.02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/>
      <c r="W900" s="1"/>
    </row>
    <row r="901" spans="1:23" ht="26.4">
      <c r="A901" s="1">
        <v>900</v>
      </c>
      <c r="B901" s="5" t="s">
        <v>3749</v>
      </c>
      <c r="C901" s="1" t="s">
        <v>2026</v>
      </c>
      <c r="D901" s="1">
        <v>41.1</v>
      </c>
      <c r="E901" s="1">
        <v>0.01</v>
      </c>
      <c r="F901" s="1">
        <v>0.01</v>
      </c>
      <c r="G901" s="1">
        <v>0.02</v>
      </c>
      <c r="H901" s="1">
        <v>0</v>
      </c>
      <c r="I901" s="2">
        <v>9.24</v>
      </c>
      <c r="J901" s="1">
        <v>0.14000000000000001</v>
      </c>
      <c r="K901" s="2">
        <v>50.01</v>
      </c>
      <c r="L901" s="2">
        <v>0.08</v>
      </c>
      <c r="M901" s="1">
        <v>0.01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 t="s">
        <v>3750</v>
      </c>
      <c r="W901" s="1" t="s">
        <v>3751</v>
      </c>
    </row>
    <row r="902" spans="1:23" ht="26.4">
      <c r="A902" s="1">
        <v>901</v>
      </c>
      <c r="B902" s="5" t="s">
        <v>3752</v>
      </c>
      <c r="C902" s="1" t="s">
        <v>2026</v>
      </c>
      <c r="D902" s="1">
        <v>41.18</v>
      </c>
      <c r="E902" s="1">
        <v>0.01</v>
      </c>
      <c r="F902" s="1">
        <v>0.01</v>
      </c>
      <c r="G902" s="1">
        <v>0.03</v>
      </c>
      <c r="H902" s="1">
        <v>0</v>
      </c>
      <c r="I902" s="2">
        <v>8.68</v>
      </c>
      <c r="J902" s="1">
        <v>0.14000000000000001</v>
      </c>
      <c r="K902" s="2">
        <v>50.38</v>
      </c>
      <c r="L902" s="2">
        <v>0.08</v>
      </c>
      <c r="M902" s="1">
        <v>0.01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 t="s">
        <v>3750</v>
      </c>
      <c r="W902" s="1" t="s">
        <v>3753</v>
      </c>
    </row>
    <row r="903" spans="1:23" ht="26.4">
      <c r="A903" s="1">
        <v>902</v>
      </c>
      <c r="B903" s="5" t="s">
        <v>3754</v>
      </c>
      <c r="C903" s="1" t="s">
        <v>3272</v>
      </c>
      <c r="D903" s="1">
        <v>52.74</v>
      </c>
      <c r="E903" s="1">
        <v>7.0000000000000007E-2</v>
      </c>
      <c r="F903" s="1">
        <v>29.86</v>
      </c>
      <c r="G903" s="1">
        <v>0</v>
      </c>
      <c r="H903" s="1">
        <v>0</v>
      </c>
      <c r="I903" s="2">
        <v>0.37</v>
      </c>
      <c r="J903" s="1">
        <v>0</v>
      </c>
      <c r="K903" s="2">
        <v>0.11</v>
      </c>
      <c r="L903" s="2">
        <v>12.21</v>
      </c>
      <c r="M903" s="1">
        <v>4.47</v>
      </c>
      <c r="N903" s="1">
        <v>0.26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 t="s">
        <v>3750</v>
      </c>
      <c r="W903" s="1"/>
    </row>
    <row r="904" spans="1:23" ht="26.4">
      <c r="A904" s="1">
        <v>903</v>
      </c>
      <c r="B904" s="5" t="s">
        <v>3755</v>
      </c>
      <c r="C904" s="1" t="s">
        <v>2578</v>
      </c>
      <c r="D904" s="1">
        <v>51.56</v>
      </c>
      <c r="E904" s="1">
        <v>2.5</v>
      </c>
      <c r="F904" s="1">
        <v>13.98</v>
      </c>
      <c r="G904" s="1">
        <v>0</v>
      </c>
      <c r="H904" s="1">
        <v>12.47</v>
      </c>
      <c r="I904" s="2">
        <v>0</v>
      </c>
      <c r="J904" s="1">
        <v>9</v>
      </c>
      <c r="K904" s="2">
        <v>6.68</v>
      </c>
      <c r="L904" s="2">
        <v>10.93</v>
      </c>
      <c r="M904" s="1">
        <v>2.4900000000000002</v>
      </c>
      <c r="N904" s="1">
        <v>0.44</v>
      </c>
      <c r="O904" s="1">
        <v>0.24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 t="s">
        <v>3750</v>
      </c>
      <c r="W904" s="1"/>
    </row>
    <row r="905" spans="1:23" ht="26.4">
      <c r="A905" s="1">
        <v>904</v>
      </c>
      <c r="B905" s="1" t="s">
        <v>3756</v>
      </c>
      <c r="C905" s="1" t="s">
        <v>2578</v>
      </c>
      <c r="D905" s="1">
        <v>75.680000000000007</v>
      </c>
      <c r="E905" s="1">
        <v>0.14000000000000001</v>
      </c>
      <c r="F905" s="1">
        <v>11.18</v>
      </c>
      <c r="G905" s="1">
        <v>0</v>
      </c>
      <c r="H905" s="1">
        <v>2.8</v>
      </c>
      <c r="I905" s="2">
        <v>0</v>
      </c>
      <c r="J905" s="1">
        <v>0</v>
      </c>
      <c r="K905" s="2">
        <v>0.02</v>
      </c>
      <c r="L905" s="2">
        <v>0.17</v>
      </c>
      <c r="M905" s="1">
        <v>5.04</v>
      </c>
      <c r="N905" s="1">
        <v>4.3899999999999997</v>
      </c>
      <c r="O905" s="1">
        <v>0.24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 t="s">
        <v>3750</v>
      </c>
      <c r="W905" s="1"/>
    </row>
    <row r="906" spans="1:23" ht="26.4">
      <c r="A906" s="1">
        <v>905</v>
      </c>
      <c r="B906" s="1" t="s">
        <v>3757</v>
      </c>
      <c r="C906" s="1" t="s">
        <v>2677</v>
      </c>
      <c r="D906" s="1">
        <v>53.35</v>
      </c>
      <c r="E906" s="1">
        <v>0.01</v>
      </c>
      <c r="F906" s="1">
        <v>0.51</v>
      </c>
      <c r="G906" s="1">
        <v>0</v>
      </c>
      <c r="H906" s="1">
        <v>0</v>
      </c>
      <c r="I906" s="2">
        <v>9.9700000000000006</v>
      </c>
      <c r="J906" s="1">
        <v>0</v>
      </c>
      <c r="K906" s="2">
        <v>12.08</v>
      </c>
      <c r="L906" s="2">
        <v>23.25</v>
      </c>
      <c r="M906" s="1">
        <v>0.46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 t="s">
        <v>3750</v>
      </c>
      <c r="W906" s="1"/>
    </row>
    <row r="907" spans="1:23" ht="26.4">
      <c r="A907" s="1">
        <v>906</v>
      </c>
      <c r="B907" s="1" t="s">
        <v>3758</v>
      </c>
      <c r="C907" s="1" t="s">
        <v>3274</v>
      </c>
      <c r="D907" s="1">
        <v>53.89</v>
      </c>
      <c r="E907" s="1">
        <v>0.09</v>
      </c>
      <c r="F907" s="1">
        <v>2.74</v>
      </c>
      <c r="G907" s="1">
        <v>0</v>
      </c>
      <c r="H907" s="1">
        <v>0</v>
      </c>
      <c r="I907" s="2">
        <v>1.87</v>
      </c>
      <c r="J907" s="1">
        <v>0</v>
      </c>
      <c r="K907" s="2">
        <v>16.54</v>
      </c>
      <c r="L907" s="2">
        <v>24.74</v>
      </c>
      <c r="M907" s="1">
        <v>0.39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 t="s">
        <v>3750</v>
      </c>
      <c r="W907" s="1"/>
    </row>
    <row r="908" spans="1:23" ht="13.2">
      <c r="A908" s="1">
        <v>907</v>
      </c>
      <c r="B908" s="5" t="s">
        <v>3759</v>
      </c>
      <c r="C908" s="1" t="s">
        <v>2020</v>
      </c>
      <c r="D908" s="1">
        <v>25</v>
      </c>
      <c r="E908" s="1">
        <v>0.5</v>
      </c>
      <c r="F908" s="1">
        <v>3.1</v>
      </c>
      <c r="G908" s="1">
        <v>0.2</v>
      </c>
      <c r="H908" s="1">
        <v>0</v>
      </c>
      <c r="I908" s="2">
        <v>25.8</v>
      </c>
      <c r="J908" s="1">
        <v>0</v>
      </c>
      <c r="K908" s="2">
        <v>30.2</v>
      </c>
      <c r="L908" s="2">
        <v>3</v>
      </c>
      <c r="M908" s="1">
        <v>6.4</v>
      </c>
      <c r="N908" s="1">
        <v>0.4</v>
      </c>
      <c r="O908" s="1">
        <v>0.4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 t="s">
        <v>3760</v>
      </c>
      <c r="W908" s="1" t="s">
        <v>3761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EAD4F1C47F1247A643DACFE20C9223" ma:contentTypeVersion="13" ma:contentTypeDescription="Create a new document." ma:contentTypeScope="" ma:versionID="3cc52f2e41f0642f5fad5fba19d0ab64">
  <xsd:schema xmlns:xsd="http://www.w3.org/2001/XMLSchema" xmlns:xs="http://www.w3.org/2001/XMLSchema" xmlns:p="http://schemas.microsoft.com/office/2006/metadata/properties" xmlns:ns3="b95d4c91-4c37-40ea-a04a-c6f8139fc849" xmlns:ns4="bb400f50-552c-4823-bc3f-146433615514" targetNamespace="http://schemas.microsoft.com/office/2006/metadata/properties" ma:root="true" ma:fieldsID="0b9e6548669113b860a8b09f25802127" ns3:_="" ns4:_="">
    <xsd:import namespace="b95d4c91-4c37-40ea-a04a-c6f8139fc849"/>
    <xsd:import namespace="bb400f50-552c-4823-bc3f-14643361551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d4c91-4c37-40ea-a04a-c6f8139fc8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00f50-552c-4823-bc3f-146433615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BC18A2-31BA-421A-A25F-23D94BBCF2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E03E47-EEC8-4E10-9B75-C2F09B529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5d4c91-4c37-40ea-a04a-c6f8139fc849"/>
    <ds:schemaRef ds:uri="bb400f50-552c-4823-bc3f-146433615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13B6E5-290A-4878-B77C-8E475C3F71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2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RELAB</vt:lpstr>
      <vt:lpstr>C-Tape</vt:lpstr>
      <vt:lpstr>TK</vt:lpstr>
      <vt:lpstr>Chemical_analyses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Petro</dc:creator>
  <cp:keywords/>
  <dc:description/>
  <cp:lastModifiedBy>David Korda</cp:lastModifiedBy>
  <cp:revision/>
  <dcterms:created xsi:type="dcterms:W3CDTF">2001-07-13T19:13:23Z</dcterms:created>
  <dcterms:modified xsi:type="dcterms:W3CDTF">2022-09-07T20:06:31Z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0x010100A0EAD4F1C47F1247A643DACFE20C9223</vt:lpwstr>
  </property>
</Properties>
</file>