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drawings/drawing2.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grigo\Downloads\"/>
    </mc:Choice>
  </mc:AlternateContent>
  <xr:revisionPtr revIDLastSave="0" documentId="13_ncr:1_{2F5959FC-B832-4E3A-9619-5ECBC00D0EB4}" xr6:coauthVersionLast="47" xr6:coauthVersionMax="47" xr10:uidLastSave="{00000000-0000-0000-0000-000000000000}"/>
  <bookViews>
    <workbookView xWindow="-110" yWindow="-110" windowWidth="19420" windowHeight="11500" firstSheet="9" activeTab="13" xr2:uid="{00000000-000D-0000-FFFF-FFFF00000000}"/>
  </bookViews>
  <sheets>
    <sheet name="Northwind dataset" sheetId="9" r:id="rId1"/>
    <sheet name="categories" sheetId="1" r:id="rId2"/>
    <sheet name="customers" sheetId="2" r:id="rId3"/>
    <sheet name="employees" sheetId="3" r:id="rId4"/>
    <sheet name="orderdetails" sheetId="4" r:id="rId5"/>
    <sheet name="orders" sheetId="5" state="hidden" r:id="rId6"/>
    <sheet name="orders1" sheetId="13" r:id="rId7"/>
    <sheet name="products" sheetId="6" r:id="rId8"/>
    <sheet name="shippers" sheetId="7" r:id="rId9"/>
    <sheet name="suppliers" sheetId="8" r:id="rId10"/>
    <sheet name="ΟΔΗΓΙΕΣ" sheetId="14" r:id="rId11"/>
    <sheet name="01_ΕΡΓΑΣΤΗΡΙΟ" sheetId="15" r:id="rId12"/>
    <sheet name="02_FACTS" sheetId="16" r:id="rId13"/>
    <sheet name="03_PIVOT" sheetId="19" r:id="rId14"/>
  </sheets>
  <definedNames>
    <definedName name="_xlcn.WorksheetConnection_northwind_2012_test.xlsxΠίνακας21" hidden="1">Πίνακας2[]</definedName>
    <definedName name="_xlcn.WorksheetConnection_northwind_2012_test.xlsxΠίνακας41" hidden="1">Πίνακας4[]</definedName>
    <definedName name="Αναλυτής_CategoryName">#N/A</definedName>
  </definedNames>
  <calcPr calcId="191029"/>
  <pivotCaches>
    <pivotCache cacheId="14" r:id="rId15"/>
  </pivotCaches>
  <extLs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categories_714f4904-3aba-4fd9-bc3f-853db844923e" name="categories" connection="Excel northwind_2012"/>
          <x15:modelTable id="customers_44fca640-87db-486e-b7e6-f5595c5374a3" name="customers" connection="Excel northwind_2012"/>
          <x15:modelTable id="employees_1a202c7d-8115-458d-96bf-e0552ffef687" name="employees" connection="Excel northwind_2012"/>
          <x15:modelTable id="orderdetails_c812f97f-1f53-49c8-b284-4e9918856893" name="orderdetails" connection="Excel northwind_2012"/>
          <x15:modelTable id="orders_183e46a0-fd53-412c-8358-d424665b2124" name="orders" connection="Excel northwind_2012"/>
          <x15:modelTable id="products_9817345c-fac8-4aa6-a28d-d8b591363836" name="products" connection="Excel northwind_2012"/>
          <x15:modelTable id="shippers_e24df9c7-7bb5-4bde-b5d3-d4c550420295" name="shippers" connection="Excel northwind_2012"/>
          <x15:modelTable id="suppliers_25172441-2bda-40e0-90b0-d770e9b86755" name="suppliers" connection="Excel northwind_2012"/>
          <x15:modelTable id="Πίνακας4" name="Πίνακας4" connection="WorksheetConnection_northwind_2012_test.xlsx!Πίνακας4"/>
          <x15:modelTable id="Πίνακας2" name="Πίνακας2" connection="WorksheetConnection_northwind_2012_test.xlsx!Πίνακας2"/>
        </x15:modelTables>
        <x15:modelRelationships>
          <x15:modelRelationship fromTable="orderdetails" fromColumn="OrderID" toTable="orders" toColumn="OrderID"/>
          <x15:modelRelationship fromTable="orders" fromColumn="CustomerID" toTable="customers" toColumn="CustomerID"/>
          <x15:modelRelationship fromTable="orders" fromColumn="EmployeeID" toTable="employees" toColumn="Employee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6" i="15" l="1"/>
  <c r="B45" i="15"/>
  <c r="B44" i="15"/>
  <c r="B43" i="15"/>
  <c r="B42" i="15"/>
  <c r="B41" i="15"/>
  <c r="B37" i="15"/>
  <c r="B36" i="15"/>
  <c r="B34" i="15" a="1"/>
  <c r="B34" i="15" s="1"/>
  <c r="B33" i="15"/>
  <c r="B29" i="15"/>
  <c r="B28" i="15" a="1"/>
  <c r="B28" i="15" s="1"/>
  <c r="B27" i="15"/>
  <c r="F22" i="15"/>
  <c r="F21" i="15"/>
  <c r="F20" i="15"/>
  <c r="F19" i="15"/>
  <c r="B22" i="15"/>
  <c r="G9" i="15"/>
  <c r="G7" i="15"/>
  <c r="B12" i="15"/>
  <c r="B13" i="15" s="1"/>
  <c r="B11" i="15"/>
  <c r="B10" i="15"/>
  <c r="B9" i="15"/>
  <c r="B8" i="15"/>
  <c r="B7" i="15"/>
  <c r="G53" i="15"/>
  <c r="G54" i="15"/>
  <c r="G55" i="15"/>
  <c r="G56" i="15"/>
  <c r="G57" i="15"/>
  <c r="G58" i="15"/>
  <c r="G59" i="15"/>
  <c r="G60" i="15"/>
  <c r="G61" i="15"/>
  <c r="G62" i="15"/>
  <c r="G63" i="15"/>
  <c r="G64" i="15"/>
  <c r="G65" i="15"/>
  <c r="G66" i="15"/>
  <c r="G67" i="15"/>
  <c r="G68" i="15"/>
  <c r="G69" i="15"/>
  <c r="G70" i="15"/>
  <c r="G71" i="15"/>
  <c r="G72" i="15"/>
  <c r="G73" i="15"/>
  <c r="G74" i="15"/>
  <c r="G75" i="15"/>
  <c r="G76" i="15"/>
  <c r="G77" i="15"/>
  <c r="V2" i="16"/>
  <c r="V3" i="16"/>
  <c r="V4" i="16"/>
  <c r="V5" i="16"/>
  <c r="V6" i="16"/>
  <c r="V7" i="16"/>
  <c r="V8" i="16"/>
  <c r="V9" i="16"/>
  <c r="V10" i="16"/>
  <c r="V11" i="16"/>
  <c r="V12" i="16"/>
  <c r="V13" i="16"/>
  <c r="V14" i="16"/>
  <c r="V15" i="16"/>
  <c r="V16" i="16"/>
  <c r="V17" i="16"/>
  <c r="V18" i="16"/>
  <c r="V19" i="16"/>
  <c r="V20" i="16"/>
  <c r="V21" i="16"/>
  <c r="V22" i="16"/>
  <c r="V23" i="16"/>
  <c r="V24" i="16"/>
  <c r="V25" i="16"/>
  <c r="V26" i="16"/>
  <c r="V27" i="16"/>
  <c r="V28" i="16"/>
  <c r="V29" i="16"/>
  <c r="V30" i="16"/>
  <c r="V31" i="16"/>
  <c r="V32" i="16"/>
  <c r="V33" i="16"/>
  <c r="V34" i="16"/>
  <c r="V35" i="16"/>
  <c r="V36" i="16"/>
  <c r="V37" i="16"/>
  <c r="V38" i="16"/>
  <c r="V39" i="16"/>
  <c r="V40" i="16"/>
  <c r="V41" i="16"/>
  <c r="V42" i="16"/>
  <c r="V43" i="16"/>
  <c r="V44" i="16"/>
  <c r="V45" i="16"/>
  <c r="V46" i="16"/>
  <c r="V47" i="16"/>
  <c r="V48" i="16"/>
  <c r="V49" i="16"/>
  <c r="V50" i="16"/>
  <c r="V51" i="16"/>
  <c r="V52" i="16"/>
  <c r="V53" i="16"/>
  <c r="V54" i="16"/>
  <c r="V55" i="16"/>
  <c r="V56" i="16"/>
  <c r="V57" i="16"/>
  <c r="V58" i="16"/>
  <c r="V59" i="16"/>
  <c r="V60" i="16"/>
  <c r="V61" i="16"/>
  <c r="V62" i="16"/>
  <c r="V63" i="16"/>
  <c r="V64" i="16"/>
  <c r="V65" i="16"/>
  <c r="V66" i="16"/>
  <c r="V67" i="16"/>
  <c r="V68" i="16"/>
  <c r="V69" i="16"/>
  <c r="V70" i="16"/>
  <c r="V71" i="16"/>
  <c r="V72" i="16"/>
  <c r="V73" i="16"/>
  <c r="V74" i="16"/>
  <c r="V75" i="16"/>
  <c r="V76" i="16"/>
  <c r="V77" i="16"/>
  <c r="V78" i="16"/>
  <c r="V79" i="16"/>
  <c r="V80" i="16"/>
  <c r="V81" i="16"/>
  <c r="V82" i="16"/>
  <c r="V83" i="16"/>
  <c r="V84" i="16"/>
  <c r="V85" i="16"/>
  <c r="V86" i="16"/>
  <c r="V87" i="16"/>
  <c r="V88" i="16"/>
  <c r="V89" i="16"/>
  <c r="V90" i="16"/>
  <c r="V91" i="16"/>
  <c r="V92" i="16"/>
  <c r="V93" i="16"/>
  <c r="V94" i="16"/>
  <c r="V95" i="16"/>
  <c r="V96" i="16"/>
  <c r="V97" i="16"/>
  <c r="V98" i="16"/>
  <c r="V99" i="16"/>
  <c r="V100" i="16"/>
  <c r="V101" i="16"/>
  <c r="V102" i="16"/>
  <c r="V103" i="16"/>
  <c r="V104" i="16"/>
  <c r="V105" i="16"/>
  <c r="V106" i="16"/>
  <c r="V107" i="16"/>
  <c r="V108" i="16"/>
  <c r="V109" i="16"/>
  <c r="V110" i="16"/>
  <c r="V111" i="16"/>
  <c r="V112" i="16"/>
  <c r="V113" i="16"/>
  <c r="V114" i="16"/>
  <c r="V115" i="16"/>
  <c r="V116" i="16"/>
  <c r="V117" i="16"/>
  <c r="V118" i="16"/>
  <c r="V119" i="16"/>
  <c r="V120" i="16"/>
  <c r="V121" i="16"/>
  <c r="V122" i="16"/>
  <c r="V123" i="16"/>
  <c r="V124" i="16"/>
  <c r="V125" i="16"/>
  <c r="V126" i="16"/>
  <c r="V127" i="16"/>
  <c r="V128" i="16"/>
  <c r="V129" i="16"/>
  <c r="V130" i="16"/>
  <c r="V131" i="16"/>
  <c r="V132" i="16"/>
  <c r="V133" i="16"/>
  <c r="V134" i="16"/>
  <c r="V135" i="16"/>
  <c r="V136" i="16"/>
  <c r="V137" i="16"/>
  <c r="V138" i="16"/>
  <c r="V139" i="16"/>
  <c r="V140" i="16"/>
  <c r="V141" i="16"/>
  <c r="V142" i="16"/>
  <c r="V143" i="16"/>
  <c r="V144" i="16"/>
  <c r="V145" i="16"/>
  <c r="V146" i="16"/>
  <c r="V147" i="16"/>
  <c r="V148" i="16"/>
  <c r="V149" i="16"/>
  <c r="V150" i="16"/>
  <c r="V151" i="16"/>
  <c r="V152" i="16"/>
  <c r="V153" i="16"/>
  <c r="V154" i="16"/>
  <c r="V155" i="16"/>
  <c r="V156" i="16"/>
  <c r="V157" i="16"/>
  <c r="V158" i="16"/>
  <c r="V159" i="16"/>
  <c r="V160" i="16"/>
  <c r="V161" i="16"/>
  <c r="V162" i="16"/>
  <c r="V163" i="16"/>
  <c r="V164" i="16"/>
  <c r="V165" i="16"/>
  <c r="V166" i="16"/>
  <c r="V167" i="16"/>
  <c r="V168" i="16"/>
  <c r="V169" i="16"/>
  <c r="V170" i="16"/>
  <c r="V171" i="16"/>
  <c r="V172" i="16"/>
  <c r="V173" i="16"/>
  <c r="V174" i="16"/>
  <c r="V175" i="16"/>
  <c r="V176" i="16"/>
  <c r="V177" i="16"/>
  <c r="V178" i="16"/>
  <c r="V179" i="16"/>
  <c r="V180" i="16"/>
  <c r="V181" i="16"/>
  <c r="V182" i="16"/>
  <c r="V183" i="16"/>
  <c r="V184" i="16"/>
  <c r="V185" i="16"/>
  <c r="V186" i="16"/>
  <c r="V187" i="16"/>
  <c r="V188" i="16"/>
  <c r="V189" i="16"/>
  <c r="V190" i="16"/>
  <c r="V191" i="16"/>
  <c r="V192" i="16"/>
  <c r="V193" i="16"/>
  <c r="V194" i="16"/>
  <c r="V195" i="16"/>
  <c r="V196" i="16"/>
  <c r="V197" i="16"/>
  <c r="V198" i="16"/>
  <c r="V199" i="16"/>
  <c r="V200" i="16"/>
  <c r="V201" i="16"/>
  <c r="V202" i="16"/>
  <c r="V203" i="16"/>
  <c r="V204" i="16"/>
  <c r="V205" i="16"/>
  <c r="V206" i="16"/>
  <c r="V207" i="16"/>
  <c r="V208" i="16"/>
  <c r="V209" i="16"/>
  <c r="V210" i="16"/>
  <c r="V211" i="16"/>
  <c r="V212" i="16"/>
  <c r="V213" i="16"/>
  <c r="V214" i="16"/>
  <c r="V215" i="16"/>
  <c r="V216" i="16"/>
  <c r="V217" i="16"/>
  <c r="V218" i="16"/>
  <c r="V219" i="16"/>
  <c r="V220" i="16"/>
  <c r="V221" i="16"/>
  <c r="V222" i="16"/>
  <c r="V223" i="16"/>
  <c r="V224" i="16"/>
  <c r="V225" i="16"/>
  <c r="V226" i="16"/>
  <c r="V227" i="16"/>
  <c r="V228" i="16"/>
  <c r="V229" i="16"/>
  <c r="V230" i="16"/>
  <c r="V231" i="16"/>
  <c r="V232" i="16"/>
  <c r="V233" i="16"/>
  <c r="V234" i="16"/>
  <c r="V235" i="16"/>
  <c r="V236" i="16"/>
  <c r="V237" i="16"/>
  <c r="V238" i="16"/>
  <c r="V239" i="16"/>
  <c r="V240" i="16"/>
  <c r="V241" i="16"/>
  <c r="V242" i="16"/>
  <c r="V243" i="16"/>
  <c r="V244" i="16"/>
  <c r="V245" i="16"/>
  <c r="V246" i="16"/>
  <c r="V247" i="16"/>
  <c r="V248" i="16"/>
  <c r="V249" i="16"/>
  <c r="V250" i="16"/>
  <c r="V251" i="16"/>
  <c r="V252" i="16"/>
  <c r="V253" i="16"/>
  <c r="V254" i="16"/>
  <c r="V255" i="16"/>
  <c r="V256" i="16"/>
  <c r="V257" i="16"/>
  <c r="V258" i="16"/>
  <c r="V259" i="16"/>
  <c r="V260" i="16"/>
  <c r="V261" i="16"/>
  <c r="V262" i="16"/>
  <c r="V263" i="16"/>
  <c r="V264" i="16"/>
  <c r="V265" i="16"/>
  <c r="V266" i="16"/>
  <c r="V267" i="16"/>
  <c r="V268" i="16"/>
  <c r="V269" i="16"/>
  <c r="V270" i="16"/>
  <c r="V271" i="16"/>
  <c r="V272" i="16"/>
  <c r="V273" i="16"/>
  <c r="V274" i="16"/>
  <c r="V275" i="16"/>
  <c r="V276" i="16"/>
  <c r="V277" i="16"/>
  <c r="V278" i="16"/>
  <c r="V279" i="16"/>
  <c r="V280" i="16"/>
  <c r="V281" i="16"/>
  <c r="V282" i="16"/>
  <c r="V283" i="16"/>
  <c r="V284" i="16"/>
  <c r="V285" i="16"/>
  <c r="V286" i="16"/>
  <c r="V287" i="16"/>
  <c r="V288" i="16"/>
  <c r="V289" i="16"/>
  <c r="V290" i="16"/>
  <c r="V291" i="16"/>
  <c r="V292" i="16"/>
  <c r="V293" i="16"/>
  <c r="V294" i="16"/>
  <c r="V295" i="16"/>
  <c r="V296" i="16"/>
  <c r="V297" i="16"/>
  <c r="V298" i="16"/>
  <c r="V299" i="16"/>
  <c r="V300" i="16"/>
  <c r="V301" i="16"/>
  <c r="V302" i="16"/>
  <c r="V303" i="16"/>
  <c r="V304" i="16"/>
  <c r="V305" i="16"/>
  <c r="V306" i="16"/>
  <c r="V307" i="16"/>
  <c r="V308" i="16"/>
  <c r="V309" i="16"/>
  <c r="V310" i="16"/>
  <c r="V311" i="16"/>
  <c r="V312" i="16"/>
  <c r="V313" i="16"/>
  <c r="V314" i="16"/>
  <c r="V315" i="16"/>
  <c r="V316" i="16"/>
  <c r="V317" i="16"/>
  <c r="V318" i="16"/>
  <c r="V319" i="16"/>
  <c r="V320" i="16"/>
  <c r="V321" i="16"/>
  <c r="V322" i="16"/>
  <c r="V323" i="16"/>
  <c r="V324" i="16"/>
  <c r="V325" i="16"/>
  <c r="V326" i="16"/>
  <c r="V327" i="16"/>
  <c r="V328" i="16"/>
  <c r="V329" i="16"/>
  <c r="V330" i="16"/>
  <c r="V331" i="16"/>
  <c r="V332" i="16"/>
  <c r="V333" i="16"/>
  <c r="V334" i="16"/>
  <c r="V335" i="16"/>
  <c r="V336" i="16"/>
  <c r="V337" i="16"/>
  <c r="V338" i="16"/>
  <c r="V339" i="16"/>
  <c r="V340" i="16"/>
  <c r="V341" i="16"/>
  <c r="V342" i="16"/>
  <c r="V343" i="16"/>
  <c r="V344" i="16"/>
  <c r="V345" i="16"/>
  <c r="V346" i="16"/>
  <c r="V347" i="16"/>
  <c r="V348" i="16"/>
  <c r="V349" i="16"/>
  <c r="V350" i="16"/>
  <c r="V351" i="16"/>
  <c r="V352" i="16"/>
  <c r="V353" i="16"/>
  <c r="V354" i="16"/>
  <c r="V355" i="16"/>
  <c r="V356" i="16"/>
  <c r="V357" i="16"/>
  <c r="V358" i="16"/>
  <c r="V359" i="16"/>
  <c r="V360" i="16"/>
  <c r="V361" i="16"/>
  <c r="V362" i="16"/>
  <c r="V363" i="16"/>
  <c r="V364" i="16"/>
  <c r="V365" i="16"/>
  <c r="V366" i="16"/>
  <c r="V367" i="16"/>
  <c r="V368" i="16"/>
  <c r="V369" i="16"/>
  <c r="V370" i="16"/>
  <c r="V371" i="16"/>
  <c r="V372" i="16"/>
  <c r="V373" i="16"/>
  <c r="V374" i="16"/>
  <c r="V375" i="16"/>
  <c r="V376" i="16"/>
  <c r="V377" i="16"/>
  <c r="V378" i="16"/>
  <c r="V379" i="16"/>
  <c r="V380" i="16"/>
  <c r="V381" i="16"/>
  <c r="V382" i="16"/>
  <c r="V383" i="16"/>
  <c r="V384" i="16"/>
  <c r="V385" i="16"/>
  <c r="V386" i="16"/>
  <c r="V387" i="16"/>
  <c r="V388" i="16"/>
  <c r="V389" i="16"/>
  <c r="V390" i="16"/>
  <c r="V391" i="16"/>
  <c r="V392" i="16"/>
  <c r="V393" i="16"/>
  <c r="V394" i="16"/>
  <c r="V395" i="16"/>
  <c r="V396" i="16"/>
  <c r="V397" i="16"/>
  <c r="V398" i="16"/>
  <c r="V399" i="16"/>
  <c r="V400" i="16"/>
  <c r="V401" i="16"/>
  <c r="V402" i="16"/>
  <c r="V403" i="16"/>
  <c r="V404" i="16"/>
  <c r="V405" i="16"/>
  <c r="V406" i="16"/>
  <c r="V407" i="16"/>
  <c r="V408" i="16"/>
  <c r="V409" i="16"/>
  <c r="V410" i="16"/>
  <c r="V411" i="16"/>
  <c r="V412" i="16"/>
  <c r="V413" i="16"/>
  <c r="V414" i="16"/>
  <c r="V415" i="16"/>
  <c r="V416" i="16"/>
  <c r="V417" i="16"/>
  <c r="V418" i="16"/>
  <c r="V419" i="16"/>
  <c r="V420" i="16"/>
  <c r="V421" i="16"/>
  <c r="V422" i="16"/>
  <c r="V423" i="16"/>
  <c r="V424" i="16"/>
  <c r="V425" i="16"/>
  <c r="V426" i="16"/>
  <c r="V427" i="16"/>
  <c r="V428" i="16"/>
  <c r="V429" i="16"/>
  <c r="V430" i="16"/>
  <c r="V431" i="16"/>
  <c r="V432" i="16"/>
  <c r="V433" i="16"/>
  <c r="V434" i="16"/>
  <c r="V435" i="16"/>
  <c r="V436" i="16"/>
  <c r="V437" i="16"/>
  <c r="V438" i="16"/>
  <c r="V439" i="16"/>
  <c r="V440" i="16"/>
  <c r="V441" i="16"/>
  <c r="V442" i="16"/>
  <c r="V443" i="16"/>
  <c r="V444" i="16"/>
  <c r="V445" i="16"/>
  <c r="V446" i="16"/>
  <c r="V447" i="16"/>
  <c r="V448" i="16"/>
  <c r="V449" i="16"/>
  <c r="V450" i="16"/>
  <c r="V451" i="16"/>
  <c r="V452" i="16"/>
  <c r="V453" i="16"/>
  <c r="V454" i="16"/>
  <c r="V455" i="16"/>
  <c r="V456" i="16"/>
  <c r="V457" i="16"/>
  <c r="V458" i="16"/>
  <c r="V459" i="16"/>
  <c r="V460" i="16"/>
  <c r="V461" i="16"/>
  <c r="V462" i="16"/>
  <c r="V463" i="16"/>
  <c r="V464" i="16"/>
  <c r="V465" i="16"/>
  <c r="V466" i="16"/>
  <c r="V467" i="16"/>
  <c r="V468" i="16"/>
  <c r="V469" i="16"/>
  <c r="V470" i="16"/>
  <c r="V471" i="16"/>
  <c r="V472" i="16"/>
  <c r="V473" i="16"/>
  <c r="V474" i="16"/>
  <c r="V475" i="16"/>
  <c r="V476" i="16"/>
  <c r="V477" i="16"/>
  <c r="V478" i="16"/>
  <c r="V479" i="16"/>
  <c r="V480" i="16"/>
  <c r="V481" i="16"/>
  <c r="V482" i="16"/>
  <c r="V483" i="16"/>
  <c r="V484" i="16"/>
  <c r="V485" i="16"/>
  <c r="V486" i="16"/>
  <c r="V487" i="16"/>
  <c r="V488" i="16"/>
  <c r="V489" i="16"/>
  <c r="V490" i="16"/>
  <c r="V491" i="16"/>
  <c r="V492" i="16"/>
  <c r="V493" i="16"/>
  <c r="V494" i="16"/>
  <c r="V495" i="16"/>
  <c r="V496" i="16"/>
  <c r="V497" i="16"/>
  <c r="V498" i="16"/>
  <c r="V499" i="16"/>
  <c r="V500" i="16"/>
  <c r="V501" i="16"/>
  <c r="V502" i="16"/>
  <c r="V503" i="16"/>
  <c r="V504" i="16"/>
  <c r="V505" i="16"/>
  <c r="V506" i="16"/>
  <c r="V507" i="16"/>
  <c r="V508" i="16"/>
  <c r="V509" i="16"/>
  <c r="V510" i="16"/>
  <c r="V511" i="16"/>
  <c r="V512" i="16"/>
  <c r="V513" i="16"/>
  <c r="V514" i="16"/>
  <c r="V515" i="16"/>
  <c r="V516" i="16"/>
  <c r="V517" i="16"/>
  <c r="V518" i="16"/>
  <c r="V519" i="16"/>
  <c r="S2" i="16"/>
  <c r="S3" i="16"/>
  <c r="S4" i="16"/>
  <c r="S5" i="16"/>
  <c r="S6" i="16"/>
  <c r="S7" i="16"/>
  <c r="S8" i="16"/>
  <c r="S9" i="16"/>
  <c r="S10" i="16"/>
  <c r="S11" i="16"/>
  <c r="S12" i="16"/>
  <c r="S13" i="16"/>
  <c r="S14" i="16"/>
  <c r="S15" i="16"/>
  <c r="S16" i="16"/>
  <c r="S17" i="16"/>
  <c r="S18" i="16"/>
  <c r="S19" i="16"/>
  <c r="S20" i="16"/>
  <c r="S21" i="16"/>
  <c r="S22" i="16"/>
  <c r="S23" i="16"/>
  <c r="S24" i="16"/>
  <c r="S25" i="16"/>
  <c r="S26" i="16"/>
  <c r="S27" i="16"/>
  <c r="S28" i="16"/>
  <c r="S29" i="16"/>
  <c r="S30" i="16"/>
  <c r="S31" i="16"/>
  <c r="S32" i="16"/>
  <c r="S33" i="16"/>
  <c r="S34" i="16"/>
  <c r="S35" i="16"/>
  <c r="S36" i="16"/>
  <c r="S37" i="16"/>
  <c r="S38" i="16"/>
  <c r="S39" i="16"/>
  <c r="S40" i="16"/>
  <c r="S41" i="16"/>
  <c r="S42" i="16"/>
  <c r="S43" i="16"/>
  <c r="S44" i="16"/>
  <c r="S45" i="16"/>
  <c r="S46" i="16"/>
  <c r="S47" i="16"/>
  <c r="S48" i="16"/>
  <c r="S49" i="16"/>
  <c r="S50" i="16"/>
  <c r="S51" i="16"/>
  <c r="S52" i="16"/>
  <c r="S53" i="16"/>
  <c r="S54" i="16"/>
  <c r="S55" i="16"/>
  <c r="S56" i="16"/>
  <c r="S57" i="16"/>
  <c r="S58" i="16"/>
  <c r="S59" i="16"/>
  <c r="S60" i="16"/>
  <c r="S61" i="16"/>
  <c r="S62" i="16"/>
  <c r="S63" i="16"/>
  <c r="S64" i="16"/>
  <c r="S65" i="16"/>
  <c r="S66" i="16"/>
  <c r="S67" i="16"/>
  <c r="S68" i="16"/>
  <c r="S69" i="16"/>
  <c r="S70" i="16"/>
  <c r="S71" i="16"/>
  <c r="S72" i="16"/>
  <c r="S73" i="16"/>
  <c r="S74" i="16"/>
  <c r="S75" i="16"/>
  <c r="S76" i="16"/>
  <c r="S77" i="16"/>
  <c r="S78" i="16"/>
  <c r="S79" i="16"/>
  <c r="S80" i="16"/>
  <c r="S81" i="16"/>
  <c r="S82" i="16"/>
  <c r="S83" i="16"/>
  <c r="S84" i="16"/>
  <c r="S85" i="16"/>
  <c r="S86" i="16"/>
  <c r="S87" i="16"/>
  <c r="S88" i="16"/>
  <c r="S89" i="16"/>
  <c r="S90" i="16"/>
  <c r="S91" i="16"/>
  <c r="S92" i="16"/>
  <c r="S93" i="16"/>
  <c r="S94" i="16"/>
  <c r="S95" i="16"/>
  <c r="S96" i="16"/>
  <c r="S97" i="16"/>
  <c r="S98" i="16"/>
  <c r="S99" i="16"/>
  <c r="S100" i="16"/>
  <c r="S101" i="16"/>
  <c r="S102" i="16"/>
  <c r="S103" i="16"/>
  <c r="S104" i="16"/>
  <c r="S105" i="16"/>
  <c r="S106" i="16"/>
  <c r="S107" i="16"/>
  <c r="S108" i="16"/>
  <c r="S109" i="16"/>
  <c r="S110" i="16"/>
  <c r="S111" i="16"/>
  <c r="S112" i="16"/>
  <c r="S113" i="16"/>
  <c r="S114" i="16"/>
  <c r="S115" i="16"/>
  <c r="S116" i="16"/>
  <c r="S117" i="16"/>
  <c r="S118" i="16"/>
  <c r="S119" i="16"/>
  <c r="S120" i="16"/>
  <c r="S121" i="16"/>
  <c r="S122" i="16"/>
  <c r="S123" i="16"/>
  <c r="S124" i="16"/>
  <c r="S125" i="16"/>
  <c r="S126" i="16"/>
  <c r="S127" i="16"/>
  <c r="S128" i="16"/>
  <c r="S129" i="16"/>
  <c r="S130" i="16"/>
  <c r="S131" i="16"/>
  <c r="S132" i="16"/>
  <c r="S133" i="16"/>
  <c r="S134" i="16"/>
  <c r="S135" i="16"/>
  <c r="S136" i="16"/>
  <c r="S137" i="16"/>
  <c r="S138" i="16"/>
  <c r="S139" i="16"/>
  <c r="S140" i="16"/>
  <c r="S141" i="16"/>
  <c r="S142" i="16"/>
  <c r="S143" i="16"/>
  <c r="S144" i="16"/>
  <c r="S145" i="16"/>
  <c r="S146" i="16"/>
  <c r="S147" i="16"/>
  <c r="S148" i="16"/>
  <c r="S149" i="16"/>
  <c r="S150" i="16"/>
  <c r="S151" i="16"/>
  <c r="S152" i="16"/>
  <c r="S153" i="16"/>
  <c r="S154" i="16"/>
  <c r="S155" i="16"/>
  <c r="S156" i="16"/>
  <c r="S157" i="16"/>
  <c r="S158" i="16"/>
  <c r="S159" i="16"/>
  <c r="S160" i="16"/>
  <c r="S161" i="16"/>
  <c r="S162" i="16"/>
  <c r="S163" i="16"/>
  <c r="S164" i="16"/>
  <c r="S165" i="16"/>
  <c r="S166" i="16"/>
  <c r="S167" i="16"/>
  <c r="S168" i="16"/>
  <c r="S169" i="16"/>
  <c r="S170" i="16"/>
  <c r="S171" i="16"/>
  <c r="S172" i="16"/>
  <c r="S173" i="16"/>
  <c r="S174" i="16"/>
  <c r="S175" i="16"/>
  <c r="S176" i="16"/>
  <c r="S177" i="16"/>
  <c r="S178" i="16"/>
  <c r="S179" i="16"/>
  <c r="S180" i="16"/>
  <c r="S181" i="16"/>
  <c r="S182" i="16"/>
  <c r="S183" i="16"/>
  <c r="S184" i="16"/>
  <c r="S185" i="16"/>
  <c r="S186" i="16"/>
  <c r="S187" i="16"/>
  <c r="S188" i="16"/>
  <c r="S189" i="16"/>
  <c r="S190" i="16"/>
  <c r="S191" i="16"/>
  <c r="S192" i="16"/>
  <c r="S193" i="16"/>
  <c r="S194" i="16"/>
  <c r="S195" i="16"/>
  <c r="S196" i="16"/>
  <c r="S197" i="16"/>
  <c r="S198" i="16"/>
  <c r="S199" i="16"/>
  <c r="S200" i="16"/>
  <c r="S201" i="16"/>
  <c r="S202" i="16"/>
  <c r="S203" i="16"/>
  <c r="S204" i="16"/>
  <c r="S205" i="16"/>
  <c r="S206" i="16"/>
  <c r="S207" i="16"/>
  <c r="S208" i="16"/>
  <c r="S209" i="16"/>
  <c r="S210" i="16"/>
  <c r="S211" i="16"/>
  <c r="S212" i="16"/>
  <c r="S213" i="16"/>
  <c r="S214" i="16"/>
  <c r="S215" i="16"/>
  <c r="S216" i="16"/>
  <c r="S217" i="16"/>
  <c r="S218" i="16"/>
  <c r="S219" i="16"/>
  <c r="S220" i="16"/>
  <c r="S221" i="16"/>
  <c r="S222" i="16"/>
  <c r="S223" i="16"/>
  <c r="S224" i="16"/>
  <c r="S225" i="16"/>
  <c r="S226" i="16"/>
  <c r="S227" i="16"/>
  <c r="S228" i="16"/>
  <c r="S229" i="16"/>
  <c r="S230" i="16"/>
  <c r="S231" i="16"/>
  <c r="S232" i="16"/>
  <c r="S233" i="16"/>
  <c r="S234" i="16"/>
  <c r="S235" i="16"/>
  <c r="S236" i="16"/>
  <c r="S237" i="16"/>
  <c r="S238" i="16"/>
  <c r="S239" i="16"/>
  <c r="S240" i="16"/>
  <c r="S241" i="16"/>
  <c r="S242" i="16"/>
  <c r="S243" i="16"/>
  <c r="S244" i="16"/>
  <c r="S245" i="16"/>
  <c r="S246" i="16"/>
  <c r="S247" i="16"/>
  <c r="S248" i="16"/>
  <c r="S249" i="16"/>
  <c r="S250" i="16"/>
  <c r="S251" i="16"/>
  <c r="S252" i="16"/>
  <c r="S253" i="16"/>
  <c r="S254" i="16"/>
  <c r="S255" i="16"/>
  <c r="S256" i="16"/>
  <c r="S257" i="16"/>
  <c r="S258" i="16"/>
  <c r="S259" i="16"/>
  <c r="S260" i="16"/>
  <c r="S261" i="16"/>
  <c r="S262" i="16"/>
  <c r="S263" i="16"/>
  <c r="S264" i="16"/>
  <c r="S265" i="16"/>
  <c r="S266" i="16"/>
  <c r="S267" i="16"/>
  <c r="S268" i="16"/>
  <c r="S269" i="16"/>
  <c r="S270" i="16"/>
  <c r="S271" i="16"/>
  <c r="S272" i="16"/>
  <c r="S273" i="16"/>
  <c r="S274" i="16"/>
  <c r="S275" i="16"/>
  <c r="S276" i="16"/>
  <c r="S277" i="16"/>
  <c r="S278" i="16"/>
  <c r="S279" i="16"/>
  <c r="S280" i="16"/>
  <c r="S281" i="16"/>
  <c r="S282" i="16"/>
  <c r="S283" i="16"/>
  <c r="S284" i="16"/>
  <c r="S285" i="16"/>
  <c r="S286" i="16"/>
  <c r="S287" i="16"/>
  <c r="S288" i="16"/>
  <c r="S289" i="16"/>
  <c r="S290" i="16"/>
  <c r="S291" i="16"/>
  <c r="S292" i="16"/>
  <c r="S293" i="16"/>
  <c r="S294" i="16"/>
  <c r="S295" i="16"/>
  <c r="S296" i="16"/>
  <c r="S297" i="16"/>
  <c r="S298" i="16"/>
  <c r="S299" i="16"/>
  <c r="S300" i="16"/>
  <c r="S301" i="16"/>
  <c r="S302" i="16"/>
  <c r="S303" i="16"/>
  <c r="S304" i="16"/>
  <c r="S305" i="16"/>
  <c r="S306" i="16"/>
  <c r="S307" i="16"/>
  <c r="S308" i="16"/>
  <c r="S309" i="16"/>
  <c r="S310" i="16"/>
  <c r="S311" i="16"/>
  <c r="S312" i="16"/>
  <c r="S313" i="16"/>
  <c r="S314" i="16"/>
  <c r="S315" i="16"/>
  <c r="S316" i="16"/>
  <c r="S317" i="16"/>
  <c r="S318" i="16"/>
  <c r="S319" i="16"/>
  <c r="S320" i="16"/>
  <c r="S321" i="16"/>
  <c r="S322" i="16"/>
  <c r="S323" i="16"/>
  <c r="S324" i="16"/>
  <c r="S325" i="16"/>
  <c r="S326" i="16"/>
  <c r="S327" i="16"/>
  <c r="S328" i="16"/>
  <c r="S329" i="16"/>
  <c r="S330" i="16"/>
  <c r="S331" i="16"/>
  <c r="S332" i="16"/>
  <c r="S333" i="16"/>
  <c r="S334" i="16"/>
  <c r="S335" i="16"/>
  <c r="S336" i="16"/>
  <c r="S337" i="16"/>
  <c r="S338" i="16"/>
  <c r="S339" i="16"/>
  <c r="S340" i="16"/>
  <c r="S341" i="16"/>
  <c r="S342" i="16"/>
  <c r="S343" i="16"/>
  <c r="S344" i="16"/>
  <c r="S345" i="16"/>
  <c r="S346" i="16"/>
  <c r="S347" i="16"/>
  <c r="S348" i="16"/>
  <c r="S349" i="16"/>
  <c r="S350" i="16"/>
  <c r="S351" i="16"/>
  <c r="S352" i="16"/>
  <c r="S353" i="16"/>
  <c r="S354" i="16"/>
  <c r="S355" i="16"/>
  <c r="S356" i="16"/>
  <c r="S357" i="16"/>
  <c r="S358" i="16"/>
  <c r="S359" i="16"/>
  <c r="S360" i="16"/>
  <c r="S361" i="16"/>
  <c r="S362" i="16"/>
  <c r="S363" i="16"/>
  <c r="S364" i="16"/>
  <c r="S365" i="16"/>
  <c r="S366" i="16"/>
  <c r="S367" i="16"/>
  <c r="S368" i="16"/>
  <c r="S369" i="16"/>
  <c r="S370" i="16"/>
  <c r="S371" i="16"/>
  <c r="S372" i="16"/>
  <c r="S373" i="16"/>
  <c r="S374" i="16"/>
  <c r="S375" i="16"/>
  <c r="S376" i="16"/>
  <c r="S377" i="16"/>
  <c r="S378" i="16"/>
  <c r="S379" i="16"/>
  <c r="S380" i="16"/>
  <c r="S381" i="16"/>
  <c r="S382" i="16"/>
  <c r="S383" i="16"/>
  <c r="S384" i="16"/>
  <c r="S385" i="16"/>
  <c r="S386" i="16"/>
  <c r="S387" i="16"/>
  <c r="S388" i="16"/>
  <c r="S389" i="16"/>
  <c r="S390" i="16"/>
  <c r="S391" i="16"/>
  <c r="S392" i="16"/>
  <c r="S393" i="16"/>
  <c r="S394" i="16"/>
  <c r="S395" i="16"/>
  <c r="S396" i="16"/>
  <c r="S397" i="16"/>
  <c r="S398" i="16"/>
  <c r="S399" i="16"/>
  <c r="S400" i="16"/>
  <c r="S401" i="16"/>
  <c r="S402" i="16"/>
  <c r="S403" i="16"/>
  <c r="S404" i="16"/>
  <c r="S405" i="16"/>
  <c r="S406" i="16"/>
  <c r="S407" i="16"/>
  <c r="S408" i="16"/>
  <c r="S409" i="16"/>
  <c r="S410" i="16"/>
  <c r="S411" i="16"/>
  <c r="S412" i="16"/>
  <c r="S413" i="16"/>
  <c r="S414" i="16"/>
  <c r="S415" i="16"/>
  <c r="S416" i="16"/>
  <c r="S417" i="16"/>
  <c r="S418" i="16"/>
  <c r="S419" i="16"/>
  <c r="S420" i="16"/>
  <c r="S421" i="16"/>
  <c r="S422" i="16"/>
  <c r="S423" i="16"/>
  <c r="S424" i="16"/>
  <c r="S425" i="16"/>
  <c r="S426" i="16"/>
  <c r="S427" i="16"/>
  <c r="S428" i="16"/>
  <c r="S429" i="16"/>
  <c r="S430" i="16"/>
  <c r="S431" i="16"/>
  <c r="S432" i="16"/>
  <c r="S433" i="16"/>
  <c r="S434" i="16"/>
  <c r="S435" i="16"/>
  <c r="S436" i="16"/>
  <c r="S437" i="16"/>
  <c r="S438" i="16"/>
  <c r="S439" i="16"/>
  <c r="S440" i="16"/>
  <c r="S441" i="16"/>
  <c r="S442" i="16"/>
  <c r="S443" i="16"/>
  <c r="S444" i="16"/>
  <c r="S445" i="16"/>
  <c r="S446" i="16"/>
  <c r="S447" i="16"/>
  <c r="S448" i="16"/>
  <c r="S449" i="16"/>
  <c r="S450" i="16"/>
  <c r="S451" i="16"/>
  <c r="S452" i="16"/>
  <c r="S453" i="16"/>
  <c r="S454" i="16"/>
  <c r="S455" i="16"/>
  <c r="S456" i="16"/>
  <c r="S457" i="16"/>
  <c r="S458" i="16"/>
  <c r="S459" i="16"/>
  <c r="S460" i="16"/>
  <c r="S461" i="16"/>
  <c r="S462" i="16"/>
  <c r="S463" i="16"/>
  <c r="S464" i="16"/>
  <c r="S465" i="16"/>
  <c r="S466" i="16"/>
  <c r="S467" i="16"/>
  <c r="S468" i="16"/>
  <c r="S469" i="16"/>
  <c r="S470" i="16"/>
  <c r="S471" i="16"/>
  <c r="S472" i="16"/>
  <c r="S473" i="16"/>
  <c r="S474" i="16"/>
  <c r="S475" i="16"/>
  <c r="S476" i="16"/>
  <c r="S477" i="16"/>
  <c r="S478" i="16"/>
  <c r="S479" i="16"/>
  <c r="S480" i="16"/>
  <c r="S481" i="16"/>
  <c r="S482" i="16"/>
  <c r="S483" i="16"/>
  <c r="S484" i="16"/>
  <c r="S485" i="16"/>
  <c r="S486" i="16"/>
  <c r="S487" i="16"/>
  <c r="S488" i="16"/>
  <c r="S489" i="16"/>
  <c r="S490" i="16"/>
  <c r="S491" i="16"/>
  <c r="S492" i="16"/>
  <c r="S493" i="16"/>
  <c r="S494" i="16"/>
  <c r="S495" i="16"/>
  <c r="S496" i="16"/>
  <c r="S497" i="16"/>
  <c r="S498" i="16"/>
  <c r="S499" i="16"/>
  <c r="S500" i="16"/>
  <c r="S501" i="16"/>
  <c r="S502" i="16"/>
  <c r="S503" i="16"/>
  <c r="S504" i="16"/>
  <c r="S505" i="16"/>
  <c r="S506" i="16"/>
  <c r="S507" i="16"/>
  <c r="S508" i="16"/>
  <c r="S509" i="16"/>
  <c r="S510" i="16"/>
  <c r="S511" i="16"/>
  <c r="S512" i="16"/>
  <c r="S513" i="16"/>
  <c r="S514" i="16"/>
  <c r="S515" i="16"/>
  <c r="S516" i="16"/>
  <c r="S517" i="16"/>
  <c r="S518" i="16"/>
  <c r="S519" i="16"/>
  <c r="Q2" i="16"/>
  <c r="R2" i="16" s="1"/>
  <c r="Q3" i="16"/>
  <c r="R3" i="16" s="1"/>
  <c r="Q4" i="16"/>
  <c r="R4" i="16" s="1"/>
  <c r="Q5" i="16"/>
  <c r="R5" i="16" s="1"/>
  <c r="Q6" i="16"/>
  <c r="R6" i="16" s="1"/>
  <c r="Q7" i="16"/>
  <c r="R7" i="16" s="1"/>
  <c r="Q8" i="16"/>
  <c r="R8" i="16" s="1"/>
  <c r="Q9" i="16"/>
  <c r="R9" i="16" s="1"/>
  <c r="Q10" i="16"/>
  <c r="R10" i="16" s="1"/>
  <c r="Q11" i="16"/>
  <c r="R11" i="16" s="1"/>
  <c r="Q12" i="16"/>
  <c r="R12" i="16" s="1"/>
  <c r="Q13" i="16"/>
  <c r="R13" i="16" s="1"/>
  <c r="Q14" i="16"/>
  <c r="R14" i="16" s="1"/>
  <c r="Q15" i="16"/>
  <c r="R15" i="16" s="1"/>
  <c r="Q16" i="16"/>
  <c r="R16" i="16" s="1"/>
  <c r="Q17" i="16"/>
  <c r="R17" i="16" s="1"/>
  <c r="Q18" i="16"/>
  <c r="R18" i="16" s="1"/>
  <c r="Q19" i="16"/>
  <c r="R19" i="16" s="1"/>
  <c r="Q20" i="16"/>
  <c r="R20" i="16" s="1"/>
  <c r="Q21" i="16"/>
  <c r="R21" i="16" s="1"/>
  <c r="Q22" i="16"/>
  <c r="R22" i="16" s="1"/>
  <c r="Q23" i="16"/>
  <c r="R23" i="16" s="1"/>
  <c r="Q24" i="16"/>
  <c r="R24" i="16" s="1"/>
  <c r="Q25" i="16"/>
  <c r="R25" i="16" s="1"/>
  <c r="Q26" i="16"/>
  <c r="R26" i="16" s="1"/>
  <c r="Q27" i="16"/>
  <c r="R27" i="16" s="1"/>
  <c r="Q28" i="16"/>
  <c r="R28" i="16" s="1"/>
  <c r="Q29" i="16"/>
  <c r="R29" i="16" s="1"/>
  <c r="Q30" i="16"/>
  <c r="R30" i="16" s="1"/>
  <c r="Q31" i="16"/>
  <c r="R31" i="16" s="1"/>
  <c r="Q32" i="16"/>
  <c r="R32" i="16" s="1"/>
  <c r="Q33" i="16"/>
  <c r="R33" i="16" s="1"/>
  <c r="Q34" i="16"/>
  <c r="R34" i="16" s="1"/>
  <c r="Q35" i="16"/>
  <c r="R35" i="16" s="1"/>
  <c r="Q36" i="16"/>
  <c r="R36" i="16" s="1"/>
  <c r="Q37" i="16"/>
  <c r="R37" i="16" s="1"/>
  <c r="Q38" i="16"/>
  <c r="R38" i="16" s="1"/>
  <c r="Q39" i="16"/>
  <c r="R39" i="16" s="1"/>
  <c r="Q40" i="16"/>
  <c r="R40" i="16" s="1"/>
  <c r="Q41" i="16"/>
  <c r="R41" i="16" s="1"/>
  <c r="Q42" i="16"/>
  <c r="R42" i="16" s="1"/>
  <c r="Q43" i="16"/>
  <c r="R43" i="16" s="1"/>
  <c r="Q44" i="16"/>
  <c r="R44" i="16" s="1"/>
  <c r="Q45" i="16"/>
  <c r="R45" i="16" s="1"/>
  <c r="Q46" i="16"/>
  <c r="R46" i="16" s="1"/>
  <c r="Q47" i="16"/>
  <c r="R47" i="16" s="1"/>
  <c r="Q48" i="16"/>
  <c r="R48" i="16" s="1"/>
  <c r="Q49" i="16"/>
  <c r="R49" i="16" s="1"/>
  <c r="Q50" i="16"/>
  <c r="R50" i="16" s="1"/>
  <c r="Q51" i="16"/>
  <c r="R51" i="16" s="1"/>
  <c r="Q52" i="16"/>
  <c r="R52" i="16" s="1"/>
  <c r="Q53" i="16"/>
  <c r="R53" i="16" s="1"/>
  <c r="Q54" i="16"/>
  <c r="R54" i="16" s="1"/>
  <c r="Q55" i="16"/>
  <c r="R55" i="16" s="1"/>
  <c r="Q56" i="16"/>
  <c r="R56" i="16" s="1"/>
  <c r="Q57" i="16"/>
  <c r="R57" i="16" s="1"/>
  <c r="Q58" i="16"/>
  <c r="R58" i="16" s="1"/>
  <c r="Q59" i="16"/>
  <c r="R59" i="16" s="1"/>
  <c r="Q60" i="16"/>
  <c r="R60" i="16" s="1"/>
  <c r="Q61" i="16"/>
  <c r="R61" i="16" s="1"/>
  <c r="Q62" i="16"/>
  <c r="R62" i="16" s="1"/>
  <c r="Q63" i="16"/>
  <c r="R63" i="16" s="1"/>
  <c r="Q64" i="16"/>
  <c r="R64" i="16" s="1"/>
  <c r="Q65" i="16"/>
  <c r="R65" i="16" s="1"/>
  <c r="Q66" i="16"/>
  <c r="R66" i="16" s="1"/>
  <c r="Q67" i="16"/>
  <c r="R67" i="16" s="1"/>
  <c r="Q68" i="16"/>
  <c r="R68" i="16" s="1"/>
  <c r="Q69" i="16"/>
  <c r="R69" i="16" s="1"/>
  <c r="Q70" i="16"/>
  <c r="R70" i="16" s="1"/>
  <c r="Q71" i="16"/>
  <c r="R71" i="16" s="1"/>
  <c r="Q72" i="16"/>
  <c r="R72" i="16" s="1"/>
  <c r="Q73" i="16"/>
  <c r="R73" i="16" s="1"/>
  <c r="Q74" i="16"/>
  <c r="R74" i="16" s="1"/>
  <c r="Q75" i="16"/>
  <c r="R75" i="16" s="1"/>
  <c r="Q76" i="16"/>
  <c r="R76" i="16" s="1"/>
  <c r="Q77" i="16"/>
  <c r="R77" i="16" s="1"/>
  <c r="Q78" i="16"/>
  <c r="R78" i="16" s="1"/>
  <c r="Q79" i="16"/>
  <c r="R79" i="16" s="1"/>
  <c r="Q80" i="16"/>
  <c r="R80" i="16" s="1"/>
  <c r="Q81" i="16"/>
  <c r="R81" i="16" s="1"/>
  <c r="Q82" i="16"/>
  <c r="R82" i="16" s="1"/>
  <c r="Q83" i="16"/>
  <c r="R83" i="16" s="1"/>
  <c r="Q84" i="16"/>
  <c r="R84" i="16" s="1"/>
  <c r="Q85" i="16"/>
  <c r="R85" i="16" s="1"/>
  <c r="Q86" i="16"/>
  <c r="R86" i="16" s="1"/>
  <c r="Q87" i="16"/>
  <c r="R87" i="16" s="1"/>
  <c r="Q88" i="16"/>
  <c r="R88" i="16" s="1"/>
  <c r="Q89" i="16"/>
  <c r="R89" i="16" s="1"/>
  <c r="Q90" i="16"/>
  <c r="R90" i="16" s="1"/>
  <c r="Q91" i="16"/>
  <c r="R91" i="16" s="1"/>
  <c r="Q92" i="16"/>
  <c r="R92" i="16" s="1"/>
  <c r="Q93" i="16"/>
  <c r="R93" i="16" s="1"/>
  <c r="Q94" i="16"/>
  <c r="R94" i="16" s="1"/>
  <c r="Q95" i="16"/>
  <c r="R95" i="16" s="1"/>
  <c r="Q96" i="16"/>
  <c r="R96" i="16" s="1"/>
  <c r="Q97" i="16"/>
  <c r="R97" i="16" s="1"/>
  <c r="Q98" i="16"/>
  <c r="R98" i="16" s="1"/>
  <c r="Q99" i="16"/>
  <c r="R99" i="16" s="1"/>
  <c r="Q100" i="16"/>
  <c r="R100" i="16" s="1"/>
  <c r="Q101" i="16"/>
  <c r="R101" i="16" s="1"/>
  <c r="Q102" i="16"/>
  <c r="R102" i="16" s="1"/>
  <c r="Q103" i="16"/>
  <c r="R103" i="16" s="1"/>
  <c r="Q104" i="16"/>
  <c r="R104" i="16" s="1"/>
  <c r="Q105" i="16"/>
  <c r="R105" i="16" s="1"/>
  <c r="Q106" i="16"/>
  <c r="R106" i="16" s="1"/>
  <c r="Q107" i="16"/>
  <c r="R107" i="16" s="1"/>
  <c r="Q108" i="16"/>
  <c r="R108" i="16" s="1"/>
  <c r="Q109" i="16"/>
  <c r="R109" i="16" s="1"/>
  <c r="Q110" i="16"/>
  <c r="R110" i="16" s="1"/>
  <c r="Q111" i="16"/>
  <c r="R111" i="16" s="1"/>
  <c r="Q112" i="16"/>
  <c r="R112" i="16" s="1"/>
  <c r="Q113" i="16"/>
  <c r="R113" i="16" s="1"/>
  <c r="Q114" i="16"/>
  <c r="R114" i="16" s="1"/>
  <c r="Q115" i="16"/>
  <c r="R115" i="16" s="1"/>
  <c r="Q116" i="16"/>
  <c r="R116" i="16" s="1"/>
  <c r="Q117" i="16"/>
  <c r="R117" i="16" s="1"/>
  <c r="Q118" i="16"/>
  <c r="R118" i="16" s="1"/>
  <c r="Q119" i="16"/>
  <c r="R119" i="16" s="1"/>
  <c r="Q120" i="16"/>
  <c r="R120" i="16" s="1"/>
  <c r="Q121" i="16"/>
  <c r="R121" i="16" s="1"/>
  <c r="Q122" i="16"/>
  <c r="R122" i="16" s="1"/>
  <c r="Q123" i="16"/>
  <c r="R123" i="16" s="1"/>
  <c r="Q124" i="16"/>
  <c r="R124" i="16" s="1"/>
  <c r="Q125" i="16"/>
  <c r="R125" i="16" s="1"/>
  <c r="Q126" i="16"/>
  <c r="R126" i="16" s="1"/>
  <c r="Q127" i="16"/>
  <c r="R127" i="16" s="1"/>
  <c r="Q128" i="16"/>
  <c r="R128" i="16" s="1"/>
  <c r="Q129" i="16"/>
  <c r="R129" i="16" s="1"/>
  <c r="Q130" i="16"/>
  <c r="R130" i="16" s="1"/>
  <c r="Q131" i="16"/>
  <c r="R131" i="16" s="1"/>
  <c r="Q132" i="16"/>
  <c r="R132" i="16" s="1"/>
  <c r="Q133" i="16"/>
  <c r="R133" i="16" s="1"/>
  <c r="Q134" i="16"/>
  <c r="R134" i="16" s="1"/>
  <c r="Q135" i="16"/>
  <c r="R135" i="16" s="1"/>
  <c r="Q136" i="16"/>
  <c r="R136" i="16" s="1"/>
  <c r="Q137" i="16"/>
  <c r="R137" i="16" s="1"/>
  <c r="Q138" i="16"/>
  <c r="R138" i="16" s="1"/>
  <c r="Q139" i="16"/>
  <c r="R139" i="16" s="1"/>
  <c r="Q140" i="16"/>
  <c r="R140" i="16" s="1"/>
  <c r="Q141" i="16"/>
  <c r="R141" i="16" s="1"/>
  <c r="Q142" i="16"/>
  <c r="R142" i="16" s="1"/>
  <c r="Q143" i="16"/>
  <c r="R143" i="16" s="1"/>
  <c r="Q144" i="16"/>
  <c r="R144" i="16" s="1"/>
  <c r="Q145" i="16"/>
  <c r="R145" i="16" s="1"/>
  <c r="Q146" i="16"/>
  <c r="R146" i="16" s="1"/>
  <c r="Q147" i="16"/>
  <c r="R147" i="16" s="1"/>
  <c r="Q148" i="16"/>
  <c r="R148" i="16" s="1"/>
  <c r="Q149" i="16"/>
  <c r="R149" i="16" s="1"/>
  <c r="Q150" i="16"/>
  <c r="R150" i="16" s="1"/>
  <c r="Q151" i="16"/>
  <c r="R151" i="16" s="1"/>
  <c r="Q152" i="16"/>
  <c r="R152" i="16" s="1"/>
  <c r="Q153" i="16"/>
  <c r="R153" i="16" s="1"/>
  <c r="Q154" i="16"/>
  <c r="R154" i="16" s="1"/>
  <c r="Q155" i="16"/>
  <c r="R155" i="16" s="1"/>
  <c r="Q156" i="16"/>
  <c r="R156" i="16" s="1"/>
  <c r="Q157" i="16"/>
  <c r="R157" i="16" s="1"/>
  <c r="Q158" i="16"/>
  <c r="R158" i="16" s="1"/>
  <c r="Q159" i="16"/>
  <c r="R159" i="16" s="1"/>
  <c r="Q160" i="16"/>
  <c r="R160" i="16" s="1"/>
  <c r="Q161" i="16"/>
  <c r="R161" i="16" s="1"/>
  <c r="Q162" i="16"/>
  <c r="R162" i="16" s="1"/>
  <c r="Q163" i="16"/>
  <c r="R163" i="16" s="1"/>
  <c r="Q164" i="16"/>
  <c r="R164" i="16" s="1"/>
  <c r="Q165" i="16"/>
  <c r="R165" i="16" s="1"/>
  <c r="Q166" i="16"/>
  <c r="R166" i="16" s="1"/>
  <c r="Q167" i="16"/>
  <c r="R167" i="16" s="1"/>
  <c r="Q168" i="16"/>
  <c r="R168" i="16" s="1"/>
  <c r="Q169" i="16"/>
  <c r="R169" i="16" s="1"/>
  <c r="Q170" i="16"/>
  <c r="R170" i="16" s="1"/>
  <c r="Q171" i="16"/>
  <c r="R171" i="16" s="1"/>
  <c r="Q172" i="16"/>
  <c r="R172" i="16" s="1"/>
  <c r="Q173" i="16"/>
  <c r="R173" i="16" s="1"/>
  <c r="Q174" i="16"/>
  <c r="R174" i="16" s="1"/>
  <c r="Q175" i="16"/>
  <c r="R175" i="16" s="1"/>
  <c r="Q176" i="16"/>
  <c r="R176" i="16" s="1"/>
  <c r="Q177" i="16"/>
  <c r="R177" i="16" s="1"/>
  <c r="Q178" i="16"/>
  <c r="R178" i="16" s="1"/>
  <c r="Q179" i="16"/>
  <c r="R179" i="16" s="1"/>
  <c r="Q180" i="16"/>
  <c r="R180" i="16" s="1"/>
  <c r="Q181" i="16"/>
  <c r="R181" i="16" s="1"/>
  <c r="Q182" i="16"/>
  <c r="R182" i="16" s="1"/>
  <c r="Q183" i="16"/>
  <c r="R183" i="16" s="1"/>
  <c r="Q184" i="16"/>
  <c r="R184" i="16" s="1"/>
  <c r="Q185" i="16"/>
  <c r="R185" i="16" s="1"/>
  <c r="Q186" i="16"/>
  <c r="R186" i="16" s="1"/>
  <c r="Q187" i="16"/>
  <c r="R187" i="16" s="1"/>
  <c r="Q188" i="16"/>
  <c r="R188" i="16" s="1"/>
  <c r="Q189" i="16"/>
  <c r="R189" i="16" s="1"/>
  <c r="Q190" i="16"/>
  <c r="R190" i="16" s="1"/>
  <c r="Q191" i="16"/>
  <c r="R191" i="16" s="1"/>
  <c r="Q192" i="16"/>
  <c r="R192" i="16" s="1"/>
  <c r="Q193" i="16"/>
  <c r="R193" i="16" s="1"/>
  <c r="Q194" i="16"/>
  <c r="R194" i="16" s="1"/>
  <c r="Q195" i="16"/>
  <c r="R195" i="16" s="1"/>
  <c r="Q196" i="16"/>
  <c r="R196" i="16" s="1"/>
  <c r="Q197" i="16"/>
  <c r="R197" i="16" s="1"/>
  <c r="Q198" i="16"/>
  <c r="R198" i="16" s="1"/>
  <c r="Q199" i="16"/>
  <c r="R199" i="16" s="1"/>
  <c r="Q200" i="16"/>
  <c r="R200" i="16" s="1"/>
  <c r="Q201" i="16"/>
  <c r="R201" i="16" s="1"/>
  <c r="Q202" i="16"/>
  <c r="R202" i="16" s="1"/>
  <c r="Q203" i="16"/>
  <c r="R203" i="16" s="1"/>
  <c r="Q204" i="16"/>
  <c r="R204" i="16" s="1"/>
  <c r="Q205" i="16"/>
  <c r="R205" i="16" s="1"/>
  <c r="Q206" i="16"/>
  <c r="R206" i="16" s="1"/>
  <c r="Q207" i="16"/>
  <c r="R207" i="16" s="1"/>
  <c r="Q208" i="16"/>
  <c r="R208" i="16" s="1"/>
  <c r="Q209" i="16"/>
  <c r="R209" i="16" s="1"/>
  <c r="Q210" i="16"/>
  <c r="R210" i="16" s="1"/>
  <c r="Q211" i="16"/>
  <c r="R211" i="16" s="1"/>
  <c r="Q212" i="16"/>
  <c r="R212" i="16" s="1"/>
  <c r="Q213" i="16"/>
  <c r="R213" i="16" s="1"/>
  <c r="Q214" i="16"/>
  <c r="R214" i="16" s="1"/>
  <c r="Q215" i="16"/>
  <c r="R215" i="16" s="1"/>
  <c r="Q216" i="16"/>
  <c r="R216" i="16" s="1"/>
  <c r="Q217" i="16"/>
  <c r="R217" i="16" s="1"/>
  <c r="Q218" i="16"/>
  <c r="R218" i="16" s="1"/>
  <c r="Q219" i="16"/>
  <c r="R219" i="16" s="1"/>
  <c r="Q220" i="16"/>
  <c r="R220" i="16" s="1"/>
  <c r="Q221" i="16"/>
  <c r="R221" i="16" s="1"/>
  <c r="Q222" i="16"/>
  <c r="R222" i="16" s="1"/>
  <c r="Q223" i="16"/>
  <c r="R223" i="16" s="1"/>
  <c r="Q224" i="16"/>
  <c r="R224" i="16" s="1"/>
  <c r="Q225" i="16"/>
  <c r="R225" i="16" s="1"/>
  <c r="Q226" i="16"/>
  <c r="R226" i="16" s="1"/>
  <c r="Q227" i="16"/>
  <c r="R227" i="16" s="1"/>
  <c r="Q228" i="16"/>
  <c r="R228" i="16" s="1"/>
  <c r="Q229" i="16"/>
  <c r="R229" i="16" s="1"/>
  <c r="Q230" i="16"/>
  <c r="R230" i="16" s="1"/>
  <c r="Q231" i="16"/>
  <c r="R231" i="16" s="1"/>
  <c r="Q232" i="16"/>
  <c r="R232" i="16" s="1"/>
  <c r="Q233" i="16"/>
  <c r="R233" i="16" s="1"/>
  <c r="Q234" i="16"/>
  <c r="R234" i="16" s="1"/>
  <c r="Q235" i="16"/>
  <c r="R235" i="16" s="1"/>
  <c r="Q236" i="16"/>
  <c r="R236" i="16" s="1"/>
  <c r="Q237" i="16"/>
  <c r="R237" i="16" s="1"/>
  <c r="Q238" i="16"/>
  <c r="R238" i="16" s="1"/>
  <c r="Q239" i="16"/>
  <c r="R239" i="16" s="1"/>
  <c r="Q240" i="16"/>
  <c r="R240" i="16" s="1"/>
  <c r="Q241" i="16"/>
  <c r="R241" i="16" s="1"/>
  <c r="Q242" i="16"/>
  <c r="R242" i="16" s="1"/>
  <c r="Q243" i="16"/>
  <c r="R243" i="16" s="1"/>
  <c r="Q244" i="16"/>
  <c r="R244" i="16" s="1"/>
  <c r="Q245" i="16"/>
  <c r="R245" i="16" s="1"/>
  <c r="Q246" i="16"/>
  <c r="R246" i="16" s="1"/>
  <c r="Q247" i="16"/>
  <c r="R247" i="16" s="1"/>
  <c r="Q248" i="16"/>
  <c r="R248" i="16" s="1"/>
  <c r="Q249" i="16"/>
  <c r="R249" i="16" s="1"/>
  <c r="Q250" i="16"/>
  <c r="R250" i="16" s="1"/>
  <c r="Q251" i="16"/>
  <c r="R251" i="16" s="1"/>
  <c r="Q252" i="16"/>
  <c r="R252" i="16" s="1"/>
  <c r="Q253" i="16"/>
  <c r="R253" i="16" s="1"/>
  <c r="Q254" i="16"/>
  <c r="R254" i="16" s="1"/>
  <c r="Q255" i="16"/>
  <c r="R255" i="16" s="1"/>
  <c r="Q256" i="16"/>
  <c r="R256" i="16" s="1"/>
  <c r="Q257" i="16"/>
  <c r="R257" i="16" s="1"/>
  <c r="Q258" i="16"/>
  <c r="R258" i="16" s="1"/>
  <c r="Q259" i="16"/>
  <c r="R259" i="16" s="1"/>
  <c r="Q260" i="16"/>
  <c r="R260" i="16" s="1"/>
  <c r="Q261" i="16"/>
  <c r="R261" i="16" s="1"/>
  <c r="Q262" i="16"/>
  <c r="R262" i="16" s="1"/>
  <c r="Q263" i="16"/>
  <c r="R263" i="16" s="1"/>
  <c r="Q264" i="16"/>
  <c r="R264" i="16" s="1"/>
  <c r="Q265" i="16"/>
  <c r="R265" i="16" s="1"/>
  <c r="Q266" i="16"/>
  <c r="R266" i="16" s="1"/>
  <c r="Q267" i="16"/>
  <c r="R267" i="16" s="1"/>
  <c r="Q268" i="16"/>
  <c r="R268" i="16" s="1"/>
  <c r="Q269" i="16"/>
  <c r="R269" i="16" s="1"/>
  <c r="Q270" i="16"/>
  <c r="R270" i="16" s="1"/>
  <c r="Q271" i="16"/>
  <c r="R271" i="16" s="1"/>
  <c r="Q272" i="16"/>
  <c r="R272" i="16" s="1"/>
  <c r="Q273" i="16"/>
  <c r="R273" i="16" s="1"/>
  <c r="Q274" i="16"/>
  <c r="R274" i="16" s="1"/>
  <c r="Q275" i="16"/>
  <c r="R275" i="16" s="1"/>
  <c r="Q276" i="16"/>
  <c r="R276" i="16" s="1"/>
  <c r="Q277" i="16"/>
  <c r="R277" i="16" s="1"/>
  <c r="Q278" i="16"/>
  <c r="R278" i="16" s="1"/>
  <c r="Q279" i="16"/>
  <c r="R279" i="16" s="1"/>
  <c r="Q280" i="16"/>
  <c r="R280" i="16" s="1"/>
  <c r="Q281" i="16"/>
  <c r="R281" i="16" s="1"/>
  <c r="Q282" i="16"/>
  <c r="R282" i="16" s="1"/>
  <c r="Q283" i="16"/>
  <c r="R283" i="16" s="1"/>
  <c r="Q284" i="16"/>
  <c r="R284" i="16" s="1"/>
  <c r="Q285" i="16"/>
  <c r="R285" i="16" s="1"/>
  <c r="Q286" i="16"/>
  <c r="R286" i="16" s="1"/>
  <c r="Q287" i="16"/>
  <c r="R287" i="16" s="1"/>
  <c r="Q288" i="16"/>
  <c r="R288" i="16" s="1"/>
  <c r="Q289" i="16"/>
  <c r="R289" i="16" s="1"/>
  <c r="Q290" i="16"/>
  <c r="R290" i="16" s="1"/>
  <c r="Q291" i="16"/>
  <c r="R291" i="16" s="1"/>
  <c r="Q292" i="16"/>
  <c r="R292" i="16" s="1"/>
  <c r="Q293" i="16"/>
  <c r="R293" i="16" s="1"/>
  <c r="Q294" i="16"/>
  <c r="R294" i="16" s="1"/>
  <c r="Q295" i="16"/>
  <c r="R295" i="16" s="1"/>
  <c r="Q296" i="16"/>
  <c r="R296" i="16" s="1"/>
  <c r="Q297" i="16"/>
  <c r="R297" i="16" s="1"/>
  <c r="Q298" i="16"/>
  <c r="R298" i="16" s="1"/>
  <c r="Q299" i="16"/>
  <c r="R299" i="16" s="1"/>
  <c r="Q300" i="16"/>
  <c r="R300" i="16" s="1"/>
  <c r="Q301" i="16"/>
  <c r="R301" i="16" s="1"/>
  <c r="Q302" i="16"/>
  <c r="R302" i="16" s="1"/>
  <c r="Q303" i="16"/>
  <c r="R303" i="16" s="1"/>
  <c r="Q304" i="16"/>
  <c r="R304" i="16" s="1"/>
  <c r="Q305" i="16"/>
  <c r="R305" i="16" s="1"/>
  <c r="Q306" i="16"/>
  <c r="R306" i="16" s="1"/>
  <c r="Q307" i="16"/>
  <c r="R307" i="16" s="1"/>
  <c r="Q308" i="16"/>
  <c r="R308" i="16" s="1"/>
  <c r="Q309" i="16"/>
  <c r="R309" i="16" s="1"/>
  <c r="Q310" i="16"/>
  <c r="R310" i="16" s="1"/>
  <c r="Q311" i="16"/>
  <c r="R311" i="16" s="1"/>
  <c r="Q312" i="16"/>
  <c r="R312" i="16" s="1"/>
  <c r="Q313" i="16"/>
  <c r="R313" i="16" s="1"/>
  <c r="Q314" i="16"/>
  <c r="R314" i="16" s="1"/>
  <c r="Q315" i="16"/>
  <c r="R315" i="16" s="1"/>
  <c r="Q316" i="16"/>
  <c r="R316" i="16" s="1"/>
  <c r="Q317" i="16"/>
  <c r="R317" i="16" s="1"/>
  <c r="Q318" i="16"/>
  <c r="R318" i="16" s="1"/>
  <c r="Q319" i="16"/>
  <c r="R319" i="16" s="1"/>
  <c r="Q320" i="16"/>
  <c r="R320" i="16" s="1"/>
  <c r="Q321" i="16"/>
  <c r="R321" i="16" s="1"/>
  <c r="Q322" i="16"/>
  <c r="R322" i="16" s="1"/>
  <c r="Q323" i="16"/>
  <c r="R323" i="16" s="1"/>
  <c r="Q324" i="16"/>
  <c r="R324" i="16" s="1"/>
  <c r="Q325" i="16"/>
  <c r="R325" i="16" s="1"/>
  <c r="Q326" i="16"/>
  <c r="R326" i="16" s="1"/>
  <c r="Q327" i="16"/>
  <c r="R327" i="16" s="1"/>
  <c r="Q328" i="16"/>
  <c r="R328" i="16" s="1"/>
  <c r="Q329" i="16"/>
  <c r="R329" i="16" s="1"/>
  <c r="Q330" i="16"/>
  <c r="R330" i="16" s="1"/>
  <c r="Q331" i="16"/>
  <c r="R331" i="16" s="1"/>
  <c r="Q332" i="16"/>
  <c r="R332" i="16" s="1"/>
  <c r="Q333" i="16"/>
  <c r="R333" i="16" s="1"/>
  <c r="Q334" i="16"/>
  <c r="R334" i="16" s="1"/>
  <c r="Q335" i="16"/>
  <c r="R335" i="16" s="1"/>
  <c r="Q336" i="16"/>
  <c r="R336" i="16" s="1"/>
  <c r="Q337" i="16"/>
  <c r="R337" i="16" s="1"/>
  <c r="Q338" i="16"/>
  <c r="R338" i="16" s="1"/>
  <c r="Q339" i="16"/>
  <c r="R339" i="16" s="1"/>
  <c r="Q340" i="16"/>
  <c r="R340" i="16" s="1"/>
  <c r="Q341" i="16"/>
  <c r="R341" i="16" s="1"/>
  <c r="Q342" i="16"/>
  <c r="R342" i="16" s="1"/>
  <c r="Q343" i="16"/>
  <c r="R343" i="16" s="1"/>
  <c r="Q344" i="16"/>
  <c r="R344" i="16" s="1"/>
  <c r="Q345" i="16"/>
  <c r="R345" i="16" s="1"/>
  <c r="Q346" i="16"/>
  <c r="R346" i="16" s="1"/>
  <c r="Q347" i="16"/>
  <c r="R347" i="16" s="1"/>
  <c r="Q348" i="16"/>
  <c r="R348" i="16" s="1"/>
  <c r="Q349" i="16"/>
  <c r="R349" i="16" s="1"/>
  <c r="Q350" i="16"/>
  <c r="R350" i="16" s="1"/>
  <c r="Q351" i="16"/>
  <c r="R351" i="16" s="1"/>
  <c r="Q352" i="16"/>
  <c r="R352" i="16" s="1"/>
  <c r="Q353" i="16"/>
  <c r="R353" i="16" s="1"/>
  <c r="Q354" i="16"/>
  <c r="R354" i="16" s="1"/>
  <c r="Q355" i="16"/>
  <c r="R355" i="16" s="1"/>
  <c r="Q356" i="16"/>
  <c r="R356" i="16" s="1"/>
  <c r="Q357" i="16"/>
  <c r="R357" i="16" s="1"/>
  <c r="Q358" i="16"/>
  <c r="R358" i="16" s="1"/>
  <c r="Q359" i="16"/>
  <c r="R359" i="16" s="1"/>
  <c r="Q360" i="16"/>
  <c r="R360" i="16" s="1"/>
  <c r="Q361" i="16"/>
  <c r="R361" i="16" s="1"/>
  <c r="Q362" i="16"/>
  <c r="R362" i="16" s="1"/>
  <c r="Q363" i="16"/>
  <c r="R363" i="16" s="1"/>
  <c r="Q364" i="16"/>
  <c r="R364" i="16" s="1"/>
  <c r="Q365" i="16"/>
  <c r="R365" i="16" s="1"/>
  <c r="Q366" i="16"/>
  <c r="R366" i="16" s="1"/>
  <c r="Q367" i="16"/>
  <c r="R367" i="16" s="1"/>
  <c r="Q368" i="16"/>
  <c r="R368" i="16" s="1"/>
  <c r="Q369" i="16"/>
  <c r="R369" i="16" s="1"/>
  <c r="Q370" i="16"/>
  <c r="R370" i="16" s="1"/>
  <c r="Q371" i="16"/>
  <c r="R371" i="16" s="1"/>
  <c r="Q372" i="16"/>
  <c r="R372" i="16" s="1"/>
  <c r="Q373" i="16"/>
  <c r="R373" i="16" s="1"/>
  <c r="Q374" i="16"/>
  <c r="R374" i="16" s="1"/>
  <c r="Q375" i="16"/>
  <c r="R375" i="16" s="1"/>
  <c r="Q376" i="16"/>
  <c r="R376" i="16" s="1"/>
  <c r="Q377" i="16"/>
  <c r="R377" i="16" s="1"/>
  <c r="Q378" i="16"/>
  <c r="R378" i="16" s="1"/>
  <c r="Q379" i="16"/>
  <c r="R379" i="16" s="1"/>
  <c r="Q380" i="16"/>
  <c r="R380" i="16" s="1"/>
  <c r="Q381" i="16"/>
  <c r="R381" i="16" s="1"/>
  <c r="Q382" i="16"/>
  <c r="R382" i="16" s="1"/>
  <c r="Q383" i="16"/>
  <c r="R383" i="16" s="1"/>
  <c r="Q384" i="16"/>
  <c r="R384" i="16" s="1"/>
  <c r="Q385" i="16"/>
  <c r="R385" i="16" s="1"/>
  <c r="Q386" i="16"/>
  <c r="R386" i="16" s="1"/>
  <c r="Q387" i="16"/>
  <c r="R387" i="16" s="1"/>
  <c r="Q388" i="16"/>
  <c r="R388" i="16" s="1"/>
  <c r="Q389" i="16"/>
  <c r="R389" i="16" s="1"/>
  <c r="Q390" i="16"/>
  <c r="R390" i="16" s="1"/>
  <c r="Q391" i="16"/>
  <c r="R391" i="16" s="1"/>
  <c r="Q392" i="16"/>
  <c r="R392" i="16" s="1"/>
  <c r="Q393" i="16"/>
  <c r="R393" i="16" s="1"/>
  <c r="Q394" i="16"/>
  <c r="R394" i="16" s="1"/>
  <c r="Q395" i="16"/>
  <c r="R395" i="16" s="1"/>
  <c r="Q396" i="16"/>
  <c r="R396" i="16" s="1"/>
  <c r="Q397" i="16"/>
  <c r="R397" i="16" s="1"/>
  <c r="Q398" i="16"/>
  <c r="R398" i="16" s="1"/>
  <c r="Q399" i="16"/>
  <c r="R399" i="16" s="1"/>
  <c r="Q400" i="16"/>
  <c r="R400" i="16" s="1"/>
  <c r="Q401" i="16"/>
  <c r="R401" i="16" s="1"/>
  <c r="Q402" i="16"/>
  <c r="R402" i="16" s="1"/>
  <c r="Q403" i="16"/>
  <c r="R403" i="16" s="1"/>
  <c r="Q404" i="16"/>
  <c r="R404" i="16" s="1"/>
  <c r="Q405" i="16"/>
  <c r="R405" i="16" s="1"/>
  <c r="Q406" i="16"/>
  <c r="R406" i="16" s="1"/>
  <c r="Q407" i="16"/>
  <c r="R407" i="16" s="1"/>
  <c r="Q408" i="16"/>
  <c r="R408" i="16" s="1"/>
  <c r="Q409" i="16"/>
  <c r="R409" i="16" s="1"/>
  <c r="Q410" i="16"/>
  <c r="R410" i="16" s="1"/>
  <c r="Q411" i="16"/>
  <c r="R411" i="16" s="1"/>
  <c r="Q412" i="16"/>
  <c r="R412" i="16" s="1"/>
  <c r="Q413" i="16"/>
  <c r="R413" i="16" s="1"/>
  <c r="Q414" i="16"/>
  <c r="R414" i="16" s="1"/>
  <c r="Q415" i="16"/>
  <c r="R415" i="16" s="1"/>
  <c r="Q416" i="16"/>
  <c r="R416" i="16" s="1"/>
  <c r="Q417" i="16"/>
  <c r="R417" i="16" s="1"/>
  <c r="Q418" i="16"/>
  <c r="R418" i="16" s="1"/>
  <c r="Q419" i="16"/>
  <c r="R419" i="16" s="1"/>
  <c r="Q420" i="16"/>
  <c r="R420" i="16" s="1"/>
  <c r="Q421" i="16"/>
  <c r="R421" i="16" s="1"/>
  <c r="Q422" i="16"/>
  <c r="R422" i="16" s="1"/>
  <c r="Q423" i="16"/>
  <c r="R423" i="16" s="1"/>
  <c r="Q424" i="16"/>
  <c r="R424" i="16" s="1"/>
  <c r="Q425" i="16"/>
  <c r="R425" i="16" s="1"/>
  <c r="Q426" i="16"/>
  <c r="R426" i="16" s="1"/>
  <c r="Q427" i="16"/>
  <c r="R427" i="16" s="1"/>
  <c r="Q428" i="16"/>
  <c r="R428" i="16" s="1"/>
  <c r="Q429" i="16"/>
  <c r="R429" i="16" s="1"/>
  <c r="Q430" i="16"/>
  <c r="R430" i="16" s="1"/>
  <c r="Q431" i="16"/>
  <c r="R431" i="16" s="1"/>
  <c r="Q432" i="16"/>
  <c r="R432" i="16" s="1"/>
  <c r="Q433" i="16"/>
  <c r="R433" i="16" s="1"/>
  <c r="Q434" i="16"/>
  <c r="R434" i="16" s="1"/>
  <c r="Q435" i="16"/>
  <c r="R435" i="16" s="1"/>
  <c r="Q436" i="16"/>
  <c r="R436" i="16" s="1"/>
  <c r="Q437" i="16"/>
  <c r="R437" i="16" s="1"/>
  <c r="Q438" i="16"/>
  <c r="R438" i="16" s="1"/>
  <c r="Q439" i="16"/>
  <c r="R439" i="16" s="1"/>
  <c r="Q440" i="16"/>
  <c r="R440" i="16" s="1"/>
  <c r="Q441" i="16"/>
  <c r="R441" i="16" s="1"/>
  <c r="Q442" i="16"/>
  <c r="R442" i="16" s="1"/>
  <c r="Q443" i="16"/>
  <c r="R443" i="16" s="1"/>
  <c r="Q444" i="16"/>
  <c r="R444" i="16" s="1"/>
  <c r="Q445" i="16"/>
  <c r="R445" i="16" s="1"/>
  <c r="Q446" i="16"/>
  <c r="R446" i="16" s="1"/>
  <c r="Q447" i="16"/>
  <c r="R447" i="16" s="1"/>
  <c r="Q448" i="16"/>
  <c r="R448" i="16" s="1"/>
  <c r="Q449" i="16"/>
  <c r="R449" i="16" s="1"/>
  <c r="Q450" i="16"/>
  <c r="R450" i="16" s="1"/>
  <c r="Q451" i="16"/>
  <c r="R451" i="16" s="1"/>
  <c r="Q452" i="16"/>
  <c r="R452" i="16" s="1"/>
  <c r="Q453" i="16"/>
  <c r="R453" i="16" s="1"/>
  <c r="Q454" i="16"/>
  <c r="R454" i="16" s="1"/>
  <c r="Q455" i="16"/>
  <c r="R455" i="16" s="1"/>
  <c r="Q456" i="16"/>
  <c r="R456" i="16" s="1"/>
  <c r="Q457" i="16"/>
  <c r="R457" i="16" s="1"/>
  <c r="Q458" i="16"/>
  <c r="R458" i="16" s="1"/>
  <c r="Q459" i="16"/>
  <c r="R459" i="16" s="1"/>
  <c r="Q460" i="16"/>
  <c r="R460" i="16" s="1"/>
  <c r="Q461" i="16"/>
  <c r="R461" i="16" s="1"/>
  <c r="Q462" i="16"/>
  <c r="R462" i="16" s="1"/>
  <c r="Q463" i="16"/>
  <c r="R463" i="16" s="1"/>
  <c r="Q464" i="16"/>
  <c r="R464" i="16" s="1"/>
  <c r="Q465" i="16"/>
  <c r="R465" i="16" s="1"/>
  <c r="Q466" i="16"/>
  <c r="R466" i="16" s="1"/>
  <c r="Q467" i="16"/>
  <c r="R467" i="16" s="1"/>
  <c r="Q468" i="16"/>
  <c r="R468" i="16" s="1"/>
  <c r="Q469" i="16"/>
  <c r="R469" i="16" s="1"/>
  <c r="Q470" i="16"/>
  <c r="R470" i="16" s="1"/>
  <c r="Q471" i="16"/>
  <c r="R471" i="16" s="1"/>
  <c r="Q472" i="16"/>
  <c r="R472" i="16" s="1"/>
  <c r="Q473" i="16"/>
  <c r="R473" i="16" s="1"/>
  <c r="Q474" i="16"/>
  <c r="R474" i="16" s="1"/>
  <c r="Q475" i="16"/>
  <c r="R475" i="16" s="1"/>
  <c r="Q476" i="16"/>
  <c r="R476" i="16" s="1"/>
  <c r="Q477" i="16"/>
  <c r="R477" i="16" s="1"/>
  <c r="Q478" i="16"/>
  <c r="R478" i="16" s="1"/>
  <c r="Q479" i="16"/>
  <c r="R479" i="16" s="1"/>
  <c r="Q480" i="16"/>
  <c r="R480" i="16" s="1"/>
  <c r="Q481" i="16"/>
  <c r="R481" i="16" s="1"/>
  <c r="Q482" i="16"/>
  <c r="R482" i="16" s="1"/>
  <c r="Q483" i="16"/>
  <c r="R483" i="16" s="1"/>
  <c r="Q484" i="16"/>
  <c r="R484" i="16" s="1"/>
  <c r="Q485" i="16"/>
  <c r="R485" i="16" s="1"/>
  <c r="Q486" i="16"/>
  <c r="R486" i="16" s="1"/>
  <c r="Q487" i="16"/>
  <c r="R487" i="16" s="1"/>
  <c r="Q488" i="16"/>
  <c r="R488" i="16" s="1"/>
  <c r="Q489" i="16"/>
  <c r="R489" i="16" s="1"/>
  <c r="Q490" i="16"/>
  <c r="R490" i="16" s="1"/>
  <c r="Q491" i="16"/>
  <c r="R491" i="16" s="1"/>
  <c r="Q492" i="16"/>
  <c r="R492" i="16" s="1"/>
  <c r="Q493" i="16"/>
  <c r="R493" i="16" s="1"/>
  <c r="Q494" i="16"/>
  <c r="R494" i="16" s="1"/>
  <c r="Q495" i="16"/>
  <c r="R495" i="16" s="1"/>
  <c r="Q496" i="16"/>
  <c r="R496" i="16" s="1"/>
  <c r="Q497" i="16"/>
  <c r="R497" i="16" s="1"/>
  <c r="Q498" i="16"/>
  <c r="R498" i="16" s="1"/>
  <c r="Q499" i="16"/>
  <c r="R499" i="16" s="1"/>
  <c r="Q500" i="16"/>
  <c r="R500" i="16" s="1"/>
  <c r="Q501" i="16"/>
  <c r="R501" i="16" s="1"/>
  <c r="Q502" i="16"/>
  <c r="R502" i="16" s="1"/>
  <c r="Q503" i="16"/>
  <c r="R503" i="16" s="1"/>
  <c r="Q504" i="16"/>
  <c r="R504" i="16" s="1"/>
  <c r="Q505" i="16"/>
  <c r="R505" i="16" s="1"/>
  <c r="Q506" i="16"/>
  <c r="R506" i="16" s="1"/>
  <c r="Q507" i="16"/>
  <c r="R507" i="16" s="1"/>
  <c r="Q508" i="16"/>
  <c r="R508" i="16" s="1"/>
  <c r="Q509" i="16"/>
  <c r="R509" i="16" s="1"/>
  <c r="Q510" i="16"/>
  <c r="R510" i="16" s="1"/>
  <c r="Q511" i="16"/>
  <c r="R511" i="16" s="1"/>
  <c r="Q512" i="16"/>
  <c r="R512" i="16" s="1"/>
  <c r="Q513" i="16"/>
  <c r="R513" i="16" s="1"/>
  <c r="Q514" i="16"/>
  <c r="R514" i="16" s="1"/>
  <c r="Q515" i="16"/>
  <c r="R515" i="16" s="1"/>
  <c r="Q516" i="16"/>
  <c r="R516" i="16" s="1"/>
  <c r="Q517" i="16"/>
  <c r="R517" i="16" s="1"/>
  <c r="Q518" i="16"/>
  <c r="R518" i="16" s="1"/>
  <c r="Q519" i="16"/>
  <c r="R519" i="16" s="1"/>
  <c r="O2" i="16"/>
  <c r="P2" i="16" s="1"/>
  <c r="O3" i="16"/>
  <c r="P3" i="16" s="1"/>
  <c r="O4" i="16"/>
  <c r="P4" i="16" s="1"/>
  <c r="O5" i="16"/>
  <c r="P5" i="16" s="1"/>
  <c r="O6" i="16"/>
  <c r="P6" i="16" s="1"/>
  <c r="O7" i="16"/>
  <c r="P7" i="16" s="1"/>
  <c r="O8" i="16"/>
  <c r="P8" i="16" s="1"/>
  <c r="O9" i="16"/>
  <c r="P9" i="16" s="1"/>
  <c r="O10" i="16"/>
  <c r="P10" i="16" s="1"/>
  <c r="O11" i="16"/>
  <c r="P11" i="16" s="1"/>
  <c r="O12" i="16"/>
  <c r="P12" i="16" s="1"/>
  <c r="O13" i="16"/>
  <c r="P13" i="16" s="1"/>
  <c r="O14" i="16"/>
  <c r="P14" i="16" s="1"/>
  <c r="O15" i="16"/>
  <c r="P15" i="16" s="1"/>
  <c r="O16" i="16"/>
  <c r="P16" i="16" s="1"/>
  <c r="O17" i="16"/>
  <c r="P17" i="16" s="1"/>
  <c r="O18" i="16"/>
  <c r="P18" i="16" s="1"/>
  <c r="O19" i="16"/>
  <c r="P19" i="16" s="1"/>
  <c r="O20" i="16"/>
  <c r="P20" i="16" s="1"/>
  <c r="O21" i="16"/>
  <c r="P21" i="16" s="1"/>
  <c r="O22" i="16"/>
  <c r="P22" i="16" s="1"/>
  <c r="O23" i="16"/>
  <c r="P23" i="16" s="1"/>
  <c r="O24" i="16"/>
  <c r="P24" i="16" s="1"/>
  <c r="O25" i="16"/>
  <c r="P25" i="16" s="1"/>
  <c r="O26" i="16"/>
  <c r="P26" i="16" s="1"/>
  <c r="O27" i="16"/>
  <c r="P27" i="16" s="1"/>
  <c r="O28" i="16"/>
  <c r="P28" i="16" s="1"/>
  <c r="O29" i="16"/>
  <c r="P29" i="16" s="1"/>
  <c r="O30" i="16"/>
  <c r="P30" i="16" s="1"/>
  <c r="O31" i="16"/>
  <c r="P31" i="16" s="1"/>
  <c r="O32" i="16"/>
  <c r="P32" i="16" s="1"/>
  <c r="O33" i="16"/>
  <c r="P33" i="16" s="1"/>
  <c r="O34" i="16"/>
  <c r="P34" i="16" s="1"/>
  <c r="O35" i="16"/>
  <c r="P35" i="16" s="1"/>
  <c r="O36" i="16"/>
  <c r="P36" i="16" s="1"/>
  <c r="O37" i="16"/>
  <c r="P37" i="16" s="1"/>
  <c r="O38" i="16"/>
  <c r="P38" i="16" s="1"/>
  <c r="O39" i="16"/>
  <c r="P39" i="16" s="1"/>
  <c r="O40" i="16"/>
  <c r="P40" i="16" s="1"/>
  <c r="O41" i="16"/>
  <c r="P41" i="16" s="1"/>
  <c r="O42" i="16"/>
  <c r="P42" i="16" s="1"/>
  <c r="O43" i="16"/>
  <c r="P43" i="16" s="1"/>
  <c r="O44" i="16"/>
  <c r="P44" i="16" s="1"/>
  <c r="O45" i="16"/>
  <c r="P45" i="16" s="1"/>
  <c r="O46" i="16"/>
  <c r="P46" i="16" s="1"/>
  <c r="O47" i="16"/>
  <c r="P47" i="16" s="1"/>
  <c r="O48" i="16"/>
  <c r="P48" i="16" s="1"/>
  <c r="O49" i="16"/>
  <c r="P49" i="16" s="1"/>
  <c r="O50" i="16"/>
  <c r="P50" i="16" s="1"/>
  <c r="O51" i="16"/>
  <c r="P51" i="16" s="1"/>
  <c r="O52" i="16"/>
  <c r="P52" i="16" s="1"/>
  <c r="O53" i="16"/>
  <c r="P53" i="16" s="1"/>
  <c r="O54" i="16"/>
  <c r="P54" i="16" s="1"/>
  <c r="O55" i="16"/>
  <c r="P55" i="16" s="1"/>
  <c r="O56" i="16"/>
  <c r="P56" i="16" s="1"/>
  <c r="O57" i="16"/>
  <c r="P57" i="16" s="1"/>
  <c r="O58" i="16"/>
  <c r="P58" i="16" s="1"/>
  <c r="O59" i="16"/>
  <c r="P59" i="16" s="1"/>
  <c r="O60" i="16"/>
  <c r="P60" i="16" s="1"/>
  <c r="O61" i="16"/>
  <c r="P61" i="16" s="1"/>
  <c r="O62" i="16"/>
  <c r="P62" i="16" s="1"/>
  <c r="O63" i="16"/>
  <c r="P63" i="16" s="1"/>
  <c r="O64" i="16"/>
  <c r="P64" i="16" s="1"/>
  <c r="O65" i="16"/>
  <c r="P65" i="16" s="1"/>
  <c r="O66" i="16"/>
  <c r="P66" i="16" s="1"/>
  <c r="O67" i="16"/>
  <c r="P67" i="16" s="1"/>
  <c r="O68" i="16"/>
  <c r="P68" i="16" s="1"/>
  <c r="O69" i="16"/>
  <c r="P69" i="16" s="1"/>
  <c r="O70" i="16"/>
  <c r="P70" i="16" s="1"/>
  <c r="O71" i="16"/>
  <c r="P71" i="16" s="1"/>
  <c r="O72" i="16"/>
  <c r="P72" i="16" s="1"/>
  <c r="O73" i="16"/>
  <c r="P73" i="16" s="1"/>
  <c r="O74" i="16"/>
  <c r="P74" i="16" s="1"/>
  <c r="O75" i="16"/>
  <c r="P75" i="16" s="1"/>
  <c r="O76" i="16"/>
  <c r="P76" i="16" s="1"/>
  <c r="O77" i="16"/>
  <c r="P77" i="16" s="1"/>
  <c r="O78" i="16"/>
  <c r="P78" i="16" s="1"/>
  <c r="O79" i="16"/>
  <c r="P79" i="16" s="1"/>
  <c r="O80" i="16"/>
  <c r="P80" i="16" s="1"/>
  <c r="O81" i="16"/>
  <c r="P81" i="16" s="1"/>
  <c r="O82" i="16"/>
  <c r="P82" i="16" s="1"/>
  <c r="O83" i="16"/>
  <c r="P83" i="16" s="1"/>
  <c r="O84" i="16"/>
  <c r="P84" i="16" s="1"/>
  <c r="O85" i="16"/>
  <c r="P85" i="16" s="1"/>
  <c r="O86" i="16"/>
  <c r="P86" i="16" s="1"/>
  <c r="O87" i="16"/>
  <c r="P87" i="16" s="1"/>
  <c r="O88" i="16"/>
  <c r="P88" i="16" s="1"/>
  <c r="O89" i="16"/>
  <c r="P89" i="16" s="1"/>
  <c r="O90" i="16"/>
  <c r="P90" i="16" s="1"/>
  <c r="O91" i="16"/>
  <c r="P91" i="16" s="1"/>
  <c r="O92" i="16"/>
  <c r="P92" i="16" s="1"/>
  <c r="O93" i="16"/>
  <c r="P93" i="16" s="1"/>
  <c r="O94" i="16"/>
  <c r="P94" i="16" s="1"/>
  <c r="O95" i="16"/>
  <c r="P95" i="16" s="1"/>
  <c r="O96" i="16"/>
  <c r="P96" i="16" s="1"/>
  <c r="O97" i="16"/>
  <c r="P97" i="16" s="1"/>
  <c r="O98" i="16"/>
  <c r="P98" i="16" s="1"/>
  <c r="O99" i="16"/>
  <c r="P99" i="16" s="1"/>
  <c r="O100" i="16"/>
  <c r="P100" i="16" s="1"/>
  <c r="O101" i="16"/>
  <c r="P101" i="16" s="1"/>
  <c r="O102" i="16"/>
  <c r="P102" i="16" s="1"/>
  <c r="O103" i="16"/>
  <c r="P103" i="16" s="1"/>
  <c r="O104" i="16"/>
  <c r="P104" i="16" s="1"/>
  <c r="O105" i="16"/>
  <c r="P105" i="16" s="1"/>
  <c r="O106" i="16"/>
  <c r="P106" i="16" s="1"/>
  <c r="O107" i="16"/>
  <c r="P107" i="16" s="1"/>
  <c r="O108" i="16"/>
  <c r="P108" i="16" s="1"/>
  <c r="O109" i="16"/>
  <c r="P109" i="16" s="1"/>
  <c r="O110" i="16"/>
  <c r="P110" i="16" s="1"/>
  <c r="O111" i="16"/>
  <c r="P111" i="16" s="1"/>
  <c r="O112" i="16"/>
  <c r="P112" i="16" s="1"/>
  <c r="O113" i="16"/>
  <c r="P113" i="16" s="1"/>
  <c r="O114" i="16"/>
  <c r="P114" i="16" s="1"/>
  <c r="O115" i="16"/>
  <c r="P115" i="16" s="1"/>
  <c r="O116" i="16"/>
  <c r="P116" i="16" s="1"/>
  <c r="O117" i="16"/>
  <c r="P117" i="16" s="1"/>
  <c r="O118" i="16"/>
  <c r="P118" i="16" s="1"/>
  <c r="O119" i="16"/>
  <c r="P119" i="16" s="1"/>
  <c r="O120" i="16"/>
  <c r="P120" i="16" s="1"/>
  <c r="O121" i="16"/>
  <c r="P121" i="16" s="1"/>
  <c r="O122" i="16"/>
  <c r="P122" i="16" s="1"/>
  <c r="O123" i="16"/>
  <c r="P123" i="16" s="1"/>
  <c r="O124" i="16"/>
  <c r="P124" i="16" s="1"/>
  <c r="O125" i="16"/>
  <c r="P125" i="16" s="1"/>
  <c r="O126" i="16"/>
  <c r="P126" i="16" s="1"/>
  <c r="O127" i="16"/>
  <c r="P127" i="16" s="1"/>
  <c r="O128" i="16"/>
  <c r="P128" i="16" s="1"/>
  <c r="O129" i="16"/>
  <c r="P129" i="16" s="1"/>
  <c r="O130" i="16"/>
  <c r="P130" i="16" s="1"/>
  <c r="O131" i="16"/>
  <c r="P131" i="16" s="1"/>
  <c r="O132" i="16"/>
  <c r="P132" i="16" s="1"/>
  <c r="O133" i="16"/>
  <c r="P133" i="16" s="1"/>
  <c r="O134" i="16"/>
  <c r="P134" i="16" s="1"/>
  <c r="O135" i="16"/>
  <c r="P135" i="16" s="1"/>
  <c r="O136" i="16"/>
  <c r="P136" i="16" s="1"/>
  <c r="O137" i="16"/>
  <c r="P137" i="16" s="1"/>
  <c r="O138" i="16"/>
  <c r="P138" i="16" s="1"/>
  <c r="O139" i="16"/>
  <c r="P139" i="16" s="1"/>
  <c r="O140" i="16"/>
  <c r="P140" i="16" s="1"/>
  <c r="O141" i="16"/>
  <c r="P141" i="16" s="1"/>
  <c r="O142" i="16"/>
  <c r="P142" i="16" s="1"/>
  <c r="O143" i="16"/>
  <c r="P143" i="16" s="1"/>
  <c r="O144" i="16"/>
  <c r="P144" i="16" s="1"/>
  <c r="O145" i="16"/>
  <c r="P145" i="16" s="1"/>
  <c r="O146" i="16"/>
  <c r="P146" i="16" s="1"/>
  <c r="O147" i="16"/>
  <c r="P147" i="16" s="1"/>
  <c r="O148" i="16"/>
  <c r="P148" i="16" s="1"/>
  <c r="O149" i="16"/>
  <c r="P149" i="16" s="1"/>
  <c r="O150" i="16"/>
  <c r="P150" i="16" s="1"/>
  <c r="O151" i="16"/>
  <c r="P151" i="16" s="1"/>
  <c r="O152" i="16"/>
  <c r="P152" i="16" s="1"/>
  <c r="O153" i="16"/>
  <c r="P153" i="16" s="1"/>
  <c r="O154" i="16"/>
  <c r="P154" i="16" s="1"/>
  <c r="O155" i="16"/>
  <c r="P155" i="16" s="1"/>
  <c r="O156" i="16"/>
  <c r="P156" i="16" s="1"/>
  <c r="O157" i="16"/>
  <c r="P157" i="16" s="1"/>
  <c r="O158" i="16"/>
  <c r="P158" i="16" s="1"/>
  <c r="O159" i="16"/>
  <c r="P159" i="16" s="1"/>
  <c r="O160" i="16"/>
  <c r="P160" i="16" s="1"/>
  <c r="O161" i="16"/>
  <c r="P161" i="16" s="1"/>
  <c r="O162" i="16"/>
  <c r="P162" i="16" s="1"/>
  <c r="O163" i="16"/>
  <c r="P163" i="16" s="1"/>
  <c r="O164" i="16"/>
  <c r="P164" i="16" s="1"/>
  <c r="O165" i="16"/>
  <c r="P165" i="16" s="1"/>
  <c r="O166" i="16"/>
  <c r="P166" i="16" s="1"/>
  <c r="O167" i="16"/>
  <c r="P167" i="16" s="1"/>
  <c r="O168" i="16"/>
  <c r="P168" i="16" s="1"/>
  <c r="O169" i="16"/>
  <c r="P169" i="16" s="1"/>
  <c r="O170" i="16"/>
  <c r="P170" i="16" s="1"/>
  <c r="O171" i="16"/>
  <c r="P171" i="16" s="1"/>
  <c r="O172" i="16"/>
  <c r="P172" i="16" s="1"/>
  <c r="O173" i="16"/>
  <c r="P173" i="16" s="1"/>
  <c r="O174" i="16"/>
  <c r="P174" i="16" s="1"/>
  <c r="O175" i="16"/>
  <c r="P175" i="16" s="1"/>
  <c r="O176" i="16"/>
  <c r="P176" i="16" s="1"/>
  <c r="O177" i="16"/>
  <c r="P177" i="16" s="1"/>
  <c r="O178" i="16"/>
  <c r="P178" i="16" s="1"/>
  <c r="O179" i="16"/>
  <c r="P179" i="16" s="1"/>
  <c r="O180" i="16"/>
  <c r="P180" i="16" s="1"/>
  <c r="O181" i="16"/>
  <c r="P181" i="16" s="1"/>
  <c r="O182" i="16"/>
  <c r="P182" i="16" s="1"/>
  <c r="O183" i="16"/>
  <c r="P183" i="16" s="1"/>
  <c r="O184" i="16"/>
  <c r="P184" i="16" s="1"/>
  <c r="O185" i="16"/>
  <c r="P185" i="16" s="1"/>
  <c r="O186" i="16"/>
  <c r="P186" i="16" s="1"/>
  <c r="O187" i="16"/>
  <c r="P187" i="16" s="1"/>
  <c r="O188" i="16"/>
  <c r="P188" i="16" s="1"/>
  <c r="O189" i="16"/>
  <c r="P189" i="16" s="1"/>
  <c r="O190" i="16"/>
  <c r="P190" i="16" s="1"/>
  <c r="O191" i="16"/>
  <c r="P191" i="16" s="1"/>
  <c r="O192" i="16"/>
  <c r="P192" i="16" s="1"/>
  <c r="O193" i="16"/>
  <c r="P193" i="16" s="1"/>
  <c r="O194" i="16"/>
  <c r="P194" i="16" s="1"/>
  <c r="O195" i="16"/>
  <c r="P195" i="16" s="1"/>
  <c r="O196" i="16"/>
  <c r="P196" i="16" s="1"/>
  <c r="O197" i="16"/>
  <c r="P197" i="16" s="1"/>
  <c r="O198" i="16"/>
  <c r="P198" i="16" s="1"/>
  <c r="O199" i="16"/>
  <c r="P199" i="16" s="1"/>
  <c r="O200" i="16"/>
  <c r="P200" i="16" s="1"/>
  <c r="O201" i="16"/>
  <c r="P201" i="16" s="1"/>
  <c r="O202" i="16"/>
  <c r="P202" i="16" s="1"/>
  <c r="O203" i="16"/>
  <c r="P203" i="16" s="1"/>
  <c r="O204" i="16"/>
  <c r="P204" i="16" s="1"/>
  <c r="O205" i="16"/>
  <c r="P205" i="16" s="1"/>
  <c r="O206" i="16"/>
  <c r="P206" i="16" s="1"/>
  <c r="O207" i="16"/>
  <c r="P207" i="16" s="1"/>
  <c r="O208" i="16"/>
  <c r="P208" i="16" s="1"/>
  <c r="O209" i="16"/>
  <c r="P209" i="16" s="1"/>
  <c r="O210" i="16"/>
  <c r="P210" i="16" s="1"/>
  <c r="O211" i="16"/>
  <c r="P211" i="16" s="1"/>
  <c r="O212" i="16"/>
  <c r="P212" i="16" s="1"/>
  <c r="O213" i="16"/>
  <c r="P213" i="16" s="1"/>
  <c r="O214" i="16"/>
  <c r="P214" i="16" s="1"/>
  <c r="O215" i="16"/>
  <c r="P215" i="16" s="1"/>
  <c r="O216" i="16"/>
  <c r="P216" i="16" s="1"/>
  <c r="O217" i="16"/>
  <c r="P217" i="16" s="1"/>
  <c r="O218" i="16"/>
  <c r="P218" i="16" s="1"/>
  <c r="O219" i="16"/>
  <c r="P219" i="16" s="1"/>
  <c r="O220" i="16"/>
  <c r="P220" i="16" s="1"/>
  <c r="O221" i="16"/>
  <c r="P221" i="16" s="1"/>
  <c r="O222" i="16"/>
  <c r="P222" i="16" s="1"/>
  <c r="O223" i="16"/>
  <c r="P223" i="16" s="1"/>
  <c r="O224" i="16"/>
  <c r="P224" i="16" s="1"/>
  <c r="O225" i="16"/>
  <c r="P225" i="16" s="1"/>
  <c r="O226" i="16"/>
  <c r="P226" i="16" s="1"/>
  <c r="O227" i="16"/>
  <c r="P227" i="16" s="1"/>
  <c r="O228" i="16"/>
  <c r="P228" i="16" s="1"/>
  <c r="O229" i="16"/>
  <c r="P229" i="16" s="1"/>
  <c r="O230" i="16"/>
  <c r="P230" i="16" s="1"/>
  <c r="O231" i="16"/>
  <c r="P231" i="16" s="1"/>
  <c r="O232" i="16"/>
  <c r="P232" i="16" s="1"/>
  <c r="O233" i="16"/>
  <c r="P233" i="16" s="1"/>
  <c r="O234" i="16"/>
  <c r="P234" i="16" s="1"/>
  <c r="O235" i="16"/>
  <c r="P235" i="16" s="1"/>
  <c r="O236" i="16"/>
  <c r="P236" i="16" s="1"/>
  <c r="O237" i="16"/>
  <c r="P237" i="16" s="1"/>
  <c r="O238" i="16"/>
  <c r="P238" i="16" s="1"/>
  <c r="O239" i="16"/>
  <c r="P239" i="16" s="1"/>
  <c r="O240" i="16"/>
  <c r="P240" i="16" s="1"/>
  <c r="O241" i="16"/>
  <c r="P241" i="16" s="1"/>
  <c r="O242" i="16"/>
  <c r="P242" i="16" s="1"/>
  <c r="O243" i="16"/>
  <c r="P243" i="16" s="1"/>
  <c r="O244" i="16"/>
  <c r="P244" i="16" s="1"/>
  <c r="O245" i="16"/>
  <c r="P245" i="16" s="1"/>
  <c r="O246" i="16"/>
  <c r="P246" i="16" s="1"/>
  <c r="O247" i="16"/>
  <c r="P247" i="16" s="1"/>
  <c r="O248" i="16"/>
  <c r="P248" i="16" s="1"/>
  <c r="O249" i="16"/>
  <c r="P249" i="16" s="1"/>
  <c r="O250" i="16"/>
  <c r="P250" i="16" s="1"/>
  <c r="O251" i="16"/>
  <c r="P251" i="16" s="1"/>
  <c r="O252" i="16"/>
  <c r="P252" i="16" s="1"/>
  <c r="O253" i="16"/>
  <c r="P253" i="16" s="1"/>
  <c r="O254" i="16"/>
  <c r="P254" i="16" s="1"/>
  <c r="O255" i="16"/>
  <c r="P255" i="16" s="1"/>
  <c r="O256" i="16"/>
  <c r="P256" i="16" s="1"/>
  <c r="O257" i="16"/>
  <c r="P257" i="16" s="1"/>
  <c r="O258" i="16"/>
  <c r="P258" i="16" s="1"/>
  <c r="O259" i="16"/>
  <c r="P259" i="16" s="1"/>
  <c r="O260" i="16"/>
  <c r="P260" i="16" s="1"/>
  <c r="O261" i="16"/>
  <c r="P261" i="16" s="1"/>
  <c r="O262" i="16"/>
  <c r="P262" i="16" s="1"/>
  <c r="O263" i="16"/>
  <c r="P263" i="16" s="1"/>
  <c r="O264" i="16"/>
  <c r="P264" i="16" s="1"/>
  <c r="O265" i="16"/>
  <c r="P265" i="16" s="1"/>
  <c r="O266" i="16"/>
  <c r="P266" i="16" s="1"/>
  <c r="O267" i="16"/>
  <c r="P267" i="16" s="1"/>
  <c r="O268" i="16"/>
  <c r="P268" i="16" s="1"/>
  <c r="O269" i="16"/>
  <c r="P269" i="16" s="1"/>
  <c r="O270" i="16"/>
  <c r="P270" i="16" s="1"/>
  <c r="O271" i="16"/>
  <c r="P271" i="16" s="1"/>
  <c r="O272" i="16"/>
  <c r="P272" i="16" s="1"/>
  <c r="O273" i="16"/>
  <c r="P273" i="16" s="1"/>
  <c r="O274" i="16"/>
  <c r="P274" i="16" s="1"/>
  <c r="O275" i="16"/>
  <c r="P275" i="16" s="1"/>
  <c r="O276" i="16"/>
  <c r="P276" i="16" s="1"/>
  <c r="O277" i="16"/>
  <c r="P277" i="16" s="1"/>
  <c r="O278" i="16"/>
  <c r="P278" i="16" s="1"/>
  <c r="O279" i="16"/>
  <c r="P279" i="16" s="1"/>
  <c r="O280" i="16"/>
  <c r="P280" i="16" s="1"/>
  <c r="O281" i="16"/>
  <c r="P281" i="16" s="1"/>
  <c r="O282" i="16"/>
  <c r="P282" i="16" s="1"/>
  <c r="O283" i="16"/>
  <c r="P283" i="16" s="1"/>
  <c r="O284" i="16"/>
  <c r="P284" i="16" s="1"/>
  <c r="O285" i="16"/>
  <c r="P285" i="16" s="1"/>
  <c r="O286" i="16"/>
  <c r="P286" i="16" s="1"/>
  <c r="O287" i="16"/>
  <c r="P287" i="16" s="1"/>
  <c r="O288" i="16"/>
  <c r="P288" i="16" s="1"/>
  <c r="O289" i="16"/>
  <c r="P289" i="16" s="1"/>
  <c r="O290" i="16"/>
  <c r="P290" i="16" s="1"/>
  <c r="O291" i="16"/>
  <c r="P291" i="16" s="1"/>
  <c r="O292" i="16"/>
  <c r="P292" i="16" s="1"/>
  <c r="O293" i="16"/>
  <c r="P293" i="16" s="1"/>
  <c r="O294" i="16"/>
  <c r="P294" i="16" s="1"/>
  <c r="O295" i="16"/>
  <c r="P295" i="16" s="1"/>
  <c r="O296" i="16"/>
  <c r="P296" i="16" s="1"/>
  <c r="O297" i="16"/>
  <c r="P297" i="16" s="1"/>
  <c r="O298" i="16"/>
  <c r="P298" i="16" s="1"/>
  <c r="O299" i="16"/>
  <c r="P299" i="16" s="1"/>
  <c r="O300" i="16"/>
  <c r="P300" i="16" s="1"/>
  <c r="O301" i="16"/>
  <c r="P301" i="16" s="1"/>
  <c r="O302" i="16"/>
  <c r="P302" i="16" s="1"/>
  <c r="O303" i="16"/>
  <c r="P303" i="16" s="1"/>
  <c r="O304" i="16"/>
  <c r="P304" i="16" s="1"/>
  <c r="O305" i="16"/>
  <c r="P305" i="16" s="1"/>
  <c r="O306" i="16"/>
  <c r="P306" i="16" s="1"/>
  <c r="O307" i="16"/>
  <c r="P307" i="16" s="1"/>
  <c r="O308" i="16"/>
  <c r="P308" i="16" s="1"/>
  <c r="O309" i="16"/>
  <c r="P309" i="16" s="1"/>
  <c r="O310" i="16"/>
  <c r="P310" i="16" s="1"/>
  <c r="O311" i="16"/>
  <c r="P311" i="16" s="1"/>
  <c r="O312" i="16"/>
  <c r="P312" i="16" s="1"/>
  <c r="O313" i="16"/>
  <c r="P313" i="16" s="1"/>
  <c r="O314" i="16"/>
  <c r="P314" i="16" s="1"/>
  <c r="O315" i="16"/>
  <c r="P315" i="16" s="1"/>
  <c r="O316" i="16"/>
  <c r="P316" i="16" s="1"/>
  <c r="O317" i="16"/>
  <c r="P317" i="16" s="1"/>
  <c r="O318" i="16"/>
  <c r="P318" i="16" s="1"/>
  <c r="O319" i="16"/>
  <c r="P319" i="16" s="1"/>
  <c r="O320" i="16"/>
  <c r="P320" i="16" s="1"/>
  <c r="O321" i="16"/>
  <c r="P321" i="16" s="1"/>
  <c r="O322" i="16"/>
  <c r="P322" i="16" s="1"/>
  <c r="O323" i="16"/>
  <c r="P323" i="16" s="1"/>
  <c r="O324" i="16"/>
  <c r="P324" i="16" s="1"/>
  <c r="O325" i="16"/>
  <c r="P325" i="16" s="1"/>
  <c r="O326" i="16"/>
  <c r="P326" i="16" s="1"/>
  <c r="O327" i="16"/>
  <c r="P327" i="16" s="1"/>
  <c r="O328" i="16"/>
  <c r="P328" i="16" s="1"/>
  <c r="O329" i="16"/>
  <c r="P329" i="16" s="1"/>
  <c r="O330" i="16"/>
  <c r="P330" i="16" s="1"/>
  <c r="O331" i="16"/>
  <c r="P331" i="16" s="1"/>
  <c r="O332" i="16"/>
  <c r="P332" i="16" s="1"/>
  <c r="O333" i="16"/>
  <c r="P333" i="16" s="1"/>
  <c r="O334" i="16"/>
  <c r="P334" i="16" s="1"/>
  <c r="O335" i="16"/>
  <c r="P335" i="16" s="1"/>
  <c r="O336" i="16"/>
  <c r="P336" i="16" s="1"/>
  <c r="O337" i="16"/>
  <c r="P337" i="16" s="1"/>
  <c r="O338" i="16"/>
  <c r="P338" i="16" s="1"/>
  <c r="O339" i="16"/>
  <c r="P339" i="16" s="1"/>
  <c r="O340" i="16"/>
  <c r="P340" i="16" s="1"/>
  <c r="O341" i="16"/>
  <c r="P341" i="16" s="1"/>
  <c r="O342" i="16"/>
  <c r="P342" i="16" s="1"/>
  <c r="O343" i="16"/>
  <c r="P343" i="16" s="1"/>
  <c r="O344" i="16"/>
  <c r="P344" i="16" s="1"/>
  <c r="O345" i="16"/>
  <c r="P345" i="16" s="1"/>
  <c r="O346" i="16"/>
  <c r="P346" i="16" s="1"/>
  <c r="O347" i="16"/>
  <c r="P347" i="16" s="1"/>
  <c r="O348" i="16"/>
  <c r="P348" i="16" s="1"/>
  <c r="O349" i="16"/>
  <c r="P349" i="16" s="1"/>
  <c r="O350" i="16"/>
  <c r="P350" i="16" s="1"/>
  <c r="O351" i="16"/>
  <c r="P351" i="16" s="1"/>
  <c r="O352" i="16"/>
  <c r="P352" i="16" s="1"/>
  <c r="O353" i="16"/>
  <c r="P353" i="16" s="1"/>
  <c r="O354" i="16"/>
  <c r="P354" i="16" s="1"/>
  <c r="O355" i="16"/>
  <c r="P355" i="16" s="1"/>
  <c r="O356" i="16"/>
  <c r="P356" i="16" s="1"/>
  <c r="O357" i="16"/>
  <c r="P357" i="16" s="1"/>
  <c r="O358" i="16"/>
  <c r="P358" i="16" s="1"/>
  <c r="O359" i="16"/>
  <c r="P359" i="16" s="1"/>
  <c r="O360" i="16"/>
  <c r="P360" i="16" s="1"/>
  <c r="O361" i="16"/>
  <c r="P361" i="16" s="1"/>
  <c r="O362" i="16"/>
  <c r="P362" i="16" s="1"/>
  <c r="O363" i="16"/>
  <c r="P363" i="16" s="1"/>
  <c r="O364" i="16"/>
  <c r="P364" i="16" s="1"/>
  <c r="O365" i="16"/>
  <c r="P365" i="16" s="1"/>
  <c r="O366" i="16"/>
  <c r="P366" i="16" s="1"/>
  <c r="O367" i="16"/>
  <c r="P367" i="16" s="1"/>
  <c r="O368" i="16"/>
  <c r="P368" i="16" s="1"/>
  <c r="O369" i="16"/>
  <c r="P369" i="16" s="1"/>
  <c r="O370" i="16"/>
  <c r="P370" i="16" s="1"/>
  <c r="O371" i="16"/>
  <c r="P371" i="16" s="1"/>
  <c r="O372" i="16"/>
  <c r="P372" i="16" s="1"/>
  <c r="O373" i="16"/>
  <c r="P373" i="16" s="1"/>
  <c r="O374" i="16"/>
  <c r="P374" i="16" s="1"/>
  <c r="O375" i="16"/>
  <c r="P375" i="16" s="1"/>
  <c r="O376" i="16"/>
  <c r="P376" i="16" s="1"/>
  <c r="O377" i="16"/>
  <c r="P377" i="16" s="1"/>
  <c r="O378" i="16"/>
  <c r="P378" i="16" s="1"/>
  <c r="O379" i="16"/>
  <c r="P379" i="16" s="1"/>
  <c r="O380" i="16"/>
  <c r="P380" i="16" s="1"/>
  <c r="O381" i="16"/>
  <c r="P381" i="16" s="1"/>
  <c r="O382" i="16"/>
  <c r="P382" i="16" s="1"/>
  <c r="O383" i="16"/>
  <c r="P383" i="16" s="1"/>
  <c r="O384" i="16"/>
  <c r="P384" i="16" s="1"/>
  <c r="O385" i="16"/>
  <c r="P385" i="16" s="1"/>
  <c r="O386" i="16"/>
  <c r="P386" i="16" s="1"/>
  <c r="O387" i="16"/>
  <c r="P387" i="16" s="1"/>
  <c r="O388" i="16"/>
  <c r="P388" i="16" s="1"/>
  <c r="O389" i="16"/>
  <c r="P389" i="16" s="1"/>
  <c r="O390" i="16"/>
  <c r="P390" i="16" s="1"/>
  <c r="O391" i="16"/>
  <c r="P391" i="16" s="1"/>
  <c r="O392" i="16"/>
  <c r="P392" i="16" s="1"/>
  <c r="O393" i="16"/>
  <c r="P393" i="16" s="1"/>
  <c r="O394" i="16"/>
  <c r="P394" i="16" s="1"/>
  <c r="O395" i="16"/>
  <c r="P395" i="16" s="1"/>
  <c r="O396" i="16"/>
  <c r="P396" i="16" s="1"/>
  <c r="O397" i="16"/>
  <c r="P397" i="16" s="1"/>
  <c r="O398" i="16"/>
  <c r="P398" i="16" s="1"/>
  <c r="O399" i="16"/>
  <c r="P399" i="16" s="1"/>
  <c r="O400" i="16"/>
  <c r="P400" i="16" s="1"/>
  <c r="O401" i="16"/>
  <c r="P401" i="16" s="1"/>
  <c r="O402" i="16"/>
  <c r="P402" i="16" s="1"/>
  <c r="O403" i="16"/>
  <c r="P403" i="16" s="1"/>
  <c r="O404" i="16"/>
  <c r="P404" i="16" s="1"/>
  <c r="O405" i="16"/>
  <c r="P405" i="16" s="1"/>
  <c r="O406" i="16"/>
  <c r="P406" i="16" s="1"/>
  <c r="O407" i="16"/>
  <c r="P407" i="16" s="1"/>
  <c r="O408" i="16"/>
  <c r="P408" i="16" s="1"/>
  <c r="O409" i="16"/>
  <c r="P409" i="16" s="1"/>
  <c r="O410" i="16"/>
  <c r="P410" i="16" s="1"/>
  <c r="O411" i="16"/>
  <c r="P411" i="16" s="1"/>
  <c r="O412" i="16"/>
  <c r="P412" i="16" s="1"/>
  <c r="O413" i="16"/>
  <c r="P413" i="16" s="1"/>
  <c r="O414" i="16"/>
  <c r="P414" i="16" s="1"/>
  <c r="O415" i="16"/>
  <c r="P415" i="16" s="1"/>
  <c r="O416" i="16"/>
  <c r="P416" i="16" s="1"/>
  <c r="O417" i="16"/>
  <c r="P417" i="16" s="1"/>
  <c r="O418" i="16"/>
  <c r="P418" i="16" s="1"/>
  <c r="O419" i="16"/>
  <c r="P419" i="16" s="1"/>
  <c r="O420" i="16"/>
  <c r="P420" i="16" s="1"/>
  <c r="O421" i="16"/>
  <c r="P421" i="16" s="1"/>
  <c r="O422" i="16"/>
  <c r="P422" i="16" s="1"/>
  <c r="O423" i="16"/>
  <c r="P423" i="16" s="1"/>
  <c r="O424" i="16"/>
  <c r="P424" i="16" s="1"/>
  <c r="O425" i="16"/>
  <c r="P425" i="16" s="1"/>
  <c r="O426" i="16"/>
  <c r="P426" i="16" s="1"/>
  <c r="O427" i="16"/>
  <c r="P427" i="16" s="1"/>
  <c r="O428" i="16"/>
  <c r="P428" i="16" s="1"/>
  <c r="O429" i="16"/>
  <c r="P429" i="16" s="1"/>
  <c r="O430" i="16"/>
  <c r="P430" i="16" s="1"/>
  <c r="O431" i="16"/>
  <c r="P431" i="16" s="1"/>
  <c r="O432" i="16"/>
  <c r="P432" i="16" s="1"/>
  <c r="O433" i="16"/>
  <c r="P433" i="16" s="1"/>
  <c r="O434" i="16"/>
  <c r="P434" i="16" s="1"/>
  <c r="O435" i="16"/>
  <c r="P435" i="16" s="1"/>
  <c r="O436" i="16"/>
  <c r="P436" i="16" s="1"/>
  <c r="O437" i="16"/>
  <c r="P437" i="16" s="1"/>
  <c r="O438" i="16"/>
  <c r="P438" i="16" s="1"/>
  <c r="O439" i="16"/>
  <c r="P439" i="16" s="1"/>
  <c r="O440" i="16"/>
  <c r="P440" i="16" s="1"/>
  <c r="O441" i="16"/>
  <c r="P441" i="16" s="1"/>
  <c r="O442" i="16"/>
  <c r="P442" i="16" s="1"/>
  <c r="O443" i="16"/>
  <c r="P443" i="16" s="1"/>
  <c r="O444" i="16"/>
  <c r="P444" i="16" s="1"/>
  <c r="O445" i="16"/>
  <c r="P445" i="16" s="1"/>
  <c r="O446" i="16"/>
  <c r="P446" i="16" s="1"/>
  <c r="O447" i="16"/>
  <c r="P447" i="16" s="1"/>
  <c r="O448" i="16"/>
  <c r="P448" i="16" s="1"/>
  <c r="O449" i="16"/>
  <c r="P449" i="16" s="1"/>
  <c r="O450" i="16"/>
  <c r="P450" i="16" s="1"/>
  <c r="O451" i="16"/>
  <c r="P451" i="16" s="1"/>
  <c r="O452" i="16"/>
  <c r="P452" i="16" s="1"/>
  <c r="O453" i="16"/>
  <c r="P453" i="16" s="1"/>
  <c r="O454" i="16"/>
  <c r="P454" i="16" s="1"/>
  <c r="O455" i="16"/>
  <c r="P455" i="16" s="1"/>
  <c r="O456" i="16"/>
  <c r="P456" i="16" s="1"/>
  <c r="O457" i="16"/>
  <c r="P457" i="16" s="1"/>
  <c r="O458" i="16"/>
  <c r="P458" i="16" s="1"/>
  <c r="O459" i="16"/>
  <c r="P459" i="16" s="1"/>
  <c r="O460" i="16"/>
  <c r="P460" i="16" s="1"/>
  <c r="O461" i="16"/>
  <c r="P461" i="16" s="1"/>
  <c r="O462" i="16"/>
  <c r="P462" i="16" s="1"/>
  <c r="O463" i="16"/>
  <c r="P463" i="16" s="1"/>
  <c r="O464" i="16"/>
  <c r="P464" i="16" s="1"/>
  <c r="O465" i="16"/>
  <c r="P465" i="16" s="1"/>
  <c r="O466" i="16"/>
  <c r="P466" i="16" s="1"/>
  <c r="O467" i="16"/>
  <c r="P467" i="16" s="1"/>
  <c r="O468" i="16"/>
  <c r="P468" i="16" s="1"/>
  <c r="O469" i="16"/>
  <c r="P469" i="16" s="1"/>
  <c r="O470" i="16"/>
  <c r="P470" i="16" s="1"/>
  <c r="O471" i="16"/>
  <c r="P471" i="16" s="1"/>
  <c r="O472" i="16"/>
  <c r="P472" i="16" s="1"/>
  <c r="O473" i="16"/>
  <c r="P473" i="16" s="1"/>
  <c r="O474" i="16"/>
  <c r="P474" i="16" s="1"/>
  <c r="O475" i="16"/>
  <c r="P475" i="16" s="1"/>
  <c r="O476" i="16"/>
  <c r="P476" i="16" s="1"/>
  <c r="O477" i="16"/>
  <c r="P477" i="16" s="1"/>
  <c r="O478" i="16"/>
  <c r="P478" i="16" s="1"/>
  <c r="O479" i="16"/>
  <c r="P479" i="16" s="1"/>
  <c r="O480" i="16"/>
  <c r="P480" i="16" s="1"/>
  <c r="O481" i="16"/>
  <c r="P481" i="16" s="1"/>
  <c r="O482" i="16"/>
  <c r="P482" i="16" s="1"/>
  <c r="O483" i="16"/>
  <c r="P483" i="16" s="1"/>
  <c r="O484" i="16"/>
  <c r="P484" i="16" s="1"/>
  <c r="O485" i="16"/>
  <c r="P485" i="16" s="1"/>
  <c r="O486" i="16"/>
  <c r="P486" i="16" s="1"/>
  <c r="O487" i="16"/>
  <c r="P487" i="16" s="1"/>
  <c r="O488" i="16"/>
  <c r="P488" i="16" s="1"/>
  <c r="O489" i="16"/>
  <c r="P489" i="16" s="1"/>
  <c r="O490" i="16"/>
  <c r="P490" i="16" s="1"/>
  <c r="O491" i="16"/>
  <c r="P491" i="16" s="1"/>
  <c r="O492" i="16"/>
  <c r="P492" i="16" s="1"/>
  <c r="O493" i="16"/>
  <c r="P493" i="16" s="1"/>
  <c r="O494" i="16"/>
  <c r="P494" i="16" s="1"/>
  <c r="O495" i="16"/>
  <c r="P495" i="16" s="1"/>
  <c r="O496" i="16"/>
  <c r="P496" i="16" s="1"/>
  <c r="O497" i="16"/>
  <c r="P497" i="16" s="1"/>
  <c r="O498" i="16"/>
  <c r="P498" i="16" s="1"/>
  <c r="O499" i="16"/>
  <c r="P499" i="16" s="1"/>
  <c r="O500" i="16"/>
  <c r="P500" i="16" s="1"/>
  <c r="O501" i="16"/>
  <c r="P501" i="16" s="1"/>
  <c r="O502" i="16"/>
  <c r="P502" i="16" s="1"/>
  <c r="O503" i="16"/>
  <c r="P503" i="16" s="1"/>
  <c r="O504" i="16"/>
  <c r="P504" i="16" s="1"/>
  <c r="O505" i="16"/>
  <c r="P505" i="16" s="1"/>
  <c r="O506" i="16"/>
  <c r="P506" i="16" s="1"/>
  <c r="O507" i="16"/>
  <c r="P507" i="16" s="1"/>
  <c r="O508" i="16"/>
  <c r="P508" i="16" s="1"/>
  <c r="O509" i="16"/>
  <c r="P509" i="16" s="1"/>
  <c r="O510" i="16"/>
  <c r="P510" i="16" s="1"/>
  <c r="O511" i="16"/>
  <c r="P511" i="16" s="1"/>
  <c r="O512" i="16"/>
  <c r="P512" i="16" s="1"/>
  <c r="O513" i="16"/>
  <c r="P513" i="16" s="1"/>
  <c r="O514" i="16"/>
  <c r="P514" i="16" s="1"/>
  <c r="O515" i="16"/>
  <c r="P515" i="16" s="1"/>
  <c r="O516" i="16"/>
  <c r="P516" i="16" s="1"/>
  <c r="O517" i="16"/>
  <c r="P517" i="16" s="1"/>
  <c r="O518" i="16"/>
  <c r="P518" i="16" s="1"/>
  <c r="O519" i="16"/>
  <c r="P519" i="16" s="1"/>
  <c r="M2" i="16"/>
  <c r="N2" i="16" s="1"/>
  <c r="M3" i="16"/>
  <c r="N3" i="16" s="1"/>
  <c r="M4" i="16"/>
  <c r="N4" i="16" s="1"/>
  <c r="M5" i="16"/>
  <c r="N5" i="16" s="1"/>
  <c r="M6" i="16"/>
  <c r="N6" i="16" s="1"/>
  <c r="M7" i="16"/>
  <c r="N7" i="16" s="1"/>
  <c r="M8" i="16"/>
  <c r="N8" i="16" s="1"/>
  <c r="M9" i="16"/>
  <c r="N9" i="16" s="1"/>
  <c r="M10" i="16"/>
  <c r="N10" i="16" s="1"/>
  <c r="M11" i="16"/>
  <c r="N11" i="16" s="1"/>
  <c r="M12" i="16"/>
  <c r="N12" i="16" s="1"/>
  <c r="M13" i="16"/>
  <c r="N13" i="16" s="1"/>
  <c r="M14" i="16"/>
  <c r="N14" i="16" s="1"/>
  <c r="M15" i="16"/>
  <c r="N15" i="16" s="1"/>
  <c r="M16" i="16"/>
  <c r="N16" i="16" s="1"/>
  <c r="M17" i="16"/>
  <c r="N17" i="16" s="1"/>
  <c r="M18" i="16"/>
  <c r="N18" i="16" s="1"/>
  <c r="M19" i="16"/>
  <c r="N19" i="16" s="1"/>
  <c r="M20" i="16"/>
  <c r="N20" i="16" s="1"/>
  <c r="M21" i="16"/>
  <c r="N21" i="16" s="1"/>
  <c r="M22" i="16"/>
  <c r="N22" i="16" s="1"/>
  <c r="M23" i="16"/>
  <c r="N23" i="16" s="1"/>
  <c r="M24" i="16"/>
  <c r="N24" i="16" s="1"/>
  <c r="M25" i="16"/>
  <c r="N25" i="16" s="1"/>
  <c r="M26" i="16"/>
  <c r="N26" i="16" s="1"/>
  <c r="M27" i="16"/>
  <c r="N27" i="16" s="1"/>
  <c r="M28" i="16"/>
  <c r="N28" i="16" s="1"/>
  <c r="M29" i="16"/>
  <c r="N29" i="16" s="1"/>
  <c r="M30" i="16"/>
  <c r="N30" i="16" s="1"/>
  <c r="M31" i="16"/>
  <c r="N31" i="16" s="1"/>
  <c r="M32" i="16"/>
  <c r="N32" i="16" s="1"/>
  <c r="M33" i="16"/>
  <c r="N33" i="16" s="1"/>
  <c r="M34" i="16"/>
  <c r="N34" i="16" s="1"/>
  <c r="M35" i="16"/>
  <c r="N35" i="16" s="1"/>
  <c r="M36" i="16"/>
  <c r="N36" i="16" s="1"/>
  <c r="M37" i="16"/>
  <c r="N37" i="16" s="1"/>
  <c r="M38" i="16"/>
  <c r="N38" i="16" s="1"/>
  <c r="M39" i="16"/>
  <c r="N39" i="16" s="1"/>
  <c r="M40" i="16"/>
  <c r="N40" i="16" s="1"/>
  <c r="M41" i="16"/>
  <c r="N41" i="16" s="1"/>
  <c r="M42" i="16"/>
  <c r="N42" i="16" s="1"/>
  <c r="M43" i="16"/>
  <c r="N43" i="16" s="1"/>
  <c r="M44" i="16"/>
  <c r="N44" i="16" s="1"/>
  <c r="M45" i="16"/>
  <c r="N45" i="16" s="1"/>
  <c r="M46" i="16"/>
  <c r="N46" i="16" s="1"/>
  <c r="M47" i="16"/>
  <c r="N47" i="16" s="1"/>
  <c r="M48" i="16"/>
  <c r="N48" i="16" s="1"/>
  <c r="M49" i="16"/>
  <c r="N49" i="16" s="1"/>
  <c r="M50" i="16"/>
  <c r="N50" i="16" s="1"/>
  <c r="M51" i="16"/>
  <c r="N51" i="16" s="1"/>
  <c r="M52" i="16"/>
  <c r="N52" i="16" s="1"/>
  <c r="M53" i="16"/>
  <c r="N53" i="16" s="1"/>
  <c r="M54" i="16"/>
  <c r="N54" i="16" s="1"/>
  <c r="M55" i="16"/>
  <c r="N55" i="16" s="1"/>
  <c r="M56" i="16"/>
  <c r="N56" i="16" s="1"/>
  <c r="M57" i="16"/>
  <c r="N57" i="16" s="1"/>
  <c r="M58" i="16"/>
  <c r="N58" i="16" s="1"/>
  <c r="M59" i="16"/>
  <c r="N59" i="16" s="1"/>
  <c r="M60" i="16"/>
  <c r="N60" i="16" s="1"/>
  <c r="M61" i="16"/>
  <c r="N61" i="16" s="1"/>
  <c r="M62" i="16"/>
  <c r="N62" i="16" s="1"/>
  <c r="M63" i="16"/>
  <c r="N63" i="16" s="1"/>
  <c r="M64" i="16"/>
  <c r="N64" i="16" s="1"/>
  <c r="M65" i="16"/>
  <c r="N65" i="16" s="1"/>
  <c r="M66" i="16"/>
  <c r="N66" i="16" s="1"/>
  <c r="M67" i="16"/>
  <c r="N67" i="16" s="1"/>
  <c r="M68" i="16"/>
  <c r="N68" i="16" s="1"/>
  <c r="M69" i="16"/>
  <c r="N69" i="16" s="1"/>
  <c r="M70" i="16"/>
  <c r="N70" i="16" s="1"/>
  <c r="M71" i="16"/>
  <c r="N71" i="16" s="1"/>
  <c r="M72" i="16"/>
  <c r="N72" i="16" s="1"/>
  <c r="M73" i="16"/>
  <c r="N73" i="16" s="1"/>
  <c r="M74" i="16"/>
  <c r="N74" i="16" s="1"/>
  <c r="M75" i="16"/>
  <c r="N75" i="16" s="1"/>
  <c r="M76" i="16"/>
  <c r="N76" i="16" s="1"/>
  <c r="M77" i="16"/>
  <c r="N77" i="16" s="1"/>
  <c r="M78" i="16"/>
  <c r="N78" i="16" s="1"/>
  <c r="M79" i="16"/>
  <c r="N79" i="16" s="1"/>
  <c r="M80" i="16"/>
  <c r="N80" i="16" s="1"/>
  <c r="M81" i="16"/>
  <c r="N81" i="16" s="1"/>
  <c r="M82" i="16"/>
  <c r="N82" i="16" s="1"/>
  <c r="M83" i="16"/>
  <c r="N83" i="16" s="1"/>
  <c r="M84" i="16"/>
  <c r="N84" i="16" s="1"/>
  <c r="M85" i="16"/>
  <c r="N85" i="16" s="1"/>
  <c r="M86" i="16"/>
  <c r="N86" i="16" s="1"/>
  <c r="M87" i="16"/>
  <c r="N87" i="16" s="1"/>
  <c r="M88" i="16"/>
  <c r="N88" i="16" s="1"/>
  <c r="M89" i="16"/>
  <c r="N89" i="16" s="1"/>
  <c r="M90" i="16"/>
  <c r="N90" i="16" s="1"/>
  <c r="M91" i="16"/>
  <c r="N91" i="16" s="1"/>
  <c r="M92" i="16"/>
  <c r="N92" i="16" s="1"/>
  <c r="M93" i="16"/>
  <c r="N93" i="16" s="1"/>
  <c r="M94" i="16"/>
  <c r="N94" i="16" s="1"/>
  <c r="M95" i="16"/>
  <c r="N95" i="16" s="1"/>
  <c r="M96" i="16"/>
  <c r="N96" i="16" s="1"/>
  <c r="M97" i="16"/>
  <c r="N97" i="16" s="1"/>
  <c r="M98" i="16"/>
  <c r="N98" i="16" s="1"/>
  <c r="M99" i="16"/>
  <c r="N99" i="16" s="1"/>
  <c r="M100" i="16"/>
  <c r="N100" i="16" s="1"/>
  <c r="M101" i="16"/>
  <c r="N101" i="16" s="1"/>
  <c r="M102" i="16"/>
  <c r="N102" i="16" s="1"/>
  <c r="M103" i="16"/>
  <c r="N103" i="16" s="1"/>
  <c r="M104" i="16"/>
  <c r="N104" i="16" s="1"/>
  <c r="M105" i="16"/>
  <c r="N105" i="16" s="1"/>
  <c r="M106" i="16"/>
  <c r="N106" i="16" s="1"/>
  <c r="M107" i="16"/>
  <c r="N107" i="16" s="1"/>
  <c r="M108" i="16"/>
  <c r="N108" i="16" s="1"/>
  <c r="M109" i="16"/>
  <c r="N109" i="16" s="1"/>
  <c r="M110" i="16"/>
  <c r="N110" i="16" s="1"/>
  <c r="M111" i="16"/>
  <c r="N111" i="16" s="1"/>
  <c r="M112" i="16"/>
  <c r="N112" i="16" s="1"/>
  <c r="M113" i="16"/>
  <c r="N113" i="16" s="1"/>
  <c r="M114" i="16"/>
  <c r="N114" i="16" s="1"/>
  <c r="M115" i="16"/>
  <c r="N115" i="16" s="1"/>
  <c r="M116" i="16"/>
  <c r="N116" i="16" s="1"/>
  <c r="M117" i="16"/>
  <c r="N117" i="16" s="1"/>
  <c r="M118" i="16"/>
  <c r="N118" i="16" s="1"/>
  <c r="M119" i="16"/>
  <c r="N119" i="16" s="1"/>
  <c r="M120" i="16"/>
  <c r="N120" i="16" s="1"/>
  <c r="M121" i="16"/>
  <c r="N121" i="16" s="1"/>
  <c r="M122" i="16"/>
  <c r="N122" i="16" s="1"/>
  <c r="M123" i="16"/>
  <c r="N123" i="16" s="1"/>
  <c r="M124" i="16"/>
  <c r="N124" i="16" s="1"/>
  <c r="M125" i="16"/>
  <c r="N125" i="16" s="1"/>
  <c r="M126" i="16"/>
  <c r="N126" i="16" s="1"/>
  <c r="M127" i="16"/>
  <c r="N127" i="16" s="1"/>
  <c r="M128" i="16"/>
  <c r="N128" i="16" s="1"/>
  <c r="M129" i="16"/>
  <c r="N129" i="16" s="1"/>
  <c r="M130" i="16"/>
  <c r="N130" i="16" s="1"/>
  <c r="M131" i="16"/>
  <c r="N131" i="16" s="1"/>
  <c r="M132" i="16"/>
  <c r="N132" i="16" s="1"/>
  <c r="M133" i="16"/>
  <c r="N133" i="16" s="1"/>
  <c r="M134" i="16"/>
  <c r="N134" i="16" s="1"/>
  <c r="M135" i="16"/>
  <c r="N135" i="16" s="1"/>
  <c r="M136" i="16"/>
  <c r="N136" i="16" s="1"/>
  <c r="M137" i="16"/>
  <c r="N137" i="16" s="1"/>
  <c r="M138" i="16"/>
  <c r="N138" i="16" s="1"/>
  <c r="M139" i="16"/>
  <c r="N139" i="16" s="1"/>
  <c r="M140" i="16"/>
  <c r="N140" i="16" s="1"/>
  <c r="M141" i="16"/>
  <c r="N141" i="16" s="1"/>
  <c r="M142" i="16"/>
  <c r="N142" i="16" s="1"/>
  <c r="M143" i="16"/>
  <c r="N143" i="16" s="1"/>
  <c r="M144" i="16"/>
  <c r="N144" i="16" s="1"/>
  <c r="M145" i="16"/>
  <c r="N145" i="16" s="1"/>
  <c r="M146" i="16"/>
  <c r="N146" i="16" s="1"/>
  <c r="M147" i="16"/>
  <c r="N147" i="16" s="1"/>
  <c r="M148" i="16"/>
  <c r="N148" i="16" s="1"/>
  <c r="M149" i="16"/>
  <c r="N149" i="16" s="1"/>
  <c r="M150" i="16"/>
  <c r="N150" i="16" s="1"/>
  <c r="M151" i="16"/>
  <c r="N151" i="16" s="1"/>
  <c r="M152" i="16"/>
  <c r="N152" i="16" s="1"/>
  <c r="M153" i="16"/>
  <c r="N153" i="16" s="1"/>
  <c r="M154" i="16"/>
  <c r="N154" i="16" s="1"/>
  <c r="M155" i="16"/>
  <c r="N155" i="16" s="1"/>
  <c r="M156" i="16"/>
  <c r="N156" i="16" s="1"/>
  <c r="M157" i="16"/>
  <c r="N157" i="16" s="1"/>
  <c r="M158" i="16"/>
  <c r="N158" i="16" s="1"/>
  <c r="M159" i="16"/>
  <c r="N159" i="16" s="1"/>
  <c r="M160" i="16"/>
  <c r="N160" i="16" s="1"/>
  <c r="M161" i="16"/>
  <c r="N161" i="16" s="1"/>
  <c r="M162" i="16"/>
  <c r="N162" i="16" s="1"/>
  <c r="M163" i="16"/>
  <c r="N163" i="16" s="1"/>
  <c r="M164" i="16"/>
  <c r="N164" i="16" s="1"/>
  <c r="M165" i="16"/>
  <c r="N165" i="16" s="1"/>
  <c r="M166" i="16"/>
  <c r="N166" i="16" s="1"/>
  <c r="M167" i="16"/>
  <c r="N167" i="16" s="1"/>
  <c r="M168" i="16"/>
  <c r="N168" i="16" s="1"/>
  <c r="M169" i="16"/>
  <c r="N169" i="16" s="1"/>
  <c r="M170" i="16"/>
  <c r="N170" i="16" s="1"/>
  <c r="M171" i="16"/>
  <c r="N171" i="16" s="1"/>
  <c r="M172" i="16"/>
  <c r="N172" i="16" s="1"/>
  <c r="M173" i="16"/>
  <c r="N173" i="16" s="1"/>
  <c r="M174" i="16"/>
  <c r="N174" i="16" s="1"/>
  <c r="M175" i="16"/>
  <c r="N175" i="16" s="1"/>
  <c r="M176" i="16"/>
  <c r="N176" i="16" s="1"/>
  <c r="M177" i="16"/>
  <c r="N177" i="16" s="1"/>
  <c r="M178" i="16"/>
  <c r="N178" i="16" s="1"/>
  <c r="M179" i="16"/>
  <c r="N179" i="16" s="1"/>
  <c r="M180" i="16"/>
  <c r="N180" i="16" s="1"/>
  <c r="M181" i="16"/>
  <c r="N181" i="16" s="1"/>
  <c r="M182" i="16"/>
  <c r="N182" i="16" s="1"/>
  <c r="M183" i="16"/>
  <c r="N183" i="16" s="1"/>
  <c r="M184" i="16"/>
  <c r="N184" i="16" s="1"/>
  <c r="M185" i="16"/>
  <c r="N185" i="16" s="1"/>
  <c r="M186" i="16"/>
  <c r="N186" i="16" s="1"/>
  <c r="M187" i="16"/>
  <c r="N187" i="16" s="1"/>
  <c r="M188" i="16"/>
  <c r="N188" i="16" s="1"/>
  <c r="M189" i="16"/>
  <c r="N189" i="16" s="1"/>
  <c r="M190" i="16"/>
  <c r="N190" i="16" s="1"/>
  <c r="M191" i="16"/>
  <c r="N191" i="16" s="1"/>
  <c r="M192" i="16"/>
  <c r="N192" i="16" s="1"/>
  <c r="M193" i="16"/>
  <c r="N193" i="16" s="1"/>
  <c r="M194" i="16"/>
  <c r="N194" i="16" s="1"/>
  <c r="M195" i="16"/>
  <c r="N195" i="16" s="1"/>
  <c r="M196" i="16"/>
  <c r="N196" i="16" s="1"/>
  <c r="M197" i="16"/>
  <c r="N197" i="16" s="1"/>
  <c r="M198" i="16"/>
  <c r="N198" i="16" s="1"/>
  <c r="M199" i="16"/>
  <c r="N199" i="16" s="1"/>
  <c r="M200" i="16"/>
  <c r="N200" i="16" s="1"/>
  <c r="M201" i="16"/>
  <c r="N201" i="16" s="1"/>
  <c r="M202" i="16"/>
  <c r="N202" i="16" s="1"/>
  <c r="M203" i="16"/>
  <c r="N203" i="16" s="1"/>
  <c r="M204" i="16"/>
  <c r="N204" i="16" s="1"/>
  <c r="M205" i="16"/>
  <c r="N205" i="16" s="1"/>
  <c r="M206" i="16"/>
  <c r="N206" i="16" s="1"/>
  <c r="M207" i="16"/>
  <c r="N207" i="16" s="1"/>
  <c r="M208" i="16"/>
  <c r="N208" i="16" s="1"/>
  <c r="M209" i="16"/>
  <c r="N209" i="16" s="1"/>
  <c r="M210" i="16"/>
  <c r="N210" i="16" s="1"/>
  <c r="M211" i="16"/>
  <c r="N211" i="16" s="1"/>
  <c r="M212" i="16"/>
  <c r="N212" i="16" s="1"/>
  <c r="M213" i="16"/>
  <c r="N213" i="16" s="1"/>
  <c r="M214" i="16"/>
  <c r="N214" i="16" s="1"/>
  <c r="M215" i="16"/>
  <c r="N215" i="16" s="1"/>
  <c r="M216" i="16"/>
  <c r="N216" i="16" s="1"/>
  <c r="M217" i="16"/>
  <c r="N217" i="16" s="1"/>
  <c r="M218" i="16"/>
  <c r="N218" i="16" s="1"/>
  <c r="M219" i="16"/>
  <c r="N219" i="16" s="1"/>
  <c r="M220" i="16"/>
  <c r="N220" i="16" s="1"/>
  <c r="M221" i="16"/>
  <c r="N221" i="16" s="1"/>
  <c r="M222" i="16"/>
  <c r="N222" i="16" s="1"/>
  <c r="M223" i="16"/>
  <c r="N223" i="16" s="1"/>
  <c r="M224" i="16"/>
  <c r="N224" i="16" s="1"/>
  <c r="M225" i="16"/>
  <c r="N225" i="16" s="1"/>
  <c r="M226" i="16"/>
  <c r="N226" i="16" s="1"/>
  <c r="M227" i="16"/>
  <c r="N227" i="16" s="1"/>
  <c r="M228" i="16"/>
  <c r="N228" i="16" s="1"/>
  <c r="M229" i="16"/>
  <c r="N229" i="16" s="1"/>
  <c r="M230" i="16"/>
  <c r="N230" i="16" s="1"/>
  <c r="M231" i="16"/>
  <c r="N231" i="16" s="1"/>
  <c r="M232" i="16"/>
  <c r="N232" i="16" s="1"/>
  <c r="M233" i="16"/>
  <c r="N233" i="16" s="1"/>
  <c r="M234" i="16"/>
  <c r="N234" i="16" s="1"/>
  <c r="M235" i="16"/>
  <c r="N235" i="16" s="1"/>
  <c r="M236" i="16"/>
  <c r="N236" i="16" s="1"/>
  <c r="M237" i="16"/>
  <c r="N237" i="16" s="1"/>
  <c r="M238" i="16"/>
  <c r="N238" i="16" s="1"/>
  <c r="M239" i="16"/>
  <c r="N239" i="16" s="1"/>
  <c r="M240" i="16"/>
  <c r="N240" i="16" s="1"/>
  <c r="M241" i="16"/>
  <c r="N241" i="16" s="1"/>
  <c r="M242" i="16"/>
  <c r="N242" i="16" s="1"/>
  <c r="M243" i="16"/>
  <c r="N243" i="16" s="1"/>
  <c r="M244" i="16"/>
  <c r="N244" i="16" s="1"/>
  <c r="M245" i="16"/>
  <c r="N245" i="16" s="1"/>
  <c r="M246" i="16"/>
  <c r="N246" i="16" s="1"/>
  <c r="M247" i="16"/>
  <c r="N247" i="16" s="1"/>
  <c r="M248" i="16"/>
  <c r="N248" i="16" s="1"/>
  <c r="M249" i="16"/>
  <c r="N249" i="16" s="1"/>
  <c r="M250" i="16"/>
  <c r="N250" i="16" s="1"/>
  <c r="M251" i="16"/>
  <c r="N251" i="16" s="1"/>
  <c r="M252" i="16"/>
  <c r="N252" i="16" s="1"/>
  <c r="M253" i="16"/>
  <c r="N253" i="16" s="1"/>
  <c r="M254" i="16"/>
  <c r="N254" i="16" s="1"/>
  <c r="M255" i="16"/>
  <c r="N255" i="16" s="1"/>
  <c r="M256" i="16"/>
  <c r="N256" i="16" s="1"/>
  <c r="M257" i="16"/>
  <c r="N257" i="16" s="1"/>
  <c r="M258" i="16"/>
  <c r="N258" i="16" s="1"/>
  <c r="M259" i="16"/>
  <c r="N259" i="16" s="1"/>
  <c r="M260" i="16"/>
  <c r="N260" i="16" s="1"/>
  <c r="M261" i="16"/>
  <c r="N261" i="16" s="1"/>
  <c r="M262" i="16"/>
  <c r="N262" i="16" s="1"/>
  <c r="M263" i="16"/>
  <c r="N263" i="16" s="1"/>
  <c r="M264" i="16"/>
  <c r="N264" i="16" s="1"/>
  <c r="M265" i="16"/>
  <c r="N265" i="16" s="1"/>
  <c r="M266" i="16"/>
  <c r="N266" i="16" s="1"/>
  <c r="M267" i="16"/>
  <c r="N267" i="16" s="1"/>
  <c r="M268" i="16"/>
  <c r="N268" i="16" s="1"/>
  <c r="M269" i="16"/>
  <c r="N269" i="16" s="1"/>
  <c r="M270" i="16"/>
  <c r="N270" i="16" s="1"/>
  <c r="M271" i="16"/>
  <c r="N271" i="16" s="1"/>
  <c r="M272" i="16"/>
  <c r="N272" i="16" s="1"/>
  <c r="M273" i="16"/>
  <c r="N273" i="16" s="1"/>
  <c r="M274" i="16"/>
  <c r="N274" i="16" s="1"/>
  <c r="M275" i="16"/>
  <c r="N275" i="16" s="1"/>
  <c r="M276" i="16"/>
  <c r="N276" i="16" s="1"/>
  <c r="M277" i="16"/>
  <c r="N277" i="16" s="1"/>
  <c r="M278" i="16"/>
  <c r="N278" i="16" s="1"/>
  <c r="M279" i="16"/>
  <c r="N279" i="16" s="1"/>
  <c r="M280" i="16"/>
  <c r="N280" i="16" s="1"/>
  <c r="M281" i="16"/>
  <c r="N281" i="16" s="1"/>
  <c r="M282" i="16"/>
  <c r="N282" i="16" s="1"/>
  <c r="M283" i="16"/>
  <c r="N283" i="16" s="1"/>
  <c r="M284" i="16"/>
  <c r="N284" i="16" s="1"/>
  <c r="M285" i="16"/>
  <c r="N285" i="16" s="1"/>
  <c r="M286" i="16"/>
  <c r="N286" i="16" s="1"/>
  <c r="M287" i="16"/>
  <c r="N287" i="16" s="1"/>
  <c r="M288" i="16"/>
  <c r="N288" i="16" s="1"/>
  <c r="M289" i="16"/>
  <c r="N289" i="16" s="1"/>
  <c r="M290" i="16"/>
  <c r="N290" i="16" s="1"/>
  <c r="M291" i="16"/>
  <c r="N291" i="16" s="1"/>
  <c r="M292" i="16"/>
  <c r="N292" i="16" s="1"/>
  <c r="M293" i="16"/>
  <c r="N293" i="16" s="1"/>
  <c r="M294" i="16"/>
  <c r="N294" i="16" s="1"/>
  <c r="M295" i="16"/>
  <c r="N295" i="16" s="1"/>
  <c r="M296" i="16"/>
  <c r="N296" i="16" s="1"/>
  <c r="M297" i="16"/>
  <c r="N297" i="16" s="1"/>
  <c r="M298" i="16"/>
  <c r="N298" i="16" s="1"/>
  <c r="M299" i="16"/>
  <c r="N299" i="16" s="1"/>
  <c r="M300" i="16"/>
  <c r="N300" i="16" s="1"/>
  <c r="M301" i="16"/>
  <c r="N301" i="16" s="1"/>
  <c r="M302" i="16"/>
  <c r="N302" i="16" s="1"/>
  <c r="M303" i="16"/>
  <c r="N303" i="16" s="1"/>
  <c r="M304" i="16"/>
  <c r="N304" i="16" s="1"/>
  <c r="M305" i="16"/>
  <c r="N305" i="16" s="1"/>
  <c r="M306" i="16"/>
  <c r="N306" i="16" s="1"/>
  <c r="M307" i="16"/>
  <c r="N307" i="16" s="1"/>
  <c r="M308" i="16"/>
  <c r="N308" i="16" s="1"/>
  <c r="M309" i="16"/>
  <c r="N309" i="16" s="1"/>
  <c r="M310" i="16"/>
  <c r="N310" i="16" s="1"/>
  <c r="M311" i="16"/>
  <c r="N311" i="16" s="1"/>
  <c r="M312" i="16"/>
  <c r="N312" i="16" s="1"/>
  <c r="M313" i="16"/>
  <c r="N313" i="16" s="1"/>
  <c r="M314" i="16"/>
  <c r="N314" i="16" s="1"/>
  <c r="M315" i="16"/>
  <c r="N315" i="16" s="1"/>
  <c r="M316" i="16"/>
  <c r="N316" i="16" s="1"/>
  <c r="M317" i="16"/>
  <c r="N317" i="16" s="1"/>
  <c r="M318" i="16"/>
  <c r="N318" i="16" s="1"/>
  <c r="M319" i="16"/>
  <c r="N319" i="16" s="1"/>
  <c r="M320" i="16"/>
  <c r="N320" i="16" s="1"/>
  <c r="M321" i="16"/>
  <c r="N321" i="16" s="1"/>
  <c r="M322" i="16"/>
  <c r="N322" i="16" s="1"/>
  <c r="M323" i="16"/>
  <c r="N323" i="16" s="1"/>
  <c r="M324" i="16"/>
  <c r="N324" i="16" s="1"/>
  <c r="M325" i="16"/>
  <c r="N325" i="16" s="1"/>
  <c r="M326" i="16"/>
  <c r="N326" i="16" s="1"/>
  <c r="M327" i="16"/>
  <c r="N327" i="16" s="1"/>
  <c r="M328" i="16"/>
  <c r="N328" i="16" s="1"/>
  <c r="M329" i="16"/>
  <c r="N329" i="16" s="1"/>
  <c r="M330" i="16"/>
  <c r="N330" i="16" s="1"/>
  <c r="M331" i="16"/>
  <c r="N331" i="16" s="1"/>
  <c r="M332" i="16"/>
  <c r="N332" i="16" s="1"/>
  <c r="M333" i="16"/>
  <c r="N333" i="16" s="1"/>
  <c r="M334" i="16"/>
  <c r="N334" i="16" s="1"/>
  <c r="M335" i="16"/>
  <c r="N335" i="16" s="1"/>
  <c r="M336" i="16"/>
  <c r="N336" i="16" s="1"/>
  <c r="M337" i="16"/>
  <c r="N337" i="16" s="1"/>
  <c r="M338" i="16"/>
  <c r="N338" i="16" s="1"/>
  <c r="M339" i="16"/>
  <c r="N339" i="16" s="1"/>
  <c r="M340" i="16"/>
  <c r="N340" i="16" s="1"/>
  <c r="M341" i="16"/>
  <c r="N341" i="16" s="1"/>
  <c r="M342" i="16"/>
  <c r="N342" i="16" s="1"/>
  <c r="M343" i="16"/>
  <c r="N343" i="16" s="1"/>
  <c r="M344" i="16"/>
  <c r="N344" i="16" s="1"/>
  <c r="M345" i="16"/>
  <c r="N345" i="16" s="1"/>
  <c r="M346" i="16"/>
  <c r="N346" i="16" s="1"/>
  <c r="M347" i="16"/>
  <c r="N347" i="16" s="1"/>
  <c r="M348" i="16"/>
  <c r="N348" i="16" s="1"/>
  <c r="M349" i="16"/>
  <c r="N349" i="16" s="1"/>
  <c r="M350" i="16"/>
  <c r="N350" i="16" s="1"/>
  <c r="M351" i="16"/>
  <c r="N351" i="16" s="1"/>
  <c r="M352" i="16"/>
  <c r="N352" i="16" s="1"/>
  <c r="M353" i="16"/>
  <c r="N353" i="16" s="1"/>
  <c r="M354" i="16"/>
  <c r="N354" i="16" s="1"/>
  <c r="M355" i="16"/>
  <c r="N355" i="16" s="1"/>
  <c r="M356" i="16"/>
  <c r="N356" i="16" s="1"/>
  <c r="M357" i="16"/>
  <c r="N357" i="16" s="1"/>
  <c r="M358" i="16"/>
  <c r="N358" i="16" s="1"/>
  <c r="M359" i="16"/>
  <c r="N359" i="16" s="1"/>
  <c r="M360" i="16"/>
  <c r="N360" i="16" s="1"/>
  <c r="M361" i="16"/>
  <c r="N361" i="16" s="1"/>
  <c r="M362" i="16"/>
  <c r="N362" i="16" s="1"/>
  <c r="M363" i="16"/>
  <c r="N363" i="16" s="1"/>
  <c r="M364" i="16"/>
  <c r="N364" i="16" s="1"/>
  <c r="M365" i="16"/>
  <c r="N365" i="16" s="1"/>
  <c r="M366" i="16"/>
  <c r="N366" i="16" s="1"/>
  <c r="M367" i="16"/>
  <c r="N367" i="16" s="1"/>
  <c r="M368" i="16"/>
  <c r="N368" i="16" s="1"/>
  <c r="M369" i="16"/>
  <c r="N369" i="16" s="1"/>
  <c r="M370" i="16"/>
  <c r="N370" i="16" s="1"/>
  <c r="M371" i="16"/>
  <c r="N371" i="16" s="1"/>
  <c r="M372" i="16"/>
  <c r="N372" i="16" s="1"/>
  <c r="M373" i="16"/>
  <c r="N373" i="16" s="1"/>
  <c r="M374" i="16"/>
  <c r="N374" i="16" s="1"/>
  <c r="M375" i="16"/>
  <c r="N375" i="16" s="1"/>
  <c r="M376" i="16"/>
  <c r="N376" i="16" s="1"/>
  <c r="M377" i="16"/>
  <c r="N377" i="16" s="1"/>
  <c r="M378" i="16"/>
  <c r="N378" i="16" s="1"/>
  <c r="M379" i="16"/>
  <c r="N379" i="16" s="1"/>
  <c r="M380" i="16"/>
  <c r="N380" i="16" s="1"/>
  <c r="M381" i="16"/>
  <c r="N381" i="16" s="1"/>
  <c r="M382" i="16"/>
  <c r="N382" i="16" s="1"/>
  <c r="M383" i="16"/>
  <c r="N383" i="16" s="1"/>
  <c r="M384" i="16"/>
  <c r="N384" i="16" s="1"/>
  <c r="M385" i="16"/>
  <c r="N385" i="16" s="1"/>
  <c r="M386" i="16"/>
  <c r="N386" i="16" s="1"/>
  <c r="M387" i="16"/>
  <c r="N387" i="16" s="1"/>
  <c r="M388" i="16"/>
  <c r="N388" i="16" s="1"/>
  <c r="M389" i="16"/>
  <c r="N389" i="16" s="1"/>
  <c r="M390" i="16"/>
  <c r="N390" i="16" s="1"/>
  <c r="M391" i="16"/>
  <c r="N391" i="16" s="1"/>
  <c r="M392" i="16"/>
  <c r="N392" i="16" s="1"/>
  <c r="M393" i="16"/>
  <c r="N393" i="16" s="1"/>
  <c r="M394" i="16"/>
  <c r="N394" i="16" s="1"/>
  <c r="M395" i="16"/>
  <c r="N395" i="16" s="1"/>
  <c r="M396" i="16"/>
  <c r="N396" i="16" s="1"/>
  <c r="M397" i="16"/>
  <c r="N397" i="16" s="1"/>
  <c r="M398" i="16"/>
  <c r="N398" i="16" s="1"/>
  <c r="M399" i="16"/>
  <c r="N399" i="16" s="1"/>
  <c r="M400" i="16"/>
  <c r="N400" i="16" s="1"/>
  <c r="M401" i="16"/>
  <c r="N401" i="16" s="1"/>
  <c r="M402" i="16"/>
  <c r="N402" i="16" s="1"/>
  <c r="M403" i="16"/>
  <c r="N403" i="16" s="1"/>
  <c r="M404" i="16"/>
  <c r="N404" i="16" s="1"/>
  <c r="M405" i="16"/>
  <c r="N405" i="16" s="1"/>
  <c r="M406" i="16"/>
  <c r="N406" i="16" s="1"/>
  <c r="M407" i="16"/>
  <c r="N407" i="16" s="1"/>
  <c r="M408" i="16"/>
  <c r="N408" i="16" s="1"/>
  <c r="M409" i="16"/>
  <c r="N409" i="16" s="1"/>
  <c r="M410" i="16"/>
  <c r="N410" i="16" s="1"/>
  <c r="M411" i="16"/>
  <c r="N411" i="16" s="1"/>
  <c r="M412" i="16"/>
  <c r="N412" i="16" s="1"/>
  <c r="M413" i="16"/>
  <c r="N413" i="16" s="1"/>
  <c r="M414" i="16"/>
  <c r="N414" i="16" s="1"/>
  <c r="M415" i="16"/>
  <c r="N415" i="16" s="1"/>
  <c r="M416" i="16"/>
  <c r="N416" i="16" s="1"/>
  <c r="M417" i="16"/>
  <c r="N417" i="16" s="1"/>
  <c r="M418" i="16"/>
  <c r="N418" i="16" s="1"/>
  <c r="M419" i="16"/>
  <c r="N419" i="16" s="1"/>
  <c r="M420" i="16"/>
  <c r="N420" i="16" s="1"/>
  <c r="M421" i="16"/>
  <c r="N421" i="16" s="1"/>
  <c r="M422" i="16"/>
  <c r="N422" i="16" s="1"/>
  <c r="M423" i="16"/>
  <c r="N423" i="16" s="1"/>
  <c r="M424" i="16"/>
  <c r="N424" i="16" s="1"/>
  <c r="M425" i="16"/>
  <c r="N425" i="16" s="1"/>
  <c r="M426" i="16"/>
  <c r="N426" i="16" s="1"/>
  <c r="M427" i="16"/>
  <c r="N427" i="16" s="1"/>
  <c r="M428" i="16"/>
  <c r="N428" i="16" s="1"/>
  <c r="M429" i="16"/>
  <c r="N429" i="16" s="1"/>
  <c r="M430" i="16"/>
  <c r="N430" i="16" s="1"/>
  <c r="M431" i="16"/>
  <c r="N431" i="16" s="1"/>
  <c r="M432" i="16"/>
  <c r="N432" i="16" s="1"/>
  <c r="M433" i="16"/>
  <c r="N433" i="16" s="1"/>
  <c r="M434" i="16"/>
  <c r="N434" i="16" s="1"/>
  <c r="M435" i="16"/>
  <c r="N435" i="16" s="1"/>
  <c r="M436" i="16"/>
  <c r="N436" i="16" s="1"/>
  <c r="M437" i="16"/>
  <c r="N437" i="16" s="1"/>
  <c r="M438" i="16"/>
  <c r="N438" i="16" s="1"/>
  <c r="M439" i="16"/>
  <c r="N439" i="16" s="1"/>
  <c r="M440" i="16"/>
  <c r="N440" i="16" s="1"/>
  <c r="M441" i="16"/>
  <c r="N441" i="16" s="1"/>
  <c r="M442" i="16"/>
  <c r="N442" i="16" s="1"/>
  <c r="M443" i="16"/>
  <c r="N443" i="16" s="1"/>
  <c r="M444" i="16"/>
  <c r="N444" i="16" s="1"/>
  <c r="M445" i="16"/>
  <c r="N445" i="16" s="1"/>
  <c r="M446" i="16"/>
  <c r="N446" i="16" s="1"/>
  <c r="M447" i="16"/>
  <c r="N447" i="16" s="1"/>
  <c r="M448" i="16"/>
  <c r="N448" i="16" s="1"/>
  <c r="M449" i="16"/>
  <c r="N449" i="16" s="1"/>
  <c r="M450" i="16"/>
  <c r="N450" i="16" s="1"/>
  <c r="M451" i="16"/>
  <c r="N451" i="16" s="1"/>
  <c r="M452" i="16"/>
  <c r="N452" i="16" s="1"/>
  <c r="M453" i="16"/>
  <c r="N453" i="16" s="1"/>
  <c r="M454" i="16"/>
  <c r="N454" i="16" s="1"/>
  <c r="M455" i="16"/>
  <c r="N455" i="16" s="1"/>
  <c r="M456" i="16"/>
  <c r="N456" i="16" s="1"/>
  <c r="M457" i="16"/>
  <c r="N457" i="16" s="1"/>
  <c r="M458" i="16"/>
  <c r="N458" i="16" s="1"/>
  <c r="M459" i="16"/>
  <c r="N459" i="16" s="1"/>
  <c r="M460" i="16"/>
  <c r="N460" i="16" s="1"/>
  <c r="M461" i="16"/>
  <c r="N461" i="16" s="1"/>
  <c r="M462" i="16"/>
  <c r="N462" i="16" s="1"/>
  <c r="M463" i="16"/>
  <c r="N463" i="16" s="1"/>
  <c r="M464" i="16"/>
  <c r="N464" i="16" s="1"/>
  <c r="M465" i="16"/>
  <c r="N465" i="16" s="1"/>
  <c r="M466" i="16"/>
  <c r="N466" i="16" s="1"/>
  <c r="M467" i="16"/>
  <c r="N467" i="16" s="1"/>
  <c r="M468" i="16"/>
  <c r="N468" i="16" s="1"/>
  <c r="M469" i="16"/>
  <c r="N469" i="16" s="1"/>
  <c r="M470" i="16"/>
  <c r="N470" i="16" s="1"/>
  <c r="M471" i="16"/>
  <c r="N471" i="16" s="1"/>
  <c r="M472" i="16"/>
  <c r="N472" i="16" s="1"/>
  <c r="M473" i="16"/>
  <c r="N473" i="16" s="1"/>
  <c r="M474" i="16"/>
  <c r="N474" i="16" s="1"/>
  <c r="M475" i="16"/>
  <c r="N475" i="16" s="1"/>
  <c r="M476" i="16"/>
  <c r="N476" i="16" s="1"/>
  <c r="M477" i="16"/>
  <c r="N477" i="16" s="1"/>
  <c r="M478" i="16"/>
  <c r="N478" i="16" s="1"/>
  <c r="M479" i="16"/>
  <c r="N479" i="16" s="1"/>
  <c r="M480" i="16"/>
  <c r="N480" i="16" s="1"/>
  <c r="M481" i="16"/>
  <c r="N481" i="16" s="1"/>
  <c r="M482" i="16"/>
  <c r="N482" i="16" s="1"/>
  <c r="M483" i="16"/>
  <c r="N483" i="16" s="1"/>
  <c r="M484" i="16"/>
  <c r="N484" i="16" s="1"/>
  <c r="M485" i="16"/>
  <c r="N485" i="16" s="1"/>
  <c r="M486" i="16"/>
  <c r="N486" i="16" s="1"/>
  <c r="M487" i="16"/>
  <c r="N487" i="16" s="1"/>
  <c r="M488" i="16"/>
  <c r="N488" i="16" s="1"/>
  <c r="M489" i="16"/>
  <c r="N489" i="16" s="1"/>
  <c r="M490" i="16"/>
  <c r="N490" i="16" s="1"/>
  <c r="M491" i="16"/>
  <c r="N491" i="16" s="1"/>
  <c r="M492" i="16"/>
  <c r="N492" i="16" s="1"/>
  <c r="M493" i="16"/>
  <c r="N493" i="16" s="1"/>
  <c r="M494" i="16"/>
  <c r="N494" i="16" s="1"/>
  <c r="M495" i="16"/>
  <c r="N495" i="16" s="1"/>
  <c r="M496" i="16"/>
  <c r="N496" i="16" s="1"/>
  <c r="M497" i="16"/>
  <c r="N497" i="16" s="1"/>
  <c r="M498" i="16"/>
  <c r="N498" i="16" s="1"/>
  <c r="M499" i="16"/>
  <c r="N499" i="16" s="1"/>
  <c r="M500" i="16"/>
  <c r="N500" i="16" s="1"/>
  <c r="M501" i="16"/>
  <c r="N501" i="16" s="1"/>
  <c r="M502" i="16"/>
  <c r="N502" i="16" s="1"/>
  <c r="M503" i="16"/>
  <c r="N503" i="16" s="1"/>
  <c r="M504" i="16"/>
  <c r="N504" i="16" s="1"/>
  <c r="M505" i="16"/>
  <c r="N505" i="16" s="1"/>
  <c r="M506" i="16"/>
  <c r="N506" i="16" s="1"/>
  <c r="M507" i="16"/>
  <c r="N507" i="16" s="1"/>
  <c r="M508" i="16"/>
  <c r="N508" i="16" s="1"/>
  <c r="M509" i="16"/>
  <c r="N509" i="16" s="1"/>
  <c r="M510" i="16"/>
  <c r="N510" i="16" s="1"/>
  <c r="M511" i="16"/>
  <c r="N511" i="16" s="1"/>
  <c r="M512" i="16"/>
  <c r="N512" i="16" s="1"/>
  <c r="M513" i="16"/>
  <c r="N513" i="16" s="1"/>
  <c r="M514" i="16"/>
  <c r="N514" i="16" s="1"/>
  <c r="M515" i="16"/>
  <c r="N515" i="16" s="1"/>
  <c r="M516" i="16"/>
  <c r="N516" i="16" s="1"/>
  <c r="M517" i="16"/>
  <c r="N517" i="16" s="1"/>
  <c r="M518" i="16"/>
  <c r="N518" i="16" s="1"/>
  <c r="M519" i="16"/>
  <c r="N519" i="16" s="1"/>
  <c r="L2" i="16"/>
  <c r="L3" i="16"/>
  <c r="L4" i="16"/>
  <c r="L5" i="16"/>
  <c r="L6" i="16"/>
  <c r="L7" i="16"/>
  <c r="L8" i="16"/>
  <c r="L9" i="16"/>
  <c r="L10" i="16"/>
  <c r="L11" i="16"/>
  <c r="L12" i="16"/>
  <c r="L13" i="16"/>
  <c r="L14" i="16"/>
  <c r="L15" i="16"/>
  <c r="L16" i="16"/>
  <c r="L17" i="16"/>
  <c r="L18" i="16"/>
  <c r="L19" i="16"/>
  <c r="L20" i="16"/>
  <c r="L21" i="16"/>
  <c r="L22" i="16"/>
  <c r="L23" i="16"/>
  <c r="L24" i="16"/>
  <c r="L25" i="16"/>
  <c r="L26" i="16"/>
  <c r="L27" i="16"/>
  <c r="L28" i="16"/>
  <c r="L29" i="16"/>
  <c r="L30" i="16"/>
  <c r="L31" i="16"/>
  <c r="L32" i="16"/>
  <c r="L33" i="16"/>
  <c r="L34" i="16"/>
  <c r="L35" i="16"/>
  <c r="L36" i="16"/>
  <c r="L37" i="16"/>
  <c r="L38" i="16"/>
  <c r="L39" i="16"/>
  <c r="L40" i="16"/>
  <c r="L41" i="16"/>
  <c r="L42" i="16"/>
  <c r="L43" i="16"/>
  <c r="L44" i="16"/>
  <c r="L45" i="16"/>
  <c r="L46" i="16"/>
  <c r="L47" i="16"/>
  <c r="L48" i="16"/>
  <c r="L49" i="16"/>
  <c r="L50" i="16"/>
  <c r="L51" i="16"/>
  <c r="L52" i="16"/>
  <c r="L53" i="16"/>
  <c r="L54" i="16"/>
  <c r="L55" i="16"/>
  <c r="L56" i="16"/>
  <c r="L57" i="16"/>
  <c r="L58" i="16"/>
  <c r="L59" i="16"/>
  <c r="L60" i="16"/>
  <c r="L61" i="16"/>
  <c r="L62" i="16"/>
  <c r="L63" i="16"/>
  <c r="L64" i="16"/>
  <c r="L65" i="16"/>
  <c r="L66" i="16"/>
  <c r="L67" i="16"/>
  <c r="L68" i="16"/>
  <c r="L69" i="16"/>
  <c r="L70" i="16"/>
  <c r="L71" i="16"/>
  <c r="L72" i="16"/>
  <c r="L73" i="16"/>
  <c r="L74" i="16"/>
  <c r="L75" i="16"/>
  <c r="L76" i="16"/>
  <c r="L77" i="16"/>
  <c r="L78" i="16"/>
  <c r="L79" i="16"/>
  <c r="L80" i="16"/>
  <c r="L81" i="16"/>
  <c r="L82" i="16"/>
  <c r="L83" i="16"/>
  <c r="L84" i="16"/>
  <c r="L85" i="16"/>
  <c r="L86" i="16"/>
  <c r="L87" i="16"/>
  <c r="L88" i="16"/>
  <c r="L89" i="16"/>
  <c r="L90" i="16"/>
  <c r="L91" i="16"/>
  <c r="L92" i="16"/>
  <c r="L93" i="16"/>
  <c r="L94" i="16"/>
  <c r="L95" i="16"/>
  <c r="L96" i="16"/>
  <c r="L97" i="16"/>
  <c r="L98" i="16"/>
  <c r="L99" i="16"/>
  <c r="L100" i="16"/>
  <c r="L101" i="16"/>
  <c r="L102" i="16"/>
  <c r="L103" i="16"/>
  <c r="L104" i="16"/>
  <c r="L105" i="16"/>
  <c r="L106" i="16"/>
  <c r="L107" i="16"/>
  <c r="L108" i="16"/>
  <c r="L109" i="16"/>
  <c r="L110" i="16"/>
  <c r="L111" i="16"/>
  <c r="L112" i="16"/>
  <c r="L113" i="16"/>
  <c r="L114" i="16"/>
  <c r="L115" i="16"/>
  <c r="L116" i="16"/>
  <c r="L117" i="16"/>
  <c r="L118" i="16"/>
  <c r="L119" i="16"/>
  <c r="L120" i="16"/>
  <c r="L121" i="16"/>
  <c r="L122" i="16"/>
  <c r="L123" i="16"/>
  <c r="L124" i="16"/>
  <c r="L125" i="16"/>
  <c r="L126" i="16"/>
  <c r="L127" i="16"/>
  <c r="L128" i="16"/>
  <c r="L129" i="16"/>
  <c r="L130" i="16"/>
  <c r="L131" i="16"/>
  <c r="L132" i="16"/>
  <c r="L133" i="16"/>
  <c r="L134" i="16"/>
  <c r="L135" i="16"/>
  <c r="L136" i="16"/>
  <c r="L137" i="16"/>
  <c r="L138" i="16"/>
  <c r="L139" i="16"/>
  <c r="L140" i="16"/>
  <c r="L141" i="16"/>
  <c r="L142" i="16"/>
  <c r="L143" i="16"/>
  <c r="L144" i="16"/>
  <c r="L145" i="16"/>
  <c r="L146" i="16"/>
  <c r="L147" i="16"/>
  <c r="L148" i="16"/>
  <c r="L149" i="16"/>
  <c r="L150" i="16"/>
  <c r="L151" i="16"/>
  <c r="L152" i="16"/>
  <c r="L153" i="16"/>
  <c r="L154" i="16"/>
  <c r="L155" i="16"/>
  <c r="L156" i="16"/>
  <c r="L157" i="16"/>
  <c r="L158" i="16"/>
  <c r="L159" i="16"/>
  <c r="L160" i="16"/>
  <c r="L161" i="16"/>
  <c r="L162" i="16"/>
  <c r="L163" i="16"/>
  <c r="L164" i="16"/>
  <c r="L165" i="16"/>
  <c r="L166" i="16"/>
  <c r="L167" i="16"/>
  <c r="L168" i="16"/>
  <c r="L169" i="16"/>
  <c r="L170" i="16"/>
  <c r="L171" i="16"/>
  <c r="L172" i="16"/>
  <c r="L173" i="16"/>
  <c r="L174" i="16"/>
  <c r="L175" i="16"/>
  <c r="L176" i="16"/>
  <c r="L177" i="16"/>
  <c r="L178" i="16"/>
  <c r="L179" i="16"/>
  <c r="L180" i="16"/>
  <c r="L181" i="16"/>
  <c r="L182" i="16"/>
  <c r="L183" i="16"/>
  <c r="L184" i="16"/>
  <c r="L185" i="16"/>
  <c r="L186" i="16"/>
  <c r="L187" i="16"/>
  <c r="L188" i="16"/>
  <c r="L189" i="16"/>
  <c r="L190" i="16"/>
  <c r="L191" i="16"/>
  <c r="L192" i="16"/>
  <c r="L193" i="16"/>
  <c r="L194" i="16"/>
  <c r="L195" i="16"/>
  <c r="L196" i="16"/>
  <c r="L197" i="16"/>
  <c r="L198" i="16"/>
  <c r="L199" i="16"/>
  <c r="L200" i="16"/>
  <c r="L201" i="16"/>
  <c r="L202" i="16"/>
  <c r="L203" i="16"/>
  <c r="L204" i="16"/>
  <c r="L205" i="16"/>
  <c r="L206" i="16"/>
  <c r="L207" i="16"/>
  <c r="L208" i="16"/>
  <c r="L209" i="16"/>
  <c r="L210" i="16"/>
  <c r="L211" i="16"/>
  <c r="L212" i="16"/>
  <c r="L213" i="16"/>
  <c r="L214" i="16"/>
  <c r="L215" i="16"/>
  <c r="L216" i="16"/>
  <c r="L217" i="16"/>
  <c r="L218" i="16"/>
  <c r="L219" i="16"/>
  <c r="L220" i="16"/>
  <c r="L221" i="16"/>
  <c r="L222" i="16"/>
  <c r="L223" i="16"/>
  <c r="L224" i="16"/>
  <c r="L225" i="16"/>
  <c r="L226" i="16"/>
  <c r="L227" i="16"/>
  <c r="L228" i="16"/>
  <c r="L229" i="16"/>
  <c r="L230" i="16"/>
  <c r="L231" i="16"/>
  <c r="L232" i="16"/>
  <c r="L233" i="16"/>
  <c r="L234" i="16"/>
  <c r="L235" i="16"/>
  <c r="L236" i="16"/>
  <c r="L237" i="16"/>
  <c r="L238" i="16"/>
  <c r="L239" i="16"/>
  <c r="L240" i="16"/>
  <c r="L241" i="16"/>
  <c r="L242" i="16"/>
  <c r="L243" i="16"/>
  <c r="L244" i="16"/>
  <c r="L245" i="16"/>
  <c r="L246" i="16"/>
  <c r="L247" i="16"/>
  <c r="L248" i="16"/>
  <c r="L249" i="16"/>
  <c r="L250" i="16"/>
  <c r="L251" i="16"/>
  <c r="L252" i="16"/>
  <c r="L253" i="16"/>
  <c r="L254" i="16"/>
  <c r="L255" i="16"/>
  <c r="L256" i="16"/>
  <c r="L257" i="16"/>
  <c r="L258" i="16"/>
  <c r="L259" i="16"/>
  <c r="L260" i="16"/>
  <c r="L261" i="16"/>
  <c r="L262" i="16"/>
  <c r="L263" i="16"/>
  <c r="L264" i="16"/>
  <c r="L265" i="16"/>
  <c r="L266" i="16"/>
  <c r="L267" i="16"/>
  <c r="L268" i="16"/>
  <c r="L269" i="16"/>
  <c r="L270" i="16"/>
  <c r="L271" i="16"/>
  <c r="L272" i="16"/>
  <c r="L273" i="16"/>
  <c r="L274" i="16"/>
  <c r="L275" i="16"/>
  <c r="L276" i="16"/>
  <c r="L277" i="16"/>
  <c r="L278" i="16"/>
  <c r="L279" i="16"/>
  <c r="L280" i="16"/>
  <c r="L281" i="16"/>
  <c r="L282" i="16"/>
  <c r="L283" i="16"/>
  <c r="L284" i="16"/>
  <c r="L285" i="16"/>
  <c r="L286" i="16"/>
  <c r="L287" i="16"/>
  <c r="L288" i="16"/>
  <c r="L289" i="16"/>
  <c r="L290" i="16"/>
  <c r="L291" i="16"/>
  <c r="L292" i="16"/>
  <c r="L293" i="16"/>
  <c r="L294" i="16"/>
  <c r="L295" i="16"/>
  <c r="L296" i="16"/>
  <c r="L297" i="16"/>
  <c r="L298" i="16"/>
  <c r="L299" i="16"/>
  <c r="L300" i="16"/>
  <c r="L301" i="16"/>
  <c r="L302" i="16"/>
  <c r="L303" i="16"/>
  <c r="L304" i="16"/>
  <c r="L305" i="16"/>
  <c r="L306" i="16"/>
  <c r="L307" i="16"/>
  <c r="L308" i="16"/>
  <c r="L309" i="16"/>
  <c r="L310" i="16"/>
  <c r="L311" i="16"/>
  <c r="L312" i="16"/>
  <c r="L313" i="16"/>
  <c r="L314" i="16"/>
  <c r="L315" i="16"/>
  <c r="L316" i="16"/>
  <c r="L317" i="16"/>
  <c r="L318" i="16"/>
  <c r="L319" i="16"/>
  <c r="L320" i="16"/>
  <c r="L321" i="16"/>
  <c r="L322" i="16"/>
  <c r="L323" i="16"/>
  <c r="L324" i="16"/>
  <c r="L325" i="16"/>
  <c r="L326" i="16"/>
  <c r="L327" i="16"/>
  <c r="L328" i="16"/>
  <c r="L329" i="16"/>
  <c r="L330" i="16"/>
  <c r="L331" i="16"/>
  <c r="L332" i="16"/>
  <c r="L333" i="16"/>
  <c r="L334" i="16"/>
  <c r="L335" i="16"/>
  <c r="L336" i="16"/>
  <c r="L337" i="16"/>
  <c r="L338" i="16"/>
  <c r="L339" i="16"/>
  <c r="L340" i="16"/>
  <c r="L341" i="16"/>
  <c r="L342" i="16"/>
  <c r="L343" i="16"/>
  <c r="L344" i="16"/>
  <c r="L345" i="16"/>
  <c r="L346" i="16"/>
  <c r="L347" i="16"/>
  <c r="L348" i="16"/>
  <c r="L349" i="16"/>
  <c r="L350" i="16"/>
  <c r="L351" i="16"/>
  <c r="L352" i="16"/>
  <c r="L353" i="16"/>
  <c r="L354" i="16"/>
  <c r="L355" i="16"/>
  <c r="L356" i="16"/>
  <c r="L357" i="16"/>
  <c r="L358" i="16"/>
  <c r="L359" i="16"/>
  <c r="L360" i="16"/>
  <c r="L361" i="16"/>
  <c r="L362" i="16"/>
  <c r="L363" i="16"/>
  <c r="L364" i="16"/>
  <c r="L365" i="16"/>
  <c r="L366" i="16"/>
  <c r="L367" i="16"/>
  <c r="L368" i="16"/>
  <c r="L369" i="16"/>
  <c r="L370" i="16"/>
  <c r="L371" i="16"/>
  <c r="L372" i="16"/>
  <c r="L373" i="16"/>
  <c r="L374" i="16"/>
  <c r="L375" i="16"/>
  <c r="L376" i="16"/>
  <c r="L377" i="16"/>
  <c r="L378" i="16"/>
  <c r="L379" i="16"/>
  <c r="L380" i="16"/>
  <c r="L381" i="16"/>
  <c r="L382" i="16"/>
  <c r="L383" i="16"/>
  <c r="L384" i="16"/>
  <c r="L385" i="16"/>
  <c r="L386" i="16"/>
  <c r="L387" i="16"/>
  <c r="L388" i="16"/>
  <c r="L389" i="16"/>
  <c r="L390" i="16"/>
  <c r="L391" i="16"/>
  <c r="L392" i="16"/>
  <c r="L393" i="16"/>
  <c r="L394" i="16"/>
  <c r="L395" i="16"/>
  <c r="L396" i="16"/>
  <c r="L397" i="16"/>
  <c r="L398" i="16"/>
  <c r="L399" i="16"/>
  <c r="L400" i="16"/>
  <c r="L401" i="16"/>
  <c r="L402" i="16"/>
  <c r="L403" i="16"/>
  <c r="L404" i="16"/>
  <c r="L405" i="16"/>
  <c r="L406" i="16"/>
  <c r="L407" i="16"/>
  <c r="L408" i="16"/>
  <c r="L409" i="16"/>
  <c r="L410" i="16"/>
  <c r="L411" i="16"/>
  <c r="L412" i="16"/>
  <c r="L413" i="16"/>
  <c r="L414" i="16"/>
  <c r="L415" i="16"/>
  <c r="L416" i="16"/>
  <c r="L417" i="16"/>
  <c r="L418" i="16"/>
  <c r="L419" i="16"/>
  <c r="L420" i="16"/>
  <c r="L421" i="16"/>
  <c r="L422" i="16"/>
  <c r="L423" i="16"/>
  <c r="L424" i="16"/>
  <c r="L425" i="16"/>
  <c r="L426" i="16"/>
  <c r="L427" i="16"/>
  <c r="L428" i="16"/>
  <c r="L429" i="16"/>
  <c r="L430" i="16"/>
  <c r="L431" i="16"/>
  <c r="L432" i="16"/>
  <c r="L433" i="16"/>
  <c r="L434" i="16"/>
  <c r="L435" i="16"/>
  <c r="L436" i="16"/>
  <c r="L437" i="16"/>
  <c r="L438" i="16"/>
  <c r="L439" i="16"/>
  <c r="L440" i="16"/>
  <c r="L441" i="16"/>
  <c r="L442" i="16"/>
  <c r="L443" i="16"/>
  <c r="L444" i="16"/>
  <c r="L445" i="16"/>
  <c r="L446" i="16"/>
  <c r="L447" i="16"/>
  <c r="L448" i="16"/>
  <c r="L449" i="16"/>
  <c r="L450" i="16"/>
  <c r="L451" i="16"/>
  <c r="L452" i="16"/>
  <c r="L453" i="16"/>
  <c r="L454" i="16"/>
  <c r="L455" i="16"/>
  <c r="L456" i="16"/>
  <c r="L457" i="16"/>
  <c r="L458" i="16"/>
  <c r="L459" i="16"/>
  <c r="L460" i="16"/>
  <c r="L461" i="16"/>
  <c r="L462" i="16"/>
  <c r="L463" i="16"/>
  <c r="L464" i="16"/>
  <c r="L465" i="16"/>
  <c r="L466" i="16"/>
  <c r="L467" i="16"/>
  <c r="L468" i="16"/>
  <c r="L469" i="16"/>
  <c r="L470" i="16"/>
  <c r="L471" i="16"/>
  <c r="L472" i="16"/>
  <c r="L473" i="16"/>
  <c r="L474" i="16"/>
  <c r="L475" i="16"/>
  <c r="L476" i="16"/>
  <c r="L477" i="16"/>
  <c r="L478" i="16"/>
  <c r="L479" i="16"/>
  <c r="L480" i="16"/>
  <c r="L481" i="16"/>
  <c r="L482" i="16"/>
  <c r="L483" i="16"/>
  <c r="L484" i="16"/>
  <c r="L485" i="16"/>
  <c r="L486" i="16"/>
  <c r="L487" i="16"/>
  <c r="L488" i="16"/>
  <c r="L489" i="16"/>
  <c r="L490" i="16"/>
  <c r="L491" i="16"/>
  <c r="L492" i="16"/>
  <c r="L493" i="16"/>
  <c r="L494" i="16"/>
  <c r="L495" i="16"/>
  <c r="L496" i="16"/>
  <c r="L497" i="16"/>
  <c r="L498" i="16"/>
  <c r="L499" i="16"/>
  <c r="L500" i="16"/>
  <c r="L501" i="16"/>
  <c r="L502" i="16"/>
  <c r="L503" i="16"/>
  <c r="L504" i="16"/>
  <c r="L505" i="16"/>
  <c r="L506" i="16"/>
  <c r="L507" i="16"/>
  <c r="L508" i="16"/>
  <c r="L509" i="16"/>
  <c r="L510" i="16"/>
  <c r="L511" i="16"/>
  <c r="L512" i="16"/>
  <c r="L513" i="16"/>
  <c r="L514" i="16"/>
  <c r="L515" i="16"/>
  <c r="L516" i="16"/>
  <c r="L517" i="16"/>
  <c r="L518" i="16"/>
  <c r="L519" i="16"/>
  <c r="J2" i="16"/>
  <c r="K2" i="16" s="1"/>
  <c r="J3" i="16"/>
  <c r="K3" i="16" s="1"/>
  <c r="J4" i="16"/>
  <c r="K4" i="16" s="1"/>
  <c r="J5" i="16"/>
  <c r="K5" i="16" s="1"/>
  <c r="J6" i="16"/>
  <c r="K6" i="16" s="1"/>
  <c r="J7" i="16"/>
  <c r="K7" i="16" s="1"/>
  <c r="J8" i="16"/>
  <c r="K8" i="16" s="1"/>
  <c r="J9" i="16"/>
  <c r="K9" i="16" s="1"/>
  <c r="J10" i="16"/>
  <c r="K10" i="16" s="1"/>
  <c r="J11" i="16"/>
  <c r="K11" i="16" s="1"/>
  <c r="J12" i="16"/>
  <c r="K12" i="16" s="1"/>
  <c r="J13" i="16"/>
  <c r="K13" i="16" s="1"/>
  <c r="J14" i="16"/>
  <c r="K14" i="16" s="1"/>
  <c r="J15" i="16"/>
  <c r="K15" i="16" s="1"/>
  <c r="J16" i="16"/>
  <c r="K16" i="16" s="1"/>
  <c r="J17" i="16"/>
  <c r="K17" i="16" s="1"/>
  <c r="J18" i="16"/>
  <c r="K18" i="16" s="1"/>
  <c r="J19" i="16"/>
  <c r="K19" i="16" s="1"/>
  <c r="J20" i="16"/>
  <c r="K20" i="16" s="1"/>
  <c r="J21" i="16"/>
  <c r="K21" i="16" s="1"/>
  <c r="J22" i="16"/>
  <c r="K22" i="16" s="1"/>
  <c r="J23" i="16"/>
  <c r="K23" i="16" s="1"/>
  <c r="J24" i="16"/>
  <c r="K24" i="16" s="1"/>
  <c r="J25" i="16"/>
  <c r="K25" i="16" s="1"/>
  <c r="J26" i="16"/>
  <c r="K26" i="16" s="1"/>
  <c r="J27" i="16"/>
  <c r="K27" i="16" s="1"/>
  <c r="J28" i="16"/>
  <c r="K28" i="16" s="1"/>
  <c r="J29" i="16"/>
  <c r="K29" i="16" s="1"/>
  <c r="J30" i="16"/>
  <c r="K30" i="16" s="1"/>
  <c r="J31" i="16"/>
  <c r="K31" i="16" s="1"/>
  <c r="J32" i="16"/>
  <c r="K32" i="16" s="1"/>
  <c r="J33" i="16"/>
  <c r="K33" i="16" s="1"/>
  <c r="J34" i="16"/>
  <c r="K34" i="16" s="1"/>
  <c r="J35" i="16"/>
  <c r="K35" i="16" s="1"/>
  <c r="J36" i="16"/>
  <c r="K36" i="16" s="1"/>
  <c r="J37" i="16"/>
  <c r="K37" i="16" s="1"/>
  <c r="J38" i="16"/>
  <c r="K38" i="16" s="1"/>
  <c r="J39" i="16"/>
  <c r="K39" i="16" s="1"/>
  <c r="J40" i="16"/>
  <c r="K40" i="16" s="1"/>
  <c r="J41" i="16"/>
  <c r="K41" i="16" s="1"/>
  <c r="J42" i="16"/>
  <c r="K42" i="16" s="1"/>
  <c r="J43" i="16"/>
  <c r="K43" i="16" s="1"/>
  <c r="J44" i="16"/>
  <c r="K44" i="16" s="1"/>
  <c r="J45" i="16"/>
  <c r="K45" i="16" s="1"/>
  <c r="J46" i="16"/>
  <c r="K46" i="16" s="1"/>
  <c r="J47" i="16"/>
  <c r="K47" i="16" s="1"/>
  <c r="J48" i="16"/>
  <c r="K48" i="16" s="1"/>
  <c r="J49" i="16"/>
  <c r="K49" i="16" s="1"/>
  <c r="J50" i="16"/>
  <c r="K50" i="16" s="1"/>
  <c r="J51" i="16"/>
  <c r="K51" i="16" s="1"/>
  <c r="J52" i="16"/>
  <c r="K52" i="16" s="1"/>
  <c r="J53" i="16"/>
  <c r="K53" i="16" s="1"/>
  <c r="J54" i="16"/>
  <c r="K54" i="16" s="1"/>
  <c r="J55" i="16"/>
  <c r="K55" i="16" s="1"/>
  <c r="J56" i="16"/>
  <c r="K56" i="16" s="1"/>
  <c r="J57" i="16"/>
  <c r="K57" i="16" s="1"/>
  <c r="J58" i="16"/>
  <c r="K58" i="16" s="1"/>
  <c r="J59" i="16"/>
  <c r="K59" i="16" s="1"/>
  <c r="J60" i="16"/>
  <c r="K60" i="16" s="1"/>
  <c r="J61" i="16"/>
  <c r="K61" i="16" s="1"/>
  <c r="J62" i="16"/>
  <c r="K62" i="16" s="1"/>
  <c r="J63" i="16"/>
  <c r="K63" i="16" s="1"/>
  <c r="J64" i="16"/>
  <c r="K64" i="16" s="1"/>
  <c r="J65" i="16"/>
  <c r="K65" i="16" s="1"/>
  <c r="J66" i="16"/>
  <c r="K66" i="16" s="1"/>
  <c r="J67" i="16"/>
  <c r="K67" i="16" s="1"/>
  <c r="J68" i="16"/>
  <c r="K68" i="16" s="1"/>
  <c r="J69" i="16"/>
  <c r="K69" i="16" s="1"/>
  <c r="J70" i="16"/>
  <c r="K70" i="16" s="1"/>
  <c r="J71" i="16"/>
  <c r="K71" i="16" s="1"/>
  <c r="J72" i="16"/>
  <c r="K72" i="16" s="1"/>
  <c r="J73" i="16"/>
  <c r="K73" i="16" s="1"/>
  <c r="J74" i="16"/>
  <c r="K74" i="16" s="1"/>
  <c r="J75" i="16"/>
  <c r="K75" i="16" s="1"/>
  <c r="J76" i="16"/>
  <c r="K76" i="16" s="1"/>
  <c r="J77" i="16"/>
  <c r="K77" i="16" s="1"/>
  <c r="J78" i="16"/>
  <c r="K78" i="16" s="1"/>
  <c r="J79" i="16"/>
  <c r="K79" i="16" s="1"/>
  <c r="J80" i="16"/>
  <c r="K80" i="16" s="1"/>
  <c r="J81" i="16"/>
  <c r="K81" i="16" s="1"/>
  <c r="J82" i="16"/>
  <c r="K82" i="16" s="1"/>
  <c r="J83" i="16"/>
  <c r="K83" i="16" s="1"/>
  <c r="J84" i="16"/>
  <c r="K84" i="16" s="1"/>
  <c r="J85" i="16"/>
  <c r="K85" i="16" s="1"/>
  <c r="J86" i="16"/>
  <c r="K86" i="16" s="1"/>
  <c r="J87" i="16"/>
  <c r="K87" i="16" s="1"/>
  <c r="J88" i="16"/>
  <c r="K88" i="16" s="1"/>
  <c r="J89" i="16"/>
  <c r="K89" i="16" s="1"/>
  <c r="J90" i="16"/>
  <c r="K90" i="16" s="1"/>
  <c r="J91" i="16"/>
  <c r="K91" i="16" s="1"/>
  <c r="J92" i="16"/>
  <c r="K92" i="16" s="1"/>
  <c r="J93" i="16"/>
  <c r="K93" i="16" s="1"/>
  <c r="J94" i="16"/>
  <c r="K94" i="16" s="1"/>
  <c r="J95" i="16"/>
  <c r="K95" i="16" s="1"/>
  <c r="J96" i="16"/>
  <c r="K96" i="16" s="1"/>
  <c r="J97" i="16"/>
  <c r="K97" i="16" s="1"/>
  <c r="J98" i="16"/>
  <c r="K98" i="16" s="1"/>
  <c r="J99" i="16"/>
  <c r="K99" i="16" s="1"/>
  <c r="J100" i="16"/>
  <c r="K100" i="16" s="1"/>
  <c r="J101" i="16"/>
  <c r="K101" i="16" s="1"/>
  <c r="J102" i="16"/>
  <c r="K102" i="16" s="1"/>
  <c r="J103" i="16"/>
  <c r="K103" i="16" s="1"/>
  <c r="J104" i="16"/>
  <c r="K104" i="16" s="1"/>
  <c r="J105" i="16"/>
  <c r="K105" i="16" s="1"/>
  <c r="J106" i="16"/>
  <c r="K106" i="16" s="1"/>
  <c r="J107" i="16"/>
  <c r="K107" i="16" s="1"/>
  <c r="J108" i="16"/>
  <c r="K108" i="16" s="1"/>
  <c r="J109" i="16"/>
  <c r="K109" i="16" s="1"/>
  <c r="J110" i="16"/>
  <c r="K110" i="16" s="1"/>
  <c r="J111" i="16"/>
  <c r="K111" i="16" s="1"/>
  <c r="J112" i="16"/>
  <c r="K112" i="16" s="1"/>
  <c r="J113" i="16"/>
  <c r="K113" i="16" s="1"/>
  <c r="J114" i="16"/>
  <c r="K114" i="16" s="1"/>
  <c r="J115" i="16"/>
  <c r="K115" i="16" s="1"/>
  <c r="J116" i="16"/>
  <c r="K116" i="16" s="1"/>
  <c r="J117" i="16"/>
  <c r="K117" i="16" s="1"/>
  <c r="J118" i="16"/>
  <c r="K118" i="16" s="1"/>
  <c r="J119" i="16"/>
  <c r="K119" i="16" s="1"/>
  <c r="J120" i="16"/>
  <c r="K120" i="16" s="1"/>
  <c r="J121" i="16"/>
  <c r="K121" i="16" s="1"/>
  <c r="J122" i="16"/>
  <c r="K122" i="16" s="1"/>
  <c r="J123" i="16"/>
  <c r="K123" i="16" s="1"/>
  <c r="J124" i="16"/>
  <c r="K124" i="16" s="1"/>
  <c r="J125" i="16"/>
  <c r="K125" i="16" s="1"/>
  <c r="J126" i="16"/>
  <c r="K126" i="16" s="1"/>
  <c r="J127" i="16"/>
  <c r="K127" i="16" s="1"/>
  <c r="J128" i="16"/>
  <c r="K128" i="16" s="1"/>
  <c r="J129" i="16"/>
  <c r="K129" i="16" s="1"/>
  <c r="J130" i="16"/>
  <c r="K130" i="16" s="1"/>
  <c r="J131" i="16"/>
  <c r="K131" i="16" s="1"/>
  <c r="J132" i="16"/>
  <c r="K132" i="16" s="1"/>
  <c r="J133" i="16"/>
  <c r="K133" i="16" s="1"/>
  <c r="J134" i="16"/>
  <c r="K134" i="16" s="1"/>
  <c r="J135" i="16"/>
  <c r="K135" i="16" s="1"/>
  <c r="J136" i="16"/>
  <c r="K136" i="16" s="1"/>
  <c r="J137" i="16"/>
  <c r="K137" i="16" s="1"/>
  <c r="J138" i="16"/>
  <c r="K138" i="16" s="1"/>
  <c r="J139" i="16"/>
  <c r="K139" i="16" s="1"/>
  <c r="J140" i="16"/>
  <c r="K140" i="16" s="1"/>
  <c r="J141" i="16"/>
  <c r="K141" i="16" s="1"/>
  <c r="J142" i="16"/>
  <c r="K142" i="16" s="1"/>
  <c r="J143" i="16"/>
  <c r="K143" i="16" s="1"/>
  <c r="J144" i="16"/>
  <c r="K144" i="16" s="1"/>
  <c r="J145" i="16"/>
  <c r="K145" i="16" s="1"/>
  <c r="J146" i="16"/>
  <c r="K146" i="16" s="1"/>
  <c r="J147" i="16"/>
  <c r="K147" i="16" s="1"/>
  <c r="J148" i="16"/>
  <c r="K148" i="16" s="1"/>
  <c r="J149" i="16"/>
  <c r="K149" i="16" s="1"/>
  <c r="J150" i="16"/>
  <c r="K150" i="16" s="1"/>
  <c r="J151" i="16"/>
  <c r="K151" i="16" s="1"/>
  <c r="J152" i="16"/>
  <c r="K152" i="16" s="1"/>
  <c r="J153" i="16"/>
  <c r="K153" i="16" s="1"/>
  <c r="J154" i="16"/>
  <c r="K154" i="16" s="1"/>
  <c r="J155" i="16"/>
  <c r="K155" i="16" s="1"/>
  <c r="J156" i="16"/>
  <c r="K156" i="16" s="1"/>
  <c r="J157" i="16"/>
  <c r="K157" i="16" s="1"/>
  <c r="J158" i="16"/>
  <c r="K158" i="16" s="1"/>
  <c r="J159" i="16"/>
  <c r="K159" i="16" s="1"/>
  <c r="J160" i="16"/>
  <c r="K160" i="16" s="1"/>
  <c r="J161" i="16"/>
  <c r="K161" i="16" s="1"/>
  <c r="J162" i="16"/>
  <c r="K162" i="16" s="1"/>
  <c r="J163" i="16"/>
  <c r="K163" i="16" s="1"/>
  <c r="J164" i="16"/>
  <c r="K164" i="16" s="1"/>
  <c r="J165" i="16"/>
  <c r="K165" i="16" s="1"/>
  <c r="J166" i="16"/>
  <c r="K166" i="16" s="1"/>
  <c r="J167" i="16"/>
  <c r="K167" i="16" s="1"/>
  <c r="J168" i="16"/>
  <c r="K168" i="16" s="1"/>
  <c r="J169" i="16"/>
  <c r="K169" i="16" s="1"/>
  <c r="J170" i="16"/>
  <c r="K170" i="16" s="1"/>
  <c r="J171" i="16"/>
  <c r="K171" i="16" s="1"/>
  <c r="J172" i="16"/>
  <c r="K172" i="16" s="1"/>
  <c r="J173" i="16"/>
  <c r="K173" i="16" s="1"/>
  <c r="J174" i="16"/>
  <c r="K174" i="16" s="1"/>
  <c r="J175" i="16"/>
  <c r="K175" i="16" s="1"/>
  <c r="J176" i="16"/>
  <c r="K176" i="16" s="1"/>
  <c r="J177" i="16"/>
  <c r="K177" i="16" s="1"/>
  <c r="J178" i="16"/>
  <c r="K178" i="16" s="1"/>
  <c r="J179" i="16"/>
  <c r="K179" i="16" s="1"/>
  <c r="J180" i="16"/>
  <c r="K180" i="16" s="1"/>
  <c r="J181" i="16"/>
  <c r="K181" i="16" s="1"/>
  <c r="J182" i="16"/>
  <c r="K182" i="16" s="1"/>
  <c r="J183" i="16"/>
  <c r="K183" i="16" s="1"/>
  <c r="J184" i="16"/>
  <c r="K184" i="16" s="1"/>
  <c r="J185" i="16"/>
  <c r="K185" i="16" s="1"/>
  <c r="J186" i="16"/>
  <c r="K186" i="16" s="1"/>
  <c r="J187" i="16"/>
  <c r="K187" i="16" s="1"/>
  <c r="J188" i="16"/>
  <c r="K188" i="16" s="1"/>
  <c r="J189" i="16"/>
  <c r="K189" i="16" s="1"/>
  <c r="J190" i="16"/>
  <c r="K190" i="16" s="1"/>
  <c r="J191" i="16"/>
  <c r="K191" i="16" s="1"/>
  <c r="J192" i="16"/>
  <c r="K192" i="16" s="1"/>
  <c r="J193" i="16"/>
  <c r="K193" i="16" s="1"/>
  <c r="J194" i="16"/>
  <c r="K194" i="16" s="1"/>
  <c r="J195" i="16"/>
  <c r="K195" i="16" s="1"/>
  <c r="J196" i="16"/>
  <c r="K196" i="16" s="1"/>
  <c r="J197" i="16"/>
  <c r="K197" i="16" s="1"/>
  <c r="J198" i="16"/>
  <c r="K198" i="16" s="1"/>
  <c r="J199" i="16"/>
  <c r="K199" i="16" s="1"/>
  <c r="J200" i="16"/>
  <c r="K200" i="16" s="1"/>
  <c r="J201" i="16"/>
  <c r="K201" i="16" s="1"/>
  <c r="J202" i="16"/>
  <c r="K202" i="16" s="1"/>
  <c r="J203" i="16"/>
  <c r="K203" i="16" s="1"/>
  <c r="J204" i="16"/>
  <c r="K204" i="16" s="1"/>
  <c r="J205" i="16"/>
  <c r="K205" i="16" s="1"/>
  <c r="J206" i="16"/>
  <c r="K206" i="16" s="1"/>
  <c r="J207" i="16"/>
  <c r="K207" i="16" s="1"/>
  <c r="J208" i="16"/>
  <c r="K208" i="16" s="1"/>
  <c r="J209" i="16"/>
  <c r="K209" i="16" s="1"/>
  <c r="J210" i="16"/>
  <c r="K210" i="16" s="1"/>
  <c r="J211" i="16"/>
  <c r="K211" i="16" s="1"/>
  <c r="J212" i="16"/>
  <c r="K212" i="16" s="1"/>
  <c r="J213" i="16"/>
  <c r="K213" i="16" s="1"/>
  <c r="J214" i="16"/>
  <c r="K214" i="16" s="1"/>
  <c r="J215" i="16"/>
  <c r="K215" i="16" s="1"/>
  <c r="J216" i="16"/>
  <c r="K216" i="16" s="1"/>
  <c r="J217" i="16"/>
  <c r="K217" i="16" s="1"/>
  <c r="J218" i="16"/>
  <c r="K218" i="16" s="1"/>
  <c r="J219" i="16"/>
  <c r="K219" i="16" s="1"/>
  <c r="J220" i="16"/>
  <c r="K220" i="16" s="1"/>
  <c r="J221" i="16"/>
  <c r="K221" i="16" s="1"/>
  <c r="J222" i="16"/>
  <c r="K222" i="16" s="1"/>
  <c r="J223" i="16"/>
  <c r="K223" i="16" s="1"/>
  <c r="J224" i="16"/>
  <c r="K224" i="16" s="1"/>
  <c r="J225" i="16"/>
  <c r="K225" i="16" s="1"/>
  <c r="J226" i="16"/>
  <c r="K226" i="16" s="1"/>
  <c r="J227" i="16"/>
  <c r="K227" i="16" s="1"/>
  <c r="J228" i="16"/>
  <c r="K228" i="16" s="1"/>
  <c r="J229" i="16"/>
  <c r="K229" i="16" s="1"/>
  <c r="J230" i="16"/>
  <c r="K230" i="16" s="1"/>
  <c r="J231" i="16"/>
  <c r="K231" i="16" s="1"/>
  <c r="J232" i="16"/>
  <c r="K232" i="16" s="1"/>
  <c r="J233" i="16"/>
  <c r="K233" i="16" s="1"/>
  <c r="J234" i="16"/>
  <c r="K234" i="16" s="1"/>
  <c r="J235" i="16"/>
  <c r="K235" i="16" s="1"/>
  <c r="J236" i="16"/>
  <c r="K236" i="16" s="1"/>
  <c r="J237" i="16"/>
  <c r="K237" i="16" s="1"/>
  <c r="J238" i="16"/>
  <c r="K238" i="16" s="1"/>
  <c r="J239" i="16"/>
  <c r="K239" i="16" s="1"/>
  <c r="J240" i="16"/>
  <c r="K240" i="16" s="1"/>
  <c r="J241" i="16"/>
  <c r="K241" i="16" s="1"/>
  <c r="J242" i="16"/>
  <c r="K242" i="16" s="1"/>
  <c r="J243" i="16"/>
  <c r="K243" i="16" s="1"/>
  <c r="J244" i="16"/>
  <c r="K244" i="16" s="1"/>
  <c r="J245" i="16"/>
  <c r="K245" i="16" s="1"/>
  <c r="J246" i="16"/>
  <c r="K246" i="16" s="1"/>
  <c r="J247" i="16"/>
  <c r="K247" i="16" s="1"/>
  <c r="J248" i="16"/>
  <c r="K248" i="16" s="1"/>
  <c r="J249" i="16"/>
  <c r="K249" i="16" s="1"/>
  <c r="J250" i="16"/>
  <c r="K250" i="16" s="1"/>
  <c r="J251" i="16"/>
  <c r="K251" i="16" s="1"/>
  <c r="J252" i="16"/>
  <c r="K252" i="16" s="1"/>
  <c r="J253" i="16"/>
  <c r="K253" i="16" s="1"/>
  <c r="J254" i="16"/>
  <c r="K254" i="16" s="1"/>
  <c r="J255" i="16"/>
  <c r="K255" i="16" s="1"/>
  <c r="J256" i="16"/>
  <c r="K256" i="16" s="1"/>
  <c r="J257" i="16"/>
  <c r="K257" i="16" s="1"/>
  <c r="J258" i="16"/>
  <c r="K258" i="16" s="1"/>
  <c r="J259" i="16"/>
  <c r="K259" i="16" s="1"/>
  <c r="J260" i="16"/>
  <c r="K260" i="16" s="1"/>
  <c r="J261" i="16"/>
  <c r="K261" i="16" s="1"/>
  <c r="J262" i="16"/>
  <c r="K262" i="16" s="1"/>
  <c r="J263" i="16"/>
  <c r="K263" i="16" s="1"/>
  <c r="J264" i="16"/>
  <c r="K264" i="16" s="1"/>
  <c r="J265" i="16"/>
  <c r="K265" i="16" s="1"/>
  <c r="J266" i="16"/>
  <c r="K266" i="16" s="1"/>
  <c r="J267" i="16"/>
  <c r="K267" i="16" s="1"/>
  <c r="J268" i="16"/>
  <c r="K268" i="16" s="1"/>
  <c r="J269" i="16"/>
  <c r="K269" i="16" s="1"/>
  <c r="J270" i="16"/>
  <c r="K270" i="16" s="1"/>
  <c r="J271" i="16"/>
  <c r="K271" i="16" s="1"/>
  <c r="J272" i="16"/>
  <c r="K272" i="16" s="1"/>
  <c r="J273" i="16"/>
  <c r="K273" i="16" s="1"/>
  <c r="J274" i="16"/>
  <c r="K274" i="16" s="1"/>
  <c r="J275" i="16"/>
  <c r="K275" i="16" s="1"/>
  <c r="J276" i="16"/>
  <c r="K276" i="16" s="1"/>
  <c r="J277" i="16"/>
  <c r="K277" i="16" s="1"/>
  <c r="J278" i="16"/>
  <c r="K278" i="16" s="1"/>
  <c r="J279" i="16"/>
  <c r="K279" i="16" s="1"/>
  <c r="J280" i="16"/>
  <c r="K280" i="16" s="1"/>
  <c r="J281" i="16"/>
  <c r="K281" i="16" s="1"/>
  <c r="J282" i="16"/>
  <c r="K282" i="16" s="1"/>
  <c r="J283" i="16"/>
  <c r="K283" i="16" s="1"/>
  <c r="J284" i="16"/>
  <c r="K284" i="16" s="1"/>
  <c r="J285" i="16"/>
  <c r="K285" i="16" s="1"/>
  <c r="J286" i="16"/>
  <c r="K286" i="16" s="1"/>
  <c r="J287" i="16"/>
  <c r="K287" i="16" s="1"/>
  <c r="J288" i="16"/>
  <c r="K288" i="16" s="1"/>
  <c r="J289" i="16"/>
  <c r="K289" i="16" s="1"/>
  <c r="J290" i="16"/>
  <c r="K290" i="16" s="1"/>
  <c r="J291" i="16"/>
  <c r="K291" i="16" s="1"/>
  <c r="J292" i="16"/>
  <c r="K292" i="16" s="1"/>
  <c r="J293" i="16"/>
  <c r="K293" i="16" s="1"/>
  <c r="J294" i="16"/>
  <c r="K294" i="16" s="1"/>
  <c r="J295" i="16"/>
  <c r="K295" i="16" s="1"/>
  <c r="J296" i="16"/>
  <c r="K296" i="16" s="1"/>
  <c r="J297" i="16"/>
  <c r="K297" i="16" s="1"/>
  <c r="J298" i="16"/>
  <c r="K298" i="16" s="1"/>
  <c r="J299" i="16"/>
  <c r="K299" i="16" s="1"/>
  <c r="J300" i="16"/>
  <c r="K300" i="16" s="1"/>
  <c r="J301" i="16"/>
  <c r="K301" i="16" s="1"/>
  <c r="J302" i="16"/>
  <c r="K302" i="16" s="1"/>
  <c r="J303" i="16"/>
  <c r="K303" i="16" s="1"/>
  <c r="J304" i="16"/>
  <c r="K304" i="16" s="1"/>
  <c r="J305" i="16"/>
  <c r="K305" i="16" s="1"/>
  <c r="J306" i="16"/>
  <c r="K306" i="16" s="1"/>
  <c r="J307" i="16"/>
  <c r="K307" i="16" s="1"/>
  <c r="J308" i="16"/>
  <c r="K308" i="16" s="1"/>
  <c r="J309" i="16"/>
  <c r="K309" i="16" s="1"/>
  <c r="J310" i="16"/>
  <c r="K310" i="16" s="1"/>
  <c r="J311" i="16"/>
  <c r="K311" i="16" s="1"/>
  <c r="J312" i="16"/>
  <c r="K312" i="16" s="1"/>
  <c r="J313" i="16"/>
  <c r="K313" i="16" s="1"/>
  <c r="J314" i="16"/>
  <c r="K314" i="16" s="1"/>
  <c r="J315" i="16"/>
  <c r="K315" i="16" s="1"/>
  <c r="J316" i="16"/>
  <c r="K316" i="16" s="1"/>
  <c r="J317" i="16"/>
  <c r="K317" i="16" s="1"/>
  <c r="J318" i="16"/>
  <c r="K318" i="16" s="1"/>
  <c r="J319" i="16"/>
  <c r="K319" i="16" s="1"/>
  <c r="J320" i="16"/>
  <c r="K320" i="16" s="1"/>
  <c r="J321" i="16"/>
  <c r="K321" i="16" s="1"/>
  <c r="J322" i="16"/>
  <c r="K322" i="16" s="1"/>
  <c r="J323" i="16"/>
  <c r="K323" i="16" s="1"/>
  <c r="J324" i="16"/>
  <c r="K324" i="16" s="1"/>
  <c r="J325" i="16"/>
  <c r="K325" i="16" s="1"/>
  <c r="J326" i="16"/>
  <c r="K326" i="16" s="1"/>
  <c r="J327" i="16"/>
  <c r="K327" i="16" s="1"/>
  <c r="J328" i="16"/>
  <c r="K328" i="16" s="1"/>
  <c r="J329" i="16"/>
  <c r="K329" i="16" s="1"/>
  <c r="J330" i="16"/>
  <c r="K330" i="16" s="1"/>
  <c r="J331" i="16"/>
  <c r="K331" i="16" s="1"/>
  <c r="J332" i="16"/>
  <c r="K332" i="16" s="1"/>
  <c r="J333" i="16"/>
  <c r="K333" i="16" s="1"/>
  <c r="J334" i="16"/>
  <c r="K334" i="16" s="1"/>
  <c r="J335" i="16"/>
  <c r="K335" i="16" s="1"/>
  <c r="J336" i="16"/>
  <c r="K336" i="16" s="1"/>
  <c r="J337" i="16"/>
  <c r="K337" i="16" s="1"/>
  <c r="J338" i="16"/>
  <c r="K338" i="16" s="1"/>
  <c r="J339" i="16"/>
  <c r="K339" i="16" s="1"/>
  <c r="J340" i="16"/>
  <c r="K340" i="16" s="1"/>
  <c r="J341" i="16"/>
  <c r="K341" i="16" s="1"/>
  <c r="J342" i="16"/>
  <c r="K342" i="16" s="1"/>
  <c r="J343" i="16"/>
  <c r="K343" i="16" s="1"/>
  <c r="J344" i="16"/>
  <c r="K344" i="16" s="1"/>
  <c r="J345" i="16"/>
  <c r="K345" i="16" s="1"/>
  <c r="J346" i="16"/>
  <c r="K346" i="16" s="1"/>
  <c r="J347" i="16"/>
  <c r="K347" i="16" s="1"/>
  <c r="J348" i="16"/>
  <c r="K348" i="16" s="1"/>
  <c r="J349" i="16"/>
  <c r="K349" i="16" s="1"/>
  <c r="J350" i="16"/>
  <c r="K350" i="16" s="1"/>
  <c r="J351" i="16"/>
  <c r="K351" i="16" s="1"/>
  <c r="J352" i="16"/>
  <c r="K352" i="16" s="1"/>
  <c r="J353" i="16"/>
  <c r="K353" i="16" s="1"/>
  <c r="J354" i="16"/>
  <c r="K354" i="16" s="1"/>
  <c r="J355" i="16"/>
  <c r="K355" i="16" s="1"/>
  <c r="J356" i="16"/>
  <c r="K356" i="16" s="1"/>
  <c r="J357" i="16"/>
  <c r="K357" i="16" s="1"/>
  <c r="J358" i="16"/>
  <c r="K358" i="16" s="1"/>
  <c r="J359" i="16"/>
  <c r="K359" i="16" s="1"/>
  <c r="J360" i="16"/>
  <c r="K360" i="16" s="1"/>
  <c r="J361" i="16"/>
  <c r="K361" i="16" s="1"/>
  <c r="J362" i="16"/>
  <c r="K362" i="16" s="1"/>
  <c r="J363" i="16"/>
  <c r="K363" i="16" s="1"/>
  <c r="J364" i="16"/>
  <c r="K364" i="16" s="1"/>
  <c r="J365" i="16"/>
  <c r="K365" i="16" s="1"/>
  <c r="J366" i="16"/>
  <c r="K366" i="16" s="1"/>
  <c r="J367" i="16"/>
  <c r="K367" i="16" s="1"/>
  <c r="J368" i="16"/>
  <c r="K368" i="16" s="1"/>
  <c r="J369" i="16"/>
  <c r="K369" i="16" s="1"/>
  <c r="J370" i="16"/>
  <c r="K370" i="16" s="1"/>
  <c r="J371" i="16"/>
  <c r="K371" i="16" s="1"/>
  <c r="J372" i="16"/>
  <c r="K372" i="16" s="1"/>
  <c r="J373" i="16"/>
  <c r="K373" i="16" s="1"/>
  <c r="J374" i="16"/>
  <c r="K374" i="16" s="1"/>
  <c r="J375" i="16"/>
  <c r="K375" i="16" s="1"/>
  <c r="J376" i="16"/>
  <c r="K376" i="16" s="1"/>
  <c r="J377" i="16"/>
  <c r="K377" i="16" s="1"/>
  <c r="J378" i="16"/>
  <c r="K378" i="16" s="1"/>
  <c r="J379" i="16"/>
  <c r="K379" i="16" s="1"/>
  <c r="J380" i="16"/>
  <c r="K380" i="16" s="1"/>
  <c r="J381" i="16"/>
  <c r="K381" i="16" s="1"/>
  <c r="J382" i="16"/>
  <c r="K382" i="16" s="1"/>
  <c r="J383" i="16"/>
  <c r="K383" i="16" s="1"/>
  <c r="J384" i="16"/>
  <c r="K384" i="16" s="1"/>
  <c r="J385" i="16"/>
  <c r="K385" i="16" s="1"/>
  <c r="J386" i="16"/>
  <c r="K386" i="16" s="1"/>
  <c r="J387" i="16"/>
  <c r="K387" i="16" s="1"/>
  <c r="J388" i="16"/>
  <c r="K388" i="16" s="1"/>
  <c r="J389" i="16"/>
  <c r="K389" i="16" s="1"/>
  <c r="J390" i="16"/>
  <c r="K390" i="16" s="1"/>
  <c r="J391" i="16"/>
  <c r="K391" i="16" s="1"/>
  <c r="J392" i="16"/>
  <c r="K392" i="16" s="1"/>
  <c r="J393" i="16"/>
  <c r="K393" i="16" s="1"/>
  <c r="J394" i="16"/>
  <c r="K394" i="16" s="1"/>
  <c r="J395" i="16"/>
  <c r="K395" i="16" s="1"/>
  <c r="J396" i="16"/>
  <c r="K396" i="16" s="1"/>
  <c r="J397" i="16"/>
  <c r="K397" i="16" s="1"/>
  <c r="J398" i="16"/>
  <c r="K398" i="16" s="1"/>
  <c r="J399" i="16"/>
  <c r="K399" i="16" s="1"/>
  <c r="J400" i="16"/>
  <c r="K400" i="16" s="1"/>
  <c r="J401" i="16"/>
  <c r="K401" i="16" s="1"/>
  <c r="J402" i="16"/>
  <c r="K402" i="16" s="1"/>
  <c r="J403" i="16"/>
  <c r="K403" i="16" s="1"/>
  <c r="J404" i="16"/>
  <c r="K404" i="16" s="1"/>
  <c r="J405" i="16"/>
  <c r="K405" i="16" s="1"/>
  <c r="J406" i="16"/>
  <c r="K406" i="16" s="1"/>
  <c r="J407" i="16"/>
  <c r="K407" i="16" s="1"/>
  <c r="J408" i="16"/>
  <c r="K408" i="16" s="1"/>
  <c r="J409" i="16"/>
  <c r="K409" i="16" s="1"/>
  <c r="J410" i="16"/>
  <c r="K410" i="16" s="1"/>
  <c r="J411" i="16"/>
  <c r="K411" i="16" s="1"/>
  <c r="J412" i="16"/>
  <c r="K412" i="16" s="1"/>
  <c r="J413" i="16"/>
  <c r="K413" i="16" s="1"/>
  <c r="J414" i="16"/>
  <c r="K414" i="16" s="1"/>
  <c r="J415" i="16"/>
  <c r="K415" i="16" s="1"/>
  <c r="J416" i="16"/>
  <c r="K416" i="16" s="1"/>
  <c r="J417" i="16"/>
  <c r="K417" i="16" s="1"/>
  <c r="J418" i="16"/>
  <c r="K418" i="16" s="1"/>
  <c r="J419" i="16"/>
  <c r="K419" i="16" s="1"/>
  <c r="J420" i="16"/>
  <c r="K420" i="16" s="1"/>
  <c r="J421" i="16"/>
  <c r="K421" i="16" s="1"/>
  <c r="J422" i="16"/>
  <c r="K422" i="16" s="1"/>
  <c r="J423" i="16"/>
  <c r="K423" i="16" s="1"/>
  <c r="J424" i="16"/>
  <c r="K424" i="16" s="1"/>
  <c r="J425" i="16"/>
  <c r="K425" i="16" s="1"/>
  <c r="J426" i="16"/>
  <c r="K426" i="16" s="1"/>
  <c r="J427" i="16"/>
  <c r="K427" i="16" s="1"/>
  <c r="J428" i="16"/>
  <c r="K428" i="16" s="1"/>
  <c r="J429" i="16"/>
  <c r="K429" i="16" s="1"/>
  <c r="J430" i="16"/>
  <c r="K430" i="16" s="1"/>
  <c r="J431" i="16"/>
  <c r="K431" i="16" s="1"/>
  <c r="J432" i="16"/>
  <c r="K432" i="16" s="1"/>
  <c r="J433" i="16"/>
  <c r="K433" i="16" s="1"/>
  <c r="J434" i="16"/>
  <c r="K434" i="16" s="1"/>
  <c r="J435" i="16"/>
  <c r="K435" i="16" s="1"/>
  <c r="J436" i="16"/>
  <c r="K436" i="16" s="1"/>
  <c r="J437" i="16"/>
  <c r="K437" i="16" s="1"/>
  <c r="J438" i="16"/>
  <c r="K438" i="16" s="1"/>
  <c r="J439" i="16"/>
  <c r="K439" i="16" s="1"/>
  <c r="J440" i="16"/>
  <c r="K440" i="16" s="1"/>
  <c r="J441" i="16"/>
  <c r="K441" i="16" s="1"/>
  <c r="J442" i="16"/>
  <c r="K442" i="16" s="1"/>
  <c r="J443" i="16"/>
  <c r="K443" i="16" s="1"/>
  <c r="J444" i="16"/>
  <c r="K444" i="16" s="1"/>
  <c r="J445" i="16"/>
  <c r="K445" i="16" s="1"/>
  <c r="J446" i="16"/>
  <c r="K446" i="16" s="1"/>
  <c r="J447" i="16"/>
  <c r="K447" i="16" s="1"/>
  <c r="J448" i="16"/>
  <c r="K448" i="16" s="1"/>
  <c r="J449" i="16"/>
  <c r="K449" i="16" s="1"/>
  <c r="J450" i="16"/>
  <c r="K450" i="16" s="1"/>
  <c r="J451" i="16"/>
  <c r="K451" i="16" s="1"/>
  <c r="J452" i="16"/>
  <c r="K452" i="16" s="1"/>
  <c r="J453" i="16"/>
  <c r="K453" i="16" s="1"/>
  <c r="J454" i="16"/>
  <c r="K454" i="16" s="1"/>
  <c r="J455" i="16"/>
  <c r="K455" i="16" s="1"/>
  <c r="J456" i="16"/>
  <c r="K456" i="16" s="1"/>
  <c r="J457" i="16"/>
  <c r="K457" i="16" s="1"/>
  <c r="J458" i="16"/>
  <c r="K458" i="16" s="1"/>
  <c r="J459" i="16"/>
  <c r="K459" i="16" s="1"/>
  <c r="J460" i="16"/>
  <c r="K460" i="16" s="1"/>
  <c r="J461" i="16"/>
  <c r="K461" i="16" s="1"/>
  <c r="J462" i="16"/>
  <c r="K462" i="16" s="1"/>
  <c r="J463" i="16"/>
  <c r="K463" i="16" s="1"/>
  <c r="J464" i="16"/>
  <c r="K464" i="16" s="1"/>
  <c r="J465" i="16"/>
  <c r="K465" i="16" s="1"/>
  <c r="J466" i="16"/>
  <c r="K466" i="16" s="1"/>
  <c r="J467" i="16"/>
  <c r="K467" i="16" s="1"/>
  <c r="J468" i="16"/>
  <c r="K468" i="16" s="1"/>
  <c r="J469" i="16"/>
  <c r="K469" i="16" s="1"/>
  <c r="J470" i="16"/>
  <c r="K470" i="16" s="1"/>
  <c r="J471" i="16"/>
  <c r="K471" i="16" s="1"/>
  <c r="J472" i="16"/>
  <c r="K472" i="16" s="1"/>
  <c r="J473" i="16"/>
  <c r="K473" i="16" s="1"/>
  <c r="J474" i="16"/>
  <c r="K474" i="16" s="1"/>
  <c r="J475" i="16"/>
  <c r="K475" i="16" s="1"/>
  <c r="J476" i="16"/>
  <c r="K476" i="16" s="1"/>
  <c r="J477" i="16"/>
  <c r="K477" i="16" s="1"/>
  <c r="J478" i="16"/>
  <c r="K478" i="16" s="1"/>
  <c r="J479" i="16"/>
  <c r="K479" i="16" s="1"/>
  <c r="J480" i="16"/>
  <c r="K480" i="16" s="1"/>
  <c r="J481" i="16"/>
  <c r="K481" i="16" s="1"/>
  <c r="J482" i="16"/>
  <c r="K482" i="16" s="1"/>
  <c r="J483" i="16"/>
  <c r="K483" i="16" s="1"/>
  <c r="J484" i="16"/>
  <c r="K484" i="16" s="1"/>
  <c r="J485" i="16"/>
  <c r="K485" i="16" s="1"/>
  <c r="J486" i="16"/>
  <c r="K486" i="16" s="1"/>
  <c r="J487" i="16"/>
  <c r="K487" i="16" s="1"/>
  <c r="J488" i="16"/>
  <c r="K488" i="16" s="1"/>
  <c r="J489" i="16"/>
  <c r="K489" i="16" s="1"/>
  <c r="J490" i="16"/>
  <c r="K490" i="16" s="1"/>
  <c r="J491" i="16"/>
  <c r="K491" i="16" s="1"/>
  <c r="J492" i="16"/>
  <c r="K492" i="16" s="1"/>
  <c r="J493" i="16"/>
  <c r="K493" i="16" s="1"/>
  <c r="J494" i="16"/>
  <c r="K494" i="16" s="1"/>
  <c r="J495" i="16"/>
  <c r="K495" i="16" s="1"/>
  <c r="J496" i="16"/>
  <c r="K496" i="16" s="1"/>
  <c r="J497" i="16"/>
  <c r="K497" i="16" s="1"/>
  <c r="J498" i="16"/>
  <c r="K498" i="16" s="1"/>
  <c r="J499" i="16"/>
  <c r="K499" i="16" s="1"/>
  <c r="J500" i="16"/>
  <c r="K500" i="16" s="1"/>
  <c r="J501" i="16"/>
  <c r="K501" i="16" s="1"/>
  <c r="J502" i="16"/>
  <c r="K502" i="16" s="1"/>
  <c r="J503" i="16"/>
  <c r="K503" i="16" s="1"/>
  <c r="J504" i="16"/>
  <c r="K504" i="16" s="1"/>
  <c r="J505" i="16"/>
  <c r="K505" i="16" s="1"/>
  <c r="J506" i="16"/>
  <c r="K506" i="16" s="1"/>
  <c r="J507" i="16"/>
  <c r="K507" i="16" s="1"/>
  <c r="J508" i="16"/>
  <c r="K508" i="16" s="1"/>
  <c r="J509" i="16"/>
  <c r="K509" i="16" s="1"/>
  <c r="J510" i="16"/>
  <c r="K510" i="16" s="1"/>
  <c r="J511" i="16"/>
  <c r="K511" i="16" s="1"/>
  <c r="J512" i="16"/>
  <c r="K512" i="16" s="1"/>
  <c r="J513" i="16"/>
  <c r="K513" i="16" s="1"/>
  <c r="J514" i="16"/>
  <c r="K514" i="16" s="1"/>
  <c r="J515" i="16"/>
  <c r="K515" i="16" s="1"/>
  <c r="J516" i="16"/>
  <c r="K516" i="16" s="1"/>
  <c r="J517" i="16"/>
  <c r="K517" i="16" s="1"/>
  <c r="J518" i="16"/>
  <c r="K518" i="16" s="1"/>
  <c r="J519" i="16"/>
  <c r="K519" i="16" s="1"/>
  <c r="I2" i="16"/>
  <c r="I3" i="16"/>
  <c r="I4" i="16"/>
  <c r="I5" i="16"/>
  <c r="I6" i="16"/>
  <c r="I7" i="16"/>
  <c r="I8" i="16"/>
  <c r="I9" i="16"/>
  <c r="I10" i="16"/>
  <c r="I11" i="16"/>
  <c r="I12" i="16"/>
  <c r="I13" i="16"/>
  <c r="I14" i="16"/>
  <c r="I15" i="16"/>
  <c r="I16" i="16"/>
  <c r="I17" i="16"/>
  <c r="I18" i="16"/>
  <c r="I19" i="16"/>
  <c r="I20" i="16"/>
  <c r="I21" i="16"/>
  <c r="I22" i="16"/>
  <c r="I23" i="16"/>
  <c r="I24" i="16"/>
  <c r="I25" i="16"/>
  <c r="I26" i="16"/>
  <c r="I27" i="16"/>
  <c r="I28" i="16"/>
  <c r="I29" i="16"/>
  <c r="I30" i="16"/>
  <c r="I31" i="16"/>
  <c r="I32" i="16"/>
  <c r="I33" i="16"/>
  <c r="I34" i="16"/>
  <c r="I35" i="16"/>
  <c r="I36" i="16"/>
  <c r="I37" i="16"/>
  <c r="I38" i="16"/>
  <c r="I39" i="16"/>
  <c r="I40" i="16"/>
  <c r="I41" i="16"/>
  <c r="I42" i="16"/>
  <c r="I43" i="16"/>
  <c r="I44" i="16"/>
  <c r="I45" i="16"/>
  <c r="I46" i="16"/>
  <c r="I47" i="16"/>
  <c r="I48" i="16"/>
  <c r="I49" i="16"/>
  <c r="I50" i="16"/>
  <c r="I51" i="16"/>
  <c r="I52" i="16"/>
  <c r="I53" i="16"/>
  <c r="I54" i="16"/>
  <c r="I55" i="16"/>
  <c r="I56" i="16"/>
  <c r="I57" i="16"/>
  <c r="I58" i="16"/>
  <c r="I59" i="16"/>
  <c r="I60" i="16"/>
  <c r="I61" i="16"/>
  <c r="I62" i="16"/>
  <c r="I63" i="16"/>
  <c r="I64" i="16"/>
  <c r="I65" i="16"/>
  <c r="I66" i="16"/>
  <c r="I67" i="16"/>
  <c r="I68" i="16"/>
  <c r="I69" i="16"/>
  <c r="I70" i="16"/>
  <c r="I71" i="16"/>
  <c r="I72" i="16"/>
  <c r="I73" i="16"/>
  <c r="I74" i="16"/>
  <c r="I75" i="16"/>
  <c r="I76" i="16"/>
  <c r="I77" i="16"/>
  <c r="I78" i="16"/>
  <c r="I79" i="16"/>
  <c r="I80" i="16"/>
  <c r="I81" i="16"/>
  <c r="I82" i="16"/>
  <c r="I83" i="16"/>
  <c r="I84" i="16"/>
  <c r="I85" i="16"/>
  <c r="I86" i="16"/>
  <c r="I87" i="16"/>
  <c r="I88" i="16"/>
  <c r="I89" i="16"/>
  <c r="I90" i="16"/>
  <c r="I91" i="16"/>
  <c r="I92" i="16"/>
  <c r="I93" i="16"/>
  <c r="I94" i="16"/>
  <c r="I95" i="16"/>
  <c r="I96" i="16"/>
  <c r="I97" i="16"/>
  <c r="I98" i="16"/>
  <c r="I99" i="16"/>
  <c r="I100" i="16"/>
  <c r="I101" i="16"/>
  <c r="I102" i="16"/>
  <c r="I103" i="16"/>
  <c r="I104" i="16"/>
  <c r="I105" i="16"/>
  <c r="I106" i="16"/>
  <c r="I107" i="16"/>
  <c r="I108" i="16"/>
  <c r="I109" i="16"/>
  <c r="I110" i="16"/>
  <c r="I111" i="16"/>
  <c r="I112" i="16"/>
  <c r="I113" i="16"/>
  <c r="I114" i="16"/>
  <c r="I115" i="16"/>
  <c r="I116" i="16"/>
  <c r="I117" i="16"/>
  <c r="I118" i="16"/>
  <c r="I119" i="16"/>
  <c r="I120" i="16"/>
  <c r="I121" i="16"/>
  <c r="I122" i="16"/>
  <c r="I123" i="16"/>
  <c r="I124" i="16"/>
  <c r="I125" i="16"/>
  <c r="I126" i="16"/>
  <c r="I127" i="16"/>
  <c r="I128" i="16"/>
  <c r="I129" i="16"/>
  <c r="I130" i="16"/>
  <c r="I131" i="16"/>
  <c r="I132" i="16"/>
  <c r="I133" i="16"/>
  <c r="I134" i="16"/>
  <c r="I135" i="16"/>
  <c r="I136" i="16"/>
  <c r="I137" i="16"/>
  <c r="I138" i="16"/>
  <c r="I139" i="16"/>
  <c r="I140" i="16"/>
  <c r="I141" i="16"/>
  <c r="I142" i="16"/>
  <c r="I143" i="16"/>
  <c r="I144" i="16"/>
  <c r="I145" i="16"/>
  <c r="I146" i="16"/>
  <c r="I147" i="16"/>
  <c r="I148" i="16"/>
  <c r="I149" i="16"/>
  <c r="I150" i="16"/>
  <c r="I151" i="16"/>
  <c r="I152" i="16"/>
  <c r="I153" i="16"/>
  <c r="I154" i="16"/>
  <c r="I155" i="16"/>
  <c r="I156" i="16"/>
  <c r="I157" i="16"/>
  <c r="I158" i="16"/>
  <c r="I159" i="16"/>
  <c r="I160" i="16"/>
  <c r="I161" i="16"/>
  <c r="I162" i="16"/>
  <c r="I163" i="16"/>
  <c r="I164" i="16"/>
  <c r="I165" i="16"/>
  <c r="I166" i="16"/>
  <c r="I167" i="16"/>
  <c r="I168" i="16"/>
  <c r="I169" i="16"/>
  <c r="I170" i="16"/>
  <c r="I171" i="16"/>
  <c r="I172" i="16"/>
  <c r="I173" i="16"/>
  <c r="I174" i="16"/>
  <c r="I175" i="16"/>
  <c r="I176" i="16"/>
  <c r="I177" i="16"/>
  <c r="I178" i="16"/>
  <c r="I179" i="16"/>
  <c r="I180" i="16"/>
  <c r="I181" i="16"/>
  <c r="I182" i="16"/>
  <c r="I183" i="16"/>
  <c r="I184" i="16"/>
  <c r="I185" i="16"/>
  <c r="I186" i="16"/>
  <c r="I187" i="16"/>
  <c r="I188" i="16"/>
  <c r="I189" i="16"/>
  <c r="I190" i="16"/>
  <c r="I191" i="16"/>
  <c r="I192" i="16"/>
  <c r="I193" i="16"/>
  <c r="I194" i="16"/>
  <c r="I195" i="16"/>
  <c r="I196" i="16"/>
  <c r="I197" i="16"/>
  <c r="I198" i="16"/>
  <c r="I199" i="16"/>
  <c r="I200" i="16"/>
  <c r="I201" i="16"/>
  <c r="I202" i="16"/>
  <c r="I203" i="16"/>
  <c r="I204" i="16"/>
  <c r="I205" i="16"/>
  <c r="I206" i="16"/>
  <c r="I207" i="16"/>
  <c r="I208" i="16"/>
  <c r="I209" i="16"/>
  <c r="I210" i="16"/>
  <c r="I211" i="16"/>
  <c r="I212" i="16"/>
  <c r="I213" i="16"/>
  <c r="I214" i="16"/>
  <c r="I215" i="16"/>
  <c r="I216" i="16"/>
  <c r="I217" i="16"/>
  <c r="I218" i="16"/>
  <c r="I219" i="16"/>
  <c r="I220" i="16"/>
  <c r="I221" i="16"/>
  <c r="I222" i="16"/>
  <c r="I223" i="16"/>
  <c r="I224" i="16"/>
  <c r="I225" i="16"/>
  <c r="I226" i="16"/>
  <c r="I227" i="16"/>
  <c r="I228" i="16"/>
  <c r="I229" i="16"/>
  <c r="I230" i="16"/>
  <c r="I231" i="16"/>
  <c r="I232" i="16"/>
  <c r="I233" i="16"/>
  <c r="I234" i="16"/>
  <c r="I235" i="16"/>
  <c r="I236" i="16"/>
  <c r="I237" i="16"/>
  <c r="I238" i="16"/>
  <c r="I239" i="16"/>
  <c r="I240" i="16"/>
  <c r="I241" i="16"/>
  <c r="I242" i="16"/>
  <c r="I243" i="16"/>
  <c r="I244" i="16"/>
  <c r="I245" i="16"/>
  <c r="I246" i="16"/>
  <c r="I247" i="16"/>
  <c r="I248" i="16"/>
  <c r="I249" i="16"/>
  <c r="I250" i="16"/>
  <c r="I251" i="16"/>
  <c r="I252" i="16"/>
  <c r="I253" i="16"/>
  <c r="I254" i="16"/>
  <c r="I255" i="16"/>
  <c r="I256" i="16"/>
  <c r="I257" i="16"/>
  <c r="I258" i="16"/>
  <c r="I259" i="16"/>
  <c r="I260" i="16"/>
  <c r="I261" i="16"/>
  <c r="I262" i="16"/>
  <c r="I263" i="16"/>
  <c r="I264" i="16"/>
  <c r="I265" i="16"/>
  <c r="I266" i="16"/>
  <c r="I267" i="16"/>
  <c r="I268" i="16"/>
  <c r="I269" i="16"/>
  <c r="I270" i="16"/>
  <c r="I271" i="16"/>
  <c r="I272" i="16"/>
  <c r="I273" i="16"/>
  <c r="I274" i="16"/>
  <c r="I275" i="16"/>
  <c r="I276" i="16"/>
  <c r="I277" i="16"/>
  <c r="I278" i="16"/>
  <c r="I279" i="16"/>
  <c r="I280" i="16"/>
  <c r="I281" i="16"/>
  <c r="I282" i="16"/>
  <c r="I283" i="16"/>
  <c r="I284" i="16"/>
  <c r="I285" i="16"/>
  <c r="I286" i="16"/>
  <c r="I287" i="16"/>
  <c r="I288" i="16"/>
  <c r="I289" i="16"/>
  <c r="I290" i="16"/>
  <c r="I291" i="16"/>
  <c r="I292" i="16"/>
  <c r="I293" i="16"/>
  <c r="I294" i="16"/>
  <c r="I295" i="16"/>
  <c r="I296" i="16"/>
  <c r="I297" i="16"/>
  <c r="I298" i="16"/>
  <c r="I299" i="16"/>
  <c r="I300" i="16"/>
  <c r="I301" i="16"/>
  <c r="I302" i="16"/>
  <c r="I303" i="16"/>
  <c r="I304" i="16"/>
  <c r="I305" i="16"/>
  <c r="I306" i="16"/>
  <c r="I307" i="16"/>
  <c r="I308" i="16"/>
  <c r="I309" i="16"/>
  <c r="I310" i="16"/>
  <c r="I311" i="16"/>
  <c r="I312" i="16"/>
  <c r="I313" i="16"/>
  <c r="I314" i="16"/>
  <c r="I315" i="16"/>
  <c r="I316" i="16"/>
  <c r="I317" i="16"/>
  <c r="I318" i="16"/>
  <c r="I319" i="16"/>
  <c r="I320" i="16"/>
  <c r="I321" i="16"/>
  <c r="I322" i="16"/>
  <c r="I323" i="16"/>
  <c r="I324" i="16"/>
  <c r="I325" i="16"/>
  <c r="I326" i="16"/>
  <c r="I327" i="16"/>
  <c r="I328" i="16"/>
  <c r="I329" i="16"/>
  <c r="I330" i="16"/>
  <c r="I331" i="16"/>
  <c r="I332" i="16"/>
  <c r="I333" i="16"/>
  <c r="I334" i="16"/>
  <c r="I335" i="16"/>
  <c r="I336" i="16"/>
  <c r="I337" i="16"/>
  <c r="I338" i="16"/>
  <c r="I339" i="16"/>
  <c r="I340" i="16"/>
  <c r="I341" i="16"/>
  <c r="I342" i="16"/>
  <c r="I343" i="16"/>
  <c r="I344" i="16"/>
  <c r="I345" i="16"/>
  <c r="I346" i="16"/>
  <c r="I347" i="16"/>
  <c r="I348" i="16"/>
  <c r="I349" i="16"/>
  <c r="I350" i="16"/>
  <c r="I351" i="16"/>
  <c r="I352" i="16"/>
  <c r="I353" i="16"/>
  <c r="I354" i="16"/>
  <c r="I355" i="16"/>
  <c r="I356" i="16"/>
  <c r="I357" i="16"/>
  <c r="I358" i="16"/>
  <c r="I359" i="16"/>
  <c r="I360" i="16"/>
  <c r="I361" i="16"/>
  <c r="I362" i="16"/>
  <c r="I363" i="16"/>
  <c r="I364" i="16"/>
  <c r="I365" i="16"/>
  <c r="I366" i="16"/>
  <c r="I367" i="16"/>
  <c r="I368" i="16"/>
  <c r="I369" i="16"/>
  <c r="I370" i="16"/>
  <c r="I371" i="16"/>
  <c r="I372" i="16"/>
  <c r="I373" i="16"/>
  <c r="I374" i="16"/>
  <c r="I375" i="16"/>
  <c r="I376" i="16"/>
  <c r="I377" i="16"/>
  <c r="I378" i="16"/>
  <c r="I379" i="16"/>
  <c r="I380" i="16"/>
  <c r="I381" i="16"/>
  <c r="I382" i="16"/>
  <c r="I383" i="16"/>
  <c r="I384" i="16"/>
  <c r="I385" i="16"/>
  <c r="I386" i="16"/>
  <c r="I387" i="16"/>
  <c r="I388" i="16"/>
  <c r="I389" i="16"/>
  <c r="I390" i="16"/>
  <c r="I391" i="16"/>
  <c r="I392" i="16"/>
  <c r="I393" i="16"/>
  <c r="I394" i="16"/>
  <c r="I395" i="16"/>
  <c r="I396" i="16"/>
  <c r="I397" i="16"/>
  <c r="I398" i="16"/>
  <c r="I399" i="16"/>
  <c r="I400" i="16"/>
  <c r="I401" i="16"/>
  <c r="I402" i="16"/>
  <c r="I403" i="16"/>
  <c r="I404" i="16"/>
  <c r="I405" i="16"/>
  <c r="I406" i="16"/>
  <c r="I407" i="16"/>
  <c r="I408" i="16"/>
  <c r="I409" i="16"/>
  <c r="I410" i="16"/>
  <c r="I411" i="16"/>
  <c r="I412" i="16"/>
  <c r="I413" i="16"/>
  <c r="I414" i="16"/>
  <c r="I415" i="16"/>
  <c r="I416" i="16"/>
  <c r="I417" i="16"/>
  <c r="I418" i="16"/>
  <c r="I419" i="16"/>
  <c r="I420" i="16"/>
  <c r="I421" i="16"/>
  <c r="I422" i="16"/>
  <c r="I423" i="16"/>
  <c r="I424" i="16"/>
  <c r="I425" i="16"/>
  <c r="I426" i="16"/>
  <c r="I427" i="16"/>
  <c r="I428" i="16"/>
  <c r="I429" i="16"/>
  <c r="I430" i="16"/>
  <c r="I431" i="16"/>
  <c r="I432" i="16"/>
  <c r="I433" i="16"/>
  <c r="I434" i="16"/>
  <c r="I435" i="16"/>
  <c r="I436" i="16"/>
  <c r="I437" i="16"/>
  <c r="I438" i="16"/>
  <c r="I439" i="16"/>
  <c r="I440" i="16"/>
  <c r="I441" i="16"/>
  <c r="I442" i="16"/>
  <c r="I443" i="16"/>
  <c r="I444" i="16"/>
  <c r="I445" i="16"/>
  <c r="I446" i="16"/>
  <c r="I447" i="16"/>
  <c r="I448" i="16"/>
  <c r="I449" i="16"/>
  <c r="I450" i="16"/>
  <c r="I451" i="16"/>
  <c r="I452" i="16"/>
  <c r="I453" i="16"/>
  <c r="I454" i="16"/>
  <c r="I455" i="16"/>
  <c r="I456" i="16"/>
  <c r="I457" i="16"/>
  <c r="I458" i="16"/>
  <c r="I459" i="16"/>
  <c r="I460" i="16"/>
  <c r="I461" i="16"/>
  <c r="I462" i="16"/>
  <c r="I463" i="16"/>
  <c r="I464" i="16"/>
  <c r="I465" i="16"/>
  <c r="I466" i="16"/>
  <c r="I467" i="16"/>
  <c r="I468" i="16"/>
  <c r="I469" i="16"/>
  <c r="I470" i="16"/>
  <c r="I471" i="16"/>
  <c r="I472" i="16"/>
  <c r="I473" i="16"/>
  <c r="I474" i="16"/>
  <c r="I475" i="16"/>
  <c r="I476" i="16"/>
  <c r="I477" i="16"/>
  <c r="I478" i="16"/>
  <c r="I479" i="16"/>
  <c r="I480" i="16"/>
  <c r="I481" i="16"/>
  <c r="I482" i="16"/>
  <c r="I483" i="16"/>
  <c r="I484" i="16"/>
  <c r="I485" i="16"/>
  <c r="I486" i="16"/>
  <c r="I487" i="16"/>
  <c r="I488" i="16"/>
  <c r="I489" i="16"/>
  <c r="I490" i="16"/>
  <c r="I491" i="16"/>
  <c r="I492" i="16"/>
  <c r="I493" i="16"/>
  <c r="I494" i="16"/>
  <c r="I495" i="16"/>
  <c r="I496" i="16"/>
  <c r="I497" i="16"/>
  <c r="I498" i="16"/>
  <c r="I499" i="16"/>
  <c r="I500" i="16"/>
  <c r="I501" i="16"/>
  <c r="I502" i="16"/>
  <c r="I503" i="16"/>
  <c r="I504" i="16"/>
  <c r="I505" i="16"/>
  <c r="I506" i="16"/>
  <c r="I507" i="16"/>
  <c r="I508" i="16"/>
  <c r="I509" i="16"/>
  <c r="I510" i="16"/>
  <c r="I511" i="16"/>
  <c r="I512" i="16"/>
  <c r="I513" i="16"/>
  <c r="I514" i="16"/>
  <c r="I515" i="16"/>
  <c r="I516" i="16"/>
  <c r="I517" i="16"/>
  <c r="I518" i="16"/>
  <c r="I519" i="16"/>
  <c r="F2" i="16"/>
  <c r="G2" i="16" s="1"/>
  <c r="F3" i="16"/>
  <c r="G3" i="16" s="1"/>
  <c r="F4" i="16"/>
  <c r="G4" i="16" s="1"/>
  <c r="F5" i="16"/>
  <c r="G5" i="16" s="1"/>
  <c r="F6" i="16"/>
  <c r="G6" i="16" s="1"/>
  <c r="F7" i="16"/>
  <c r="G7" i="16" s="1"/>
  <c r="F8" i="16"/>
  <c r="G8" i="16" s="1"/>
  <c r="F9" i="16"/>
  <c r="G9" i="16" s="1"/>
  <c r="F10" i="16"/>
  <c r="G10" i="16" s="1"/>
  <c r="F11" i="16"/>
  <c r="G11" i="16" s="1"/>
  <c r="F12" i="16"/>
  <c r="G12" i="16" s="1"/>
  <c r="F13" i="16"/>
  <c r="G13" i="16" s="1"/>
  <c r="F14" i="16"/>
  <c r="G14" i="16" s="1"/>
  <c r="F15" i="16"/>
  <c r="G15" i="16" s="1"/>
  <c r="F16" i="16"/>
  <c r="G16" i="16" s="1"/>
  <c r="F17" i="16"/>
  <c r="G17" i="16" s="1"/>
  <c r="F18" i="16"/>
  <c r="G18" i="16" s="1"/>
  <c r="F19" i="16"/>
  <c r="G19" i="16" s="1"/>
  <c r="F20" i="16"/>
  <c r="G20" i="16" s="1"/>
  <c r="F21" i="16"/>
  <c r="G21" i="16" s="1"/>
  <c r="F22" i="16"/>
  <c r="G22" i="16" s="1"/>
  <c r="F23" i="16"/>
  <c r="G23" i="16" s="1"/>
  <c r="F24" i="16"/>
  <c r="G24" i="16" s="1"/>
  <c r="F25" i="16"/>
  <c r="G25" i="16" s="1"/>
  <c r="F26" i="16"/>
  <c r="G26" i="16" s="1"/>
  <c r="F27" i="16"/>
  <c r="G27" i="16" s="1"/>
  <c r="F28" i="16"/>
  <c r="G28" i="16" s="1"/>
  <c r="F29" i="16"/>
  <c r="G29" i="16" s="1"/>
  <c r="F30" i="16"/>
  <c r="G30" i="16" s="1"/>
  <c r="F31" i="16"/>
  <c r="G31" i="16" s="1"/>
  <c r="F32" i="16"/>
  <c r="H32" i="16" s="1"/>
  <c r="F33" i="16"/>
  <c r="G33" i="16" s="1"/>
  <c r="F34" i="16"/>
  <c r="G34" i="16" s="1"/>
  <c r="F35" i="16"/>
  <c r="G35" i="16" s="1"/>
  <c r="F36" i="16"/>
  <c r="G36" i="16" s="1"/>
  <c r="F37" i="16"/>
  <c r="G37" i="16" s="1"/>
  <c r="F38" i="16"/>
  <c r="G38" i="16" s="1"/>
  <c r="F39" i="16"/>
  <c r="G39" i="16" s="1"/>
  <c r="F40" i="16"/>
  <c r="G40" i="16" s="1"/>
  <c r="F41" i="16"/>
  <c r="G41" i="16" s="1"/>
  <c r="F42" i="16"/>
  <c r="G42" i="16" s="1"/>
  <c r="F43" i="16"/>
  <c r="G43" i="16" s="1"/>
  <c r="F44" i="16"/>
  <c r="G44" i="16" s="1"/>
  <c r="F45" i="16"/>
  <c r="G45" i="16" s="1"/>
  <c r="F46" i="16"/>
  <c r="H46" i="16" s="1"/>
  <c r="F47" i="16"/>
  <c r="H47" i="16" s="1"/>
  <c r="F48" i="16"/>
  <c r="G48" i="16" s="1"/>
  <c r="F49" i="16"/>
  <c r="G49" i="16" s="1"/>
  <c r="F50" i="16"/>
  <c r="G50" i="16" s="1"/>
  <c r="F51" i="16"/>
  <c r="G51" i="16" s="1"/>
  <c r="F52" i="16"/>
  <c r="G52" i="16" s="1"/>
  <c r="F53" i="16"/>
  <c r="G53" i="16" s="1"/>
  <c r="F54" i="16"/>
  <c r="G54" i="16" s="1"/>
  <c r="F55" i="16"/>
  <c r="G55" i="16" s="1"/>
  <c r="F56" i="16"/>
  <c r="G56" i="16" s="1"/>
  <c r="F57" i="16"/>
  <c r="G57" i="16" s="1"/>
  <c r="F58" i="16"/>
  <c r="G58" i="16" s="1"/>
  <c r="F59" i="16"/>
  <c r="G59" i="16" s="1"/>
  <c r="F60" i="16"/>
  <c r="G60" i="16" s="1"/>
  <c r="F61" i="16"/>
  <c r="G61" i="16" s="1"/>
  <c r="F62" i="16"/>
  <c r="G62" i="16" s="1"/>
  <c r="F63" i="16"/>
  <c r="H63" i="16" s="1"/>
  <c r="F64" i="16"/>
  <c r="H64" i="16" s="1"/>
  <c r="F65" i="16"/>
  <c r="G65" i="16" s="1"/>
  <c r="F66" i="16"/>
  <c r="G66" i="16" s="1"/>
  <c r="F67" i="16"/>
  <c r="G67" i="16" s="1"/>
  <c r="F68" i="16"/>
  <c r="G68" i="16" s="1"/>
  <c r="F69" i="16"/>
  <c r="G69" i="16" s="1"/>
  <c r="F70" i="16"/>
  <c r="G70" i="16" s="1"/>
  <c r="F71" i="16"/>
  <c r="G71" i="16" s="1"/>
  <c r="F72" i="16"/>
  <c r="G72" i="16" s="1"/>
  <c r="F73" i="16"/>
  <c r="G73" i="16" s="1"/>
  <c r="F74" i="16"/>
  <c r="G74" i="16" s="1"/>
  <c r="F75" i="16"/>
  <c r="G75" i="16" s="1"/>
  <c r="F76" i="16"/>
  <c r="G76" i="16" s="1"/>
  <c r="F77" i="16"/>
  <c r="G77" i="16" s="1"/>
  <c r="F78" i="16"/>
  <c r="G78" i="16" s="1"/>
  <c r="F79" i="16"/>
  <c r="G79" i="16" s="1"/>
  <c r="F80" i="16"/>
  <c r="G80" i="16" s="1"/>
  <c r="F81" i="16"/>
  <c r="G81" i="16" s="1"/>
  <c r="F82" i="16"/>
  <c r="G82" i="16" s="1"/>
  <c r="F83" i="16"/>
  <c r="G83" i="16" s="1"/>
  <c r="F84" i="16"/>
  <c r="G84" i="16" s="1"/>
  <c r="F85" i="16"/>
  <c r="G85" i="16" s="1"/>
  <c r="F86" i="16"/>
  <c r="G86" i="16" s="1"/>
  <c r="F87" i="16"/>
  <c r="G87" i="16" s="1"/>
  <c r="F88" i="16"/>
  <c r="G88" i="16" s="1"/>
  <c r="F89" i="16"/>
  <c r="G89" i="16" s="1"/>
  <c r="F90" i="16"/>
  <c r="G90" i="16" s="1"/>
  <c r="F91" i="16"/>
  <c r="G91" i="16" s="1"/>
  <c r="F92" i="16"/>
  <c r="G92" i="16" s="1"/>
  <c r="F93" i="16"/>
  <c r="G93" i="16" s="1"/>
  <c r="F94" i="16"/>
  <c r="G94" i="16" s="1"/>
  <c r="F95" i="16"/>
  <c r="G95" i="16" s="1"/>
  <c r="F96" i="16"/>
  <c r="G96" i="16" s="1"/>
  <c r="F97" i="16"/>
  <c r="G97" i="16" s="1"/>
  <c r="F98" i="16"/>
  <c r="G98" i="16" s="1"/>
  <c r="F99" i="16"/>
  <c r="G99" i="16" s="1"/>
  <c r="F100" i="16"/>
  <c r="G100" i="16" s="1"/>
  <c r="F101" i="16"/>
  <c r="G101" i="16" s="1"/>
  <c r="F102" i="16"/>
  <c r="G102" i="16" s="1"/>
  <c r="F103" i="16"/>
  <c r="G103" i="16" s="1"/>
  <c r="F104" i="16"/>
  <c r="G104" i="16" s="1"/>
  <c r="F105" i="16"/>
  <c r="G105" i="16" s="1"/>
  <c r="F106" i="16"/>
  <c r="G106" i="16" s="1"/>
  <c r="F107" i="16"/>
  <c r="G107" i="16" s="1"/>
  <c r="F108" i="16"/>
  <c r="G108" i="16" s="1"/>
  <c r="F109" i="16"/>
  <c r="G109" i="16" s="1"/>
  <c r="F110" i="16"/>
  <c r="G110" i="16" s="1"/>
  <c r="F111" i="16"/>
  <c r="G111" i="16" s="1"/>
  <c r="F112" i="16"/>
  <c r="G112" i="16" s="1"/>
  <c r="F113" i="16"/>
  <c r="G113" i="16" s="1"/>
  <c r="F114" i="16"/>
  <c r="G114" i="16" s="1"/>
  <c r="F115" i="16"/>
  <c r="G115" i="16" s="1"/>
  <c r="F116" i="16"/>
  <c r="G116" i="16" s="1"/>
  <c r="F117" i="16"/>
  <c r="G117" i="16" s="1"/>
  <c r="F118" i="16"/>
  <c r="G118" i="16" s="1"/>
  <c r="F119" i="16"/>
  <c r="G119" i="16" s="1"/>
  <c r="F120" i="16"/>
  <c r="G120" i="16" s="1"/>
  <c r="F121" i="16"/>
  <c r="G121" i="16" s="1"/>
  <c r="F122" i="16"/>
  <c r="G122" i="16" s="1"/>
  <c r="F123" i="16"/>
  <c r="G123" i="16" s="1"/>
  <c r="F124" i="16"/>
  <c r="G124" i="16" s="1"/>
  <c r="F125" i="16"/>
  <c r="G125" i="16" s="1"/>
  <c r="F126" i="16"/>
  <c r="G126" i="16" s="1"/>
  <c r="F127" i="16"/>
  <c r="G127" i="16" s="1"/>
  <c r="F128" i="16"/>
  <c r="G128" i="16" s="1"/>
  <c r="F129" i="16"/>
  <c r="G129" i="16" s="1"/>
  <c r="F130" i="16"/>
  <c r="G130" i="16" s="1"/>
  <c r="F131" i="16"/>
  <c r="G131" i="16" s="1"/>
  <c r="F132" i="16"/>
  <c r="G132" i="16" s="1"/>
  <c r="F133" i="16"/>
  <c r="G133" i="16" s="1"/>
  <c r="F134" i="16"/>
  <c r="G134" i="16" s="1"/>
  <c r="F135" i="16"/>
  <c r="G135" i="16" s="1"/>
  <c r="F136" i="16"/>
  <c r="G136" i="16" s="1"/>
  <c r="F137" i="16"/>
  <c r="G137" i="16" s="1"/>
  <c r="F138" i="16"/>
  <c r="G138" i="16" s="1"/>
  <c r="F139" i="16"/>
  <c r="G139" i="16" s="1"/>
  <c r="F140" i="16"/>
  <c r="G140" i="16" s="1"/>
  <c r="F141" i="16"/>
  <c r="G141" i="16" s="1"/>
  <c r="F142" i="16"/>
  <c r="G142" i="16" s="1"/>
  <c r="F143" i="16"/>
  <c r="G143" i="16" s="1"/>
  <c r="F144" i="16"/>
  <c r="G144" i="16" s="1"/>
  <c r="F145" i="16"/>
  <c r="G145" i="16" s="1"/>
  <c r="F146" i="16"/>
  <c r="G146" i="16" s="1"/>
  <c r="F147" i="16"/>
  <c r="G147" i="16" s="1"/>
  <c r="F148" i="16"/>
  <c r="G148" i="16" s="1"/>
  <c r="F149" i="16"/>
  <c r="G149" i="16" s="1"/>
  <c r="F150" i="16"/>
  <c r="G150" i="16" s="1"/>
  <c r="F151" i="16"/>
  <c r="G151" i="16" s="1"/>
  <c r="F152" i="16"/>
  <c r="G152" i="16" s="1"/>
  <c r="F153" i="16"/>
  <c r="G153" i="16" s="1"/>
  <c r="F154" i="16"/>
  <c r="G154" i="16" s="1"/>
  <c r="F155" i="16"/>
  <c r="G155" i="16" s="1"/>
  <c r="F156" i="16"/>
  <c r="G156" i="16" s="1"/>
  <c r="F157" i="16"/>
  <c r="G157" i="16" s="1"/>
  <c r="F158" i="16"/>
  <c r="G158" i="16" s="1"/>
  <c r="F159" i="16"/>
  <c r="G159" i="16" s="1"/>
  <c r="F160" i="16"/>
  <c r="G160" i="16" s="1"/>
  <c r="F161" i="16"/>
  <c r="G161" i="16" s="1"/>
  <c r="F162" i="16"/>
  <c r="G162" i="16" s="1"/>
  <c r="F163" i="16"/>
  <c r="G163" i="16" s="1"/>
  <c r="F164" i="16"/>
  <c r="G164" i="16" s="1"/>
  <c r="F165" i="16"/>
  <c r="G165" i="16" s="1"/>
  <c r="F166" i="16"/>
  <c r="G166" i="16" s="1"/>
  <c r="F167" i="16"/>
  <c r="G167" i="16" s="1"/>
  <c r="F168" i="16"/>
  <c r="G168" i="16" s="1"/>
  <c r="F169" i="16"/>
  <c r="G169" i="16" s="1"/>
  <c r="F170" i="16"/>
  <c r="G170" i="16" s="1"/>
  <c r="F171" i="16"/>
  <c r="G171" i="16" s="1"/>
  <c r="F172" i="16"/>
  <c r="G172" i="16" s="1"/>
  <c r="F173" i="16"/>
  <c r="G173" i="16" s="1"/>
  <c r="F174" i="16"/>
  <c r="G174" i="16" s="1"/>
  <c r="F175" i="16"/>
  <c r="G175" i="16" s="1"/>
  <c r="F176" i="16"/>
  <c r="G176" i="16" s="1"/>
  <c r="F177" i="16"/>
  <c r="G177" i="16" s="1"/>
  <c r="F178" i="16"/>
  <c r="G178" i="16" s="1"/>
  <c r="F179" i="16"/>
  <c r="G179" i="16" s="1"/>
  <c r="F180" i="16"/>
  <c r="G180" i="16" s="1"/>
  <c r="F181" i="16"/>
  <c r="G181" i="16" s="1"/>
  <c r="F182" i="16"/>
  <c r="G182" i="16" s="1"/>
  <c r="F183" i="16"/>
  <c r="G183" i="16" s="1"/>
  <c r="F184" i="16"/>
  <c r="G184" i="16" s="1"/>
  <c r="F185" i="16"/>
  <c r="G185" i="16" s="1"/>
  <c r="F186" i="16"/>
  <c r="G186" i="16" s="1"/>
  <c r="F187" i="16"/>
  <c r="G187" i="16" s="1"/>
  <c r="F188" i="16"/>
  <c r="G188" i="16" s="1"/>
  <c r="F189" i="16"/>
  <c r="G189" i="16" s="1"/>
  <c r="F190" i="16"/>
  <c r="G190" i="16" s="1"/>
  <c r="F191" i="16"/>
  <c r="G191" i="16" s="1"/>
  <c r="F192" i="16"/>
  <c r="G192" i="16" s="1"/>
  <c r="F193" i="16"/>
  <c r="G193" i="16" s="1"/>
  <c r="F194" i="16"/>
  <c r="G194" i="16" s="1"/>
  <c r="F195" i="16"/>
  <c r="G195" i="16" s="1"/>
  <c r="F196" i="16"/>
  <c r="G196" i="16" s="1"/>
  <c r="F197" i="16"/>
  <c r="G197" i="16" s="1"/>
  <c r="F198" i="16"/>
  <c r="G198" i="16" s="1"/>
  <c r="F199" i="16"/>
  <c r="G199" i="16" s="1"/>
  <c r="F200" i="16"/>
  <c r="G200" i="16" s="1"/>
  <c r="F201" i="16"/>
  <c r="G201" i="16" s="1"/>
  <c r="F202" i="16"/>
  <c r="G202" i="16" s="1"/>
  <c r="F203" i="16"/>
  <c r="G203" i="16" s="1"/>
  <c r="F204" i="16"/>
  <c r="G204" i="16" s="1"/>
  <c r="F205" i="16"/>
  <c r="G205" i="16" s="1"/>
  <c r="F206" i="16"/>
  <c r="G206" i="16" s="1"/>
  <c r="F207" i="16"/>
  <c r="G207" i="16" s="1"/>
  <c r="F208" i="16"/>
  <c r="G208" i="16" s="1"/>
  <c r="F209" i="16"/>
  <c r="G209" i="16" s="1"/>
  <c r="F210" i="16"/>
  <c r="G210" i="16" s="1"/>
  <c r="F211" i="16"/>
  <c r="G211" i="16" s="1"/>
  <c r="F212" i="16"/>
  <c r="G212" i="16" s="1"/>
  <c r="F213" i="16"/>
  <c r="G213" i="16" s="1"/>
  <c r="F214" i="16"/>
  <c r="G214" i="16" s="1"/>
  <c r="F215" i="16"/>
  <c r="G215" i="16" s="1"/>
  <c r="F216" i="16"/>
  <c r="G216" i="16" s="1"/>
  <c r="F217" i="16"/>
  <c r="G217" i="16" s="1"/>
  <c r="F218" i="16"/>
  <c r="G218" i="16" s="1"/>
  <c r="F219" i="16"/>
  <c r="G219" i="16" s="1"/>
  <c r="F220" i="16"/>
  <c r="G220" i="16" s="1"/>
  <c r="F221" i="16"/>
  <c r="G221" i="16" s="1"/>
  <c r="F222" i="16"/>
  <c r="G222" i="16" s="1"/>
  <c r="F223" i="16"/>
  <c r="G223" i="16" s="1"/>
  <c r="F224" i="16"/>
  <c r="G224" i="16" s="1"/>
  <c r="F225" i="16"/>
  <c r="G225" i="16" s="1"/>
  <c r="F226" i="16"/>
  <c r="G226" i="16" s="1"/>
  <c r="F227" i="16"/>
  <c r="G227" i="16" s="1"/>
  <c r="F228" i="16"/>
  <c r="G228" i="16" s="1"/>
  <c r="F229" i="16"/>
  <c r="G229" i="16" s="1"/>
  <c r="F230" i="16"/>
  <c r="G230" i="16" s="1"/>
  <c r="F231" i="16"/>
  <c r="G231" i="16" s="1"/>
  <c r="F232" i="16"/>
  <c r="G232" i="16" s="1"/>
  <c r="F233" i="16"/>
  <c r="G233" i="16" s="1"/>
  <c r="F234" i="16"/>
  <c r="G234" i="16" s="1"/>
  <c r="F235" i="16"/>
  <c r="G235" i="16" s="1"/>
  <c r="F236" i="16"/>
  <c r="G236" i="16" s="1"/>
  <c r="F237" i="16"/>
  <c r="G237" i="16" s="1"/>
  <c r="F238" i="16"/>
  <c r="G238" i="16" s="1"/>
  <c r="F239" i="16"/>
  <c r="G239" i="16" s="1"/>
  <c r="F240" i="16"/>
  <c r="G240" i="16" s="1"/>
  <c r="F241" i="16"/>
  <c r="G241" i="16" s="1"/>
  <c r="F242" i="16"/>
  <c r="G242" i="16" s="1"/>
  <c r="F243" i="16"/>
  <c r="G243" i="16" s="1"/>
  <c r="F244" i="16"/>
  <c r="G244" i="16" s="1"/>
  <c r="F245" i="16"/>
  <c r="G245" i="16" s="1"/>
  <c r="F246" i="16"/>
  <c r="G246" i="16" s="1"/>
  <c r="F247" i="16"/>
  <c r="G247" i="16" s="1"/>
  <c r="F248" i="16"/>
  <c r="G248" i="16" s="1"/>
  <c r="F249" i="16"/>
  <c r="G249" i="16" s="1"/>
  <c r="F250" i="16"/>
  <c r="G250" i="16" s="1"/>
  <c r="F251" i="16"/>
  <c r="G251" i="16" s="1"/>
  <c r="F252" i="16"/>
  <c r="G252" i="16" s="1"/>
  <c r="F253" i="16"/>
  <c r="G253" i="16" s="1"/>
  <c r="F254" i="16"/>
  <c r="G254" i="16" s="1"/>
  <c r="F255" i="16"/>
  <c r="G255" i="16" s="1"/>
  <c r="F256" i="16"/>
  <c r="G256" i="16" s="1"/>
  <c r="F257" i="16"/>
  <c r="G257" i="16" s="1"/>
  <c r="F258" i="16"/>
  <c r="G258" i="16" s="1"/>
  <c r="F259" i="16"/>
  <c r="G259" i="16" s="1"/>
  <c r="F260" i="16"/>
  <c r="G260" i="16" s="1"/>
  <c r="F261" i="16"/>
  <c r="G261" i="16" s="1"/>
  <c r="F262" i="16"/>
  <c r="G262" i="16" s="1"/>
  <c r="F263" i="16"/>
  <c r="G263" i="16" s="1"/>
  <c r="F264" i="16"/>
  <c r="G264" i="16" s="1"/>
  <c r="F265" i="16"/>
  <c r="G265" i="16" s="1"/>
  <c r="F266" i="16"/>
  <c r="G266" i="16" s="1"/>
  <c r="F267" i="16"/>
  <c r="G267" i="16" s="1"/>
  <c r="F268" i="16"/>
  <c r="G268" i="16" s="1"/>
  <c r="F269" i="16"/>
  <c r="G269" i="16" s="1"/>
  <c r="F270" i="16"/>
  <c r="G270" i="16" s="1"/>
  <c r="F271" i="16"/>
  <c r="G271" i="16" s="1"/>
  <c r="F272" i="16"/>
  <c r="G272" i="16" s="1"/>
  <c r="F273" i="16"/>
  <c r="G273" i="16" s="1"/>
  <c r="F274" i="16"/>
  <c r="G274" i="16" s="1"/>
  <c r="F275" i="16"/>
  <c r="G275" i="16" s="1"/>
  <c r="F276" i="16"/>
  <c r="G276" i="16" s="1"/>
  <c r="F277" i="16"/>
  <c r="G277" i="16" s="1"/>
  <c r="F278" i="16"/>
  <c r="G278" i="16" s="1"/>
  <c r="F279" i="16"/>
  <c r="G279" i="16" s="1"/>
  <c r="F280" i="16"/>
  <c r="G280" i="16" s="1"/>
  <c r="F281" i="16"/>
  <c r="G281" i="16" s="1"/>
  <c r="F282" i="16"/>
  <c r="G282" i="16" s="1"/>
  <c r="F283" i="16"/>
  <c r="G283" i="16" s="1"/>
  <c r="F284" i="16"/>
  <c r="G284" i="16" s="1"/>
  <c r="F285" i="16"/>
  <c r="G285" i="16" s="1"/>
  <c r="F286" i="16"/>
  <c r="G286" i="16" s="1"/>
  <c r="F287" i="16"/>
  <c r="G287" i="16" s="1"/>
  <c r="F288" i="16"/>
  <c r="G288" i="16" s="1"/>
  <c r="F289" i="16"/>
  <c r="G289" i="16" s="1"/>
  <c r="F290" i="16"/>
  <c r="G290" i="16" s="1"/>
  <c r="F291" i="16"/>
  <c r="G291" i="16" s="1"/>
  <c r="F292" i="16"/>
  <c r="G292" i="16" s="1"/>
  <c r="F293" i="16"/>
  <c r="G293" i="16" s="1"/>
  <c r="F294" i="16"/>
  <c r="G294" i="16" s="1"/>
  <c r="F295" i="16"/>
  <c r="G295" i="16" s="1"/>
  <c r="F296" i="16"/>
  <c r="G296" i="16" s="1"/>
  <c r="F297" i="16"/>
  <c r="G297" i="16" s="1"/>
  <c r="F298" i="16"/>
  <c r="G298" i="16" s="1"/>
  <c r="F299" i="16"/>
  <c r="G299" i="16" s="1"/>
  <c r="F300" i="16"/>
  <c r="G300" i="16" s="1"/>
  <c r="F301" i="16"/>
  <c r="G301" i="16" s="1"/>
  <c r="F302" i="16"/>
  <c r="G302" i="16" s="1"/>
  <c r="F303" i="16"/>
  <c r="G303" i="16" s="1"/>
  <c r="F304" i="16"/>
  <c r="G304" i="16" s="1"/>
  <c r="F305" i="16"/>
  <c r="G305" i="16" s="1"/>
  <c r="F306" i="16"/>
  <c r="G306" i="16" s="1"/>
  <c r="F307" i="16"/>
  <c r="G307" i="16" s="1"/>
  <c r="F308" i="16"/>
  <c r="G308" i="16" s="1"/>
  <c r="F309" i="16"/>
  <c r="G309" i="16" s="1"/>
  <c r="F310" i="16"/>
  <c r="G310" i="16" s="1"/>
  <c r="F311" i="16"/>
  <c r="G311" i="16" s="1"/>
  <c r="F312" i="16"/>
  <c r="G312" i="16" s="1"/>
  <c r="F313" i="16"/>
  <c r="G313" i="16" s="1"/>
  <c r="F314" i="16"/>
  <c r="G314" i="16" s="1"/>
  <c r="F315" i="16"/>
  <c r="G315" i="16" s="1"/>
  <c r="F316" i="16"/>
  <c r="G316" i="16" s="1"/>
  <c r="F317" i="16"/>
  <c r="G317" i="16" s="1"/>
  <c r="F318" i="16"/>
  <c r="G318" i="16" s="1"/>
  <c r="F319" i="16"/>
  <c r="G319" i="16" s="1"/>
  <c r="F320" i="16"/>
  <c r="G320" i="16" s="1"/>
  <c r="F321" i="16"/>
  <c r="G321" i="16" s="1"/>
  <c r="F322" i="16"/>
  <c r="G322" i="16" s="1"/>
  <c r="F323" i="16"/>
  <c r="G323" i="16" s="1"/>
  <c r="F324" i="16"/>
  <c r="G324" i="16" s="1"/>
  <c r="F325" i="16"/>
  <c r="G325" i="16" s="1"/>
  <c r="F326" i="16"/>
  <c r="G326" i="16" s="1"/>
  <c r="F327" i="16"/>
  <c r="G327" i="16" s="1"/>
  <c r="F328" i="16"/>
  <c r="G328" i="16" s="1"/>
  <c r="F329" i="16"/>
  <c r="G329" i="16" s="1"/>
  <c r="F330" i="16"/>
  <c r="G330" i="16" s="1"/>
  <c r="F331" i="16"/>
  <c r="G331" i="16" s="1"/>
  <c r="F332" i="16"/>
  <c r="G332" i="16" s="1"/>
  <c r="F333" i="16"/>
  <c r="G333" i="16" s="1"/>
  <c r="F334" i="16"/>
  <c r="G334" i="16" s="1"/>
  <c r="F335" i="16"/>
  <c r="G335" i="16" s="1"/>
  <c r="F336" i="16"/>
  <c r="G336" i="16" s="1"/>
  <c r="F337" i="16"/>
  <c r="G337" i="16" s="1"/>
  <c r="F338" i="16"/>
  <c r="G338" i="16" s="1"/>
  <c r="F339" i="16"/>
  <c r="G339" i="16" s="1"/>
  <c r="F340" i="16"/>
  <c r="G340" i="16" s="1"/>
  <c r="F341" i="16"/>
  <c r="G341" i="16" s="1"/>
  <c r="F342" i="16"/>
  <c r="G342" i="16" s="1"/>
  <c r="F343" i="16"/>
  <c r="G343" i="16" s="1"/>
  <c r="F344" i="16"/>
  <c r="G344" i="16" s="1"/>
  <c r="F345" i="16"/>
  <c r="G345" i="16" s="1"/>
  <c r="F346" i="16"/>
  <c r="G346" i="16" s="1"/>
  <c r="F347" i="16"/>
  <c r="G347" i="16" s="1"/>
  <c r="F348" i="16"/>
  <c r="G348" i="16" s="1"/>
  <c r="F349" i="16"/>
  <c r="G349" i="16" s="1"/>
  <c r="F350" i="16"/>
  <c r="G350" i="16" s="1"/>
  <c r="F351" i="16"/>
  <c r="G351" i="16" s="1"/>
  <c r="F352" i="16"/>
  <c r="G352" i="16" s="1"/>
  <c r="F353" i="16"/>
  <c r="G353" i="16" s="1"/>
  <c r="F354" i="16"/>
  <c r="G354" i="16" s="1"/>
  <c r="F355" i="16"/>
  <c r="G355" i="16" s="1"/>
  <c r="F356" i="16"/>
  <c r="G356" i="16" s="1"/>
  <c r="F357" i="16"/>
  <c r="G357" i="16" s="1"/>
  <c r="F358" i="16"/>
  <c r="G358" i="16" s="1"/>
  <c r="F359" i="16"/>
  <c r="G359" i="16" s="1"/>
  <c r="F360" i="16"/>
  <c r="G360" i="16" s="1"/>
  <c r="F361" i="16"/>
  <c r="G361" i="16" s="1"/>
  <c r="F362" i="16"/>
  <c r="G362" i="16" s="1"/>
  <c r="F363" i="16"/>
  <c r="G363" i="16" s="1"/>
  <c r="F364" i="16"/>
  <c r="G364" i="16" s="1"/>
  <c r="F365" i="16"/>
  <c r="G365" i="16" s="1"/>
  <c r="F366" i="16"/>
  <c r="G366" i="16" s="1"/>
  <c r="F367" i="16"/>
  <c r="G367" i="16" s="1"/>
  <c r="F368" i="16"/>
  <c r="G368" i="16" s="1"/>
  <c r="F369" i="16"/>
  <c r="G369" i="16" s="1"/>
  <c r="F370" i="16"/>
  <c r="G370" i="16" s="1"/>
  <c r="F371" i="16"/>
  <c r="G371" i="16" s="1"/>
  <c r="F372" i="16"/>
  <c r="G372" i="16" s="1"/>
  <c r="F373" i="16"/>
  <c r="G373" i="16" s="1"/>
  <c r="F374" i="16"/>
  <c r="G374" i="16" s="1"/>
  <c r="F375" i="16"/>
  <c r="G375" i="16" s="1"/>
  <c r="F376" i="16"/>
  <c r="G376" i="16" s="1"/>
  <c r="F377" i="16"/>
  <c r="G377" i="16" s="1"/>
  <c r="F378" i="16"/>
  <c r="G378" i="16" s="1"/>
  <c r="F379" i="16"/>
  <c r="G379" i="16" s="1"/>
  <c r="F380" i="16"/>
  <c r="G380" i="16" s="1"/>
  <c r="F381" i="16"/>
  <c r="G381" i="16" s="1"/>
  <c r="F382" i="16"/>
  <c r="G382" i="16" s="1"/>
  <c r="F383" i="16"/>
  <c r="G383" i="16" s="1"/>
  <c r="F384" i="16"/>
  <c r="G384" i="16" s="1"/>
  <c r="F385" i="16"/>
  <c r="G385" i="16" s="1"/>
  <c r="F386" i="16"/>
  <c r="G386" i="16" s="1"/>
  <c r="F387" i="16"/>
  <c r="G387" i="16" s="1"/>
  <c r="F388" i="16"/>
  <c r="G388" i="16" s="1"/>
  <c r="F389" i="16"/>
  <c r="G389" i="16" s="1"/>
  <c r="F390" i="16"/>
  <c r="G390" i="16" s="1"/>
  <c r="F391" i="16"/>
  <c r="G391" i="16" s="1"/>
  <c r="F392" i="16"/>
  <c r="G392" i="16" s="1"/>
  <c r="F393" i="16"/>
  <c r="G393" i="16" s="1"/>
  <c r="F394" i="16"/>
  <c r="G394" i="16" s="1"/>
  <c r="F395" i="16"/>
  <c r="G395" i="16" s="1"/>
  <c r="F396" i="16"/>
  <c r="G396" i="16" s="1"/>
  <c r="F397" i="16"/>
  <c r="G397" i="16" s="1"/>
  <c r="F398" i="16"/>
  <c r="G398" i="16" s="1"/>
  <c r="F399" i="16"/>
  <c r="G399" i="16" s="1"/>
  <c r="F400" i="16"/>
  <c r="G400" i="16" s="1"/>
  <c r="F401" i="16"/>
  <c r="G401" i="16" s="1"/>
  <c r="F402" i="16"/>
  <c r="G402" i="16" s="1"/>
  <c r="F403" i="16"/>
  <c r="G403" i="16" s="1"/>
  <c r="F404" i="16"/>
  <c r="G404" i="16" s="1"/>
  <c r="F405" i="16"/>
  <c r="G405" i="16" s="1"/>
  <c r="F406" i="16"/>
  <c r="G406" i="16" s="1"/>
  <c r="F407" i="16"/>
  <c r="G407" i="16" s="1"/>
  <c r="F408" i="16"/>
  <c r="G408" i="16" s="1"/>
  <c r="F409" i="16"/>
  <c r="G409" i="16" s="1"/>
  <c r="F410" i="16"/>
  <c r="G410" i="16" s="1"/>
  <c r="F411" i="16"/>
  <c r="G411" i="16" s="1"/>
  <c r="F412" i="16"/>
  <c r="G412" i="16" s="1"/>
  <c r="F413" i="16"/>
  <c r="G413" i="16" s="1"/>
  <c r="F414" i="16"/>
  <c r="G414" i="16" s="1"/>
  <c r="F415" i="16"/>
  <c r="G415" i="16" s="1"/>
  <c r="F416" i="16"/>
  <c r="G416" i="16" s="1"/>
  <c r="F417" i="16"/>
  <c r="G417" i="16" s="1"/>
  <c r="F418" i="16"/>
  <c r="G418" i="16" s="1"/>
  <c r="F419" i="16"/>
  <c r="G419" i="16" s="1"/>
  <c r="F420" i="16"/>
  <c r="G420" i="16" s="1"/>
  <c r="F421" i="16"/>
  <c r="G421" i="16" s="1"/>
  <c r="F422" i="16"/>
  <c r="G422" i="16" s="1"/>
  <c r="F423" i="16"/>
  <c r="G423" i="16" s="1"/>
  <c r="F424" i="16"/>
  <c r="G424" i="16" s="1"/>
  <c r="F425" i="16"/>
  <c r="G425" i="16" s="1"/>
  <c r="F426" i="16"/>
  <c r="G426" i="16" s="1"/>
  <c r="F427" i="16"/>
  <c r="G427" i="16" s="1"/>
  <c r="F428" i="16"/>
  <c r="G428" i="16" s="1"/>
  <c r="F429" i="16"/>
  <c r="G429" i="16" s="1"/>
  <c r="F430" i="16"/>
  <c r="G430" i="16" s="1"/>
  <c r="F431" i="16"/>
  <c r="G431" i="16" s="1"/>
  <c r="F432" i="16"/>
  <c r="G432" i="16" s="1"/>
  <c r="F433" i="16"/>
  <c r="G433" i="16" s="1"/>
  <c r="F434" i="16"/>
  <c r="G434" i="16" s="1"/>
  <c r="F435" i="16"/>
  <c r="G435" i="16" s="1"/>
  <c r="F436" i="16"/>
  <c r="G436" i="16" s="1"/>
  <c r="F437" i="16"/>
  <c r="G437" i="16" s="1"/>
  <c r="F438" i="16"/>
  <c r="G438" i="16" s="1"/>
  <c r="F439" i="16"/>
  <c r="G439" i="16" s="1"/>
  <c r="F440" i="16"/>
  <c r="G440" i="16" s="1"/>
  <c r="F441" i="16"/>
  <c r="G441" i="16" s="1"/>
  <c r="F442" i="16"/>
  <c r="G442" i="16" s="1"/>
  <c r="F443" i="16"/>
  <c r="G443" i="16" s="1"/>
  <c r="F444" i="16"/>
  <c r="G444" i="16" s="1"/>
  <c r="F445" i="16"/>
  <c r="G445" i="16" s="1"/>
  <c r="F446" i="16"/>
  <c r="G446" i="16" s="1"/>
  <c r="F447" i="16"/>
  <c r="G447" i="16" s="1"/>
  <c r="F448" i="16"/>
  <c r="G448" i="16" s="1"/>
  <c r="F449" i="16"/>
  <c r="G449" i="16" s="1"/>
  <c r="F450" i="16"/>
  <c r="G450" i="16" s="1"/>
  <c r="F451" i="16"/>
  <c r="G451" i="16" s="1"/>
  <c r="F452" i="16"/>
  <c r="G452" i="16" s="1"/>
  <c r="F453" i="16"/>
  <c r="G453" i="16" s="1"/>
  <c r="F454" i="16"/>
  <c r="G454" i="16" s="1"/>
  <c r="F455" i="16"/>
  <c r="G455" i="16" s="1"/>
  <c r="F456" i="16"/>
  <c r="G456" i="16" s="1"/>
  <c r="F457" i="16"/>
  <c r="G457" i="16" s="1"/>
  <c r="F458" i="16"/>
  <c r="G458" i="16" s="1"/>
  <c r="F459" i="16"/>
  <c r="G459" i="16" s="1"/>
  <c r="F460" i="16"/>
  <c r="G460" i="16" s="1"/>
  <c r="F461" i="16"/>
  <c r="G461" i="16" s="1"/>
  <c r="F462" i="16"/>
  <c r="G462" i="16" s="1"/>
  <c r="F463" i="16"/>
  <c r="G463" i="16" s="1"/>
  <c r="F464" i="16"/>
  <c r="G464" i="16" s="1"/>
  <c r="F465" i="16"/>
  <c r="G465" i="16" s="1"/>
  <c r="F466" i="16"/>
  <c r="G466" i="16" s="1"/>
  <c r="F467" i="16"/>
  <c r="G467" i="16" s="1"/>
  <c r="F468" i="16"/>
  <c r="G468" i="16" s="1"/>
  <c r="F469" i="16"/>
  <c r="G469" i="16" s="1"/>
  <c r="F470" i="16"/>
  <c r="G470" i="16" s="1"/>
  <c r="F471" i="16"/>
  <c r="G471" i="16" s="1"/>
  <c r="F472" i="16"/>
  <c r="G472" i="16" s="1"/>
  <c r="F473" i="16"/>
  <c r="G473" i="16" s="1"/>
  <c r="F474" i="16"/>
  <c r="G474" i="16" s="1"/>
  <c r="F475" i="16"/>
  <c r="G475" i="16" s="1"/>
  <c r="F476" i="16"/>
  <c r="G476" i="16" s="1"/>
  <c r="F477" i="16"/>
  <c r="G477" i="16" s="1"/>
  <c r="F478" i="16"/>
  <c r="G478" i="16" s="1"/>
  <c r="F479" i="16"/>
  <c r="G479" i="16" s="1"/>
  <c r="F480" i="16"/>
  <c r="G480" i="16" s="1"/>
  <c r="F481" i="16"/>
  <c r="G481" i="16" s="1"/>
  <c r="F482" i="16"/>
  <c r="G482" i="16" s="1"/>
  <c r="F483" i="16"/>
  <c r="G483" i="16" s="1"/>
  <c r="F484" i="16"/>
  <c r="G484" i="16" s="1"/>
  <c r="F485" i="16"/>
  <c r="G485" i="16" s="1"/>
  <c r="F486" i="16"/>
  <c r="G486" i="16" s="1"/>
  <c r="F487" i="16"/>
  <c r="G487" i="16" s="1"/>
  <c r="F488" i="16"/>
  <c r="G488" i="16" s="1"/>
  <c r="F489" i="16"/>
  <c r="G489" i="16" s="1"/>
  <c r="F490" i="16"/>
  <c r="G490" i="16" s="1"/>
  <c r="F491" i="16"/>
  <c r="G491" i="16" s="1"/>
  <c r="F492" i="16"/>
  <c r="G492" i="16" s="1"/>
  <c r="F493" i="16"/>
  <c r="G493" i="16" s="1"/>
  <c r="F494" i="16"/>
  <c r="G494" i="16" s="1"/>
  <c r="F495" i="16"/>
  <c r="G495" i="16" s="1"/>
  <c r="F496" i="16"/>
  <c r="G496" i="16" s="1"/>
  <c r="F497" i="16"/>
  <c r="G497" i="16" s="1"/>
  <c r="F498" i="16"/>
  <c r="G498" i="16" s="1"/>
  <c r="F499" i="16"/>
  <c r="G499" i="16" s="1"/>
  <c r="F500" i="16"/>
  <c r="G500" i="16" s="1"/>
  <c r="F501" i="16"/>
  <c r="G501" i="16" s="1"/>
  <c r="F502" i="16"/>
  <c r="G502" i="16" s="1"/>
  <c r="F503" i="16"/>
  <c r="G503" i="16" s="1"/>
  <c r="F504" i="16"/>
  <c r="G504" i="16" s="1"/>
  <c r="F505" i="16"/>
  <c r="G505" i="16" s="1"/>
  <c r="F506" i="16"/>
  <c r="G506" i="16" s="1"/>
  <c r="F507" i="16"/>
  <c r="G507" i="16" s="1"/>
  <c r="F508" i="16"/>
  <c r="G508" i="16" s="1"/>
  <c r="F509" i="16"/>
  <c r="G509" i="16" s="1"/>
  <c r="F510" i="16"/>
  <c r="G510" i="16" s="1"/>
  <c r="F511" i="16"/>
  <c r="G511" i="16" s="1"/>
  <c r="F512" i="16"/>
  <c r="G512" i="16" s="1"/>
  <c r="F513" i="16"/>
  <c r="G513" i="16" s="1"/>
  <c r="F514" i="16"/>
  <c r="G514" i="16" s="1"/>
  <c r="F515" i="16"/>
  <c r="G515" i="16" s="1"/>
  <c r="F516" i="16"/>
  <c r="G516" i="16" s="1"/>
  <c r="F517" i="16"/>
  <c r="G517" i="16" s="1"/>
  <c r="F518" i="16"/>
  <c r="G518" i="16" s="1"/>
  <c r="F519" i="16"/>
  <c r="G519" i="16" s="1"/>
  <c r="E2" i="16"/>
  <c r="T2" i="16" s="1"/>
  <c r="E3" i="16"/>
  <c r="T3" i="16" s="1"/>
  <c r="E4" i="16"/>
  <c r="T4" i="16" s="1"/>
  <c r="E5" i="16"/>
  <c r="T5" i="16" s="1"/>
  <c r="E6" i="16"/>
  <c r="T6" i="16" s="1"/>
  <c r="E7" i="16"/>
  <c r="T7" i="16" s="1"/>
  <c r="E8" i="16"/>
  <c r="T8" i="16" s="1"/>
  <c r="E9" i="16"/>
  <c r="T9" i="16" s="1"/>
  <c r="E10" i="16"/>
  <c r="T10" i="16" s="1"/>
  <c r="E11" i="16"/>
  <c r="T11" i="16" s="1"/>
  <c r="E12" i="16"/>
  <c r="T12" i="16" s="1"/>
  <c r="E13" i="16"/>
  <c r="T13" i="16" s="1"/>
  <c r="E14" i="16"/>
  <c r="T14" i="16" s="1"/>
  <c r="E15" i="16"/>
  <c r="T15" i="16" s="1"/>
  <c r="E16" i="16"/>
  <c r="T16" i="16" s="1"/>
  <c r="E17" i="16"/>
  <c r="T17" i="16" s="1"/>
  <c r="E18" i="16"/>
  <c r="T18" i="16" s="1"/>
  <c r="E19" i="16"/>
  <c r="T19" i="16" s="1"/>
  <c r="E20" i="16"/>
  <c r="T20" i="16" s="1"/>
  <c r="E21" i="16"/>
  <c r="T21" i="16" s="1"/>
  <c r="E22" i="16"/>
  <c r="T22" i="16" s="1"/>
  <c r="E23" i="16"/>
  <c r="T23" i="16" s="1"/>
  <c r="E24" i="16"/>
  <c r="T24" i="16" s="1"/>
  <c r="E25" i="16"/>
  <c r="T25" i="16" s="1"/>
  <c r="E26" i="16"/>
  <c r="T26" i="16" s="1"/>
  <c r="E27" i="16"/>
  <c r="T27" i="16" s="1"/>
  <c r="E28" i="16"/>
  <c r="T28" i="16" s="1"/>
  <c r="E29" i="16"/>
  <c r="T29" i="16" s="1"/>
  <c r="E30" i="16"/>
  <c r="T30" i="16" s="1"/>
  <c r="E31" i="16"/>
  <c r="T31" i="16" s="1"/>
  <c r="E32" i="16"/>
  <c r="T32" i="16" s="1"/>
  <c r="E33" i="16"/>
  <c r="T33" i="16" s="1"/>
  <c r="E34" i="16"/>
  <c r="T34" i="16" s="1"/>
  <c r="E35" i="16"/>
  <c r="T35" i="16" s="1"/>
  <c r="E36" i="16"/>
  <c r="T36" i="16" s="1"/>
  <c r="E37" i="16"/>
  <c r="T37" i="16" s="1"/>
  <c r="E38" i="16"/>
  <c r="T38" i="16" s="1"/>
  <c r="E39" i="16"/>
  <c r="T39" i="16" s="1"/>
  <c r="E40" i="16"/>
  <c r="T40" i="16" s="1"/>
  <c r="E41" i="16"/>
  <c r="T41" i="16" s="1"/>
  <c r="E42" i="16"/>
  <c r="T42" i="16" s="1"/>
  <c r="E43" i="16"/>
  <c r="T43" i="16" s="1"/>
  <c r="E44" i="16"/>
  <c r="T44" i="16" s="1"/>
  <c r="E45" i="16"/>
  <c r="T45" i="16" s="1"/>
  <c r="E46" i="16"/>
  <c r="T46" i="16" s="1"/>
  <c r="E47" i="16"/>
  <c r="T47" i="16" s="1"/>
  <c r="E48" i="16"/>
  <c r="T48" i="16" s="1"/>
  <c r="E49" i="16"/>
  <c r="T49" i="16" s="1"/>
  <c r="E50" i="16"/>
  <c r="T50" i="16" s="1"/>
  <c r="E51" i="16"/>
  <c r="T51" i="16" s="1"/>
  <c r="E52" i="16"/>
  <c r="T52" i="16" s="1"/>
  <c r="E53" i="16"/>
  <c r="T53" i="16" s="1"/>
  <c r="E54" i="16"/>
  <c r="T54" i="16" s="1"/>
  <c r="E55" i="16"/>
  <c r="T55" i="16" s="1"/>
  <c r="E56" i="16"/>
  <c r="T56" i="16" s="1"/>
  <c r="E57" i="16"/>
  <c r="T57" i="16" s="1"/>
  <c r="E58" i="16"/>
  <c r="T58" i="16" s="1"/>
  <c r="E59" i="16"/>
  <c r="T59" i="16" s="1"/>
  <c r="E60" i="16"/>
  <c r="T60" i="16" s="1"/>
  <c r="E61" i="16"/>
  <c r="T61" i="16" s="1"/>
  <c r="E62" i="16"/>
  <c r="T62" i="16" s="1"/>
  <c r="E63" i="16"/>
  <c r="T63" i="16" s="1"/>
  <c r="E64" i="16"/>
  <c r="T64" i="16" s="1"/>
  <c r="E65" i="16"/>
  <c r="T65" i="16" s="1"/>
  <c r="E66" i="16"/>
  <c r="T66" i="16" s="1"/>
  <c r="E67" i="16"/>
  <c r="T67" i="16" s="1"/>
  <c r="E68" i="16"/>
  <c r="T68" i="16" s="1"/>
  <c r="E69" i="16"/>
  <c r="T69" i="16" s="1"/>
  <c r="E70" i="16"/>
  <c r="T70" i="16" s="1"/>
  <c r="E71" i="16"/>
  <c r="T71" i="16" s="1"/>
  <c r="E72" i="16"/>
  <c r="T72" i="16" s="1"/>
  <c r="E73" i="16"/>
  <c r="T73" i="16" s="1"/>
  <c r="E74" i="16"/>
  <c r="T74" i="16" s="1"/>
  <c r="E75" i="16"/>
  <c r="T75" i="16" s="1"/>
  <c r="E76" i="16"/>
  <c r="T76" i="16" s="1"/>
  <c r="E77" i="16"/>
  <c r="T77" i="16" s="1"/>
  <c r="E78" i="16"/>
  <c r="T78" i="16" s="1"/>
  <c r="E79" i="16"/>
  <c r="T79" i="16" s="1"/>
  <c r="E80" i="16"/>
  <c r="T80" i="16" s="1"/>
  <c r="E81" i="16"/>
  <c r="T81" i="16" s="1"/>
  <c r="E82" i="16"/>
  <c r="T82" i="16" s="1"/>
  <c r="E83" i="16"/>
  <c r="T83" i="16" s="1"/>
  <c r="E84" i="16"/>
  <c r="T84" i="16" s="1"/>
  <c r="E85" i="16"/>
  <c r="T85" i="16" s="1"/>
  <c r="E86" i="16"/>
  <c r="T86" i="16" s="1"/>
  <c r="E87" i="16"/>
  <c r="T87" i="16" s="1"/>
  <c r="E88" i="16"/>
  <c r="T88" i="16" s="1"/>
  <c r="E89" i="16"/>
  <c r="T89" i="16" s="1"/>
  <c r="E90" i="16"/>
  <c r="T90" i="16" s="1"/>
  <c r="E91" i="16"/>
  <c r="T91" i="16" s="1"/>
  <c r="E92" i="16"/>
  <c r="T92" i="16" s="1"/>
  <c r="E93" i="16"/>
  <c r="T93" i="16" s="1"/>
  <c r="E94" i="16"/>
  <c r="T94" i="16" s="1"/>
  <c r="E95" i="16"/>
  <c r="T95" i="16" s="1"/>
  <c r="E96" i="16"/>
  <c r="T96" i="16" s="1"/>
  <c r="E97" i="16"/>
  <c r="T97" i="16" s="1"/>
  <c r="E98" i="16"/>
  <c r="T98" i="16" s="1"/>
  <c r="E99" i="16"/>
  <c r="T99" i="16" s="1"/>
  <c r="E100" i="16"/>
  <c r="T100" i="16" s="1"/>
  <c r="E101" i="16"/>
  <c r="T101" i="16" s="1"/>
  <c r="E102" i="16"/>
  <c r="T102" i="16" s="1"/>
  <c r="E103" i="16"/>
  <c r="T103" i="16" s="1"/>
  <c r="E104" i="16"/>
  <c r="T104" i="16" s="1"/>
  <c r="E105" i="16"/>
  <c r="T105" i="16" s="1"/>
  <c r="E106" i="16"/>
  <c r="T106" i="16" s="1"/>
  <c r="E107" i="16"/>
  <c r="T107" i="16" s="1"/>
  <c r="E108" i="16"/>
  <c r="T108" i="16" s="1"/>
  <c r="E109" i="16"/>
  <c r="T109" i="16" s="1"/>
  <c r="E110" i="16"/>
  <c r="T110" i="16" s="1"/>
  <c r="E111" i="16"/>
  <c r="T111" i="16" s="1"/>
  <c r="E112" i="16"/>
  <c r="T112" i="16" s="1"/>
  <c r="E113" i="16"/>
  <c r="T113" i="16" s="1"/>
  <c r="E114" i="16"/>
  <c r="T114" i="16" s="1"/>
  <c r="E115" i="16"/>
  <c r="T115" i="16" s="1"/>
  <c r="E116" i="16"/>
  <c r="T116" i="16" s="1"/>
  <c r="E117" i="16"/>
  <c r="T117" i="16" s="1"/>
  <c r="E118" i="16"/>
  <c r="T118" i="16" s="1"/>
  <c r="E119" i="16"/>
  <c r="T119" i="16" s="1"/>
  <c r="E120" i="16"/>
  <c r="T120" i="16" s="1"/>
  <c r="E121" i="16"/>
  <c r="T121" i="16" s="1"/>
  <c r="E122" i="16"/>
  <c r="T122" i="16" s="1"/>
  <c r="E123" i="16"/>
  <c r="T123" i="16" s="1"/>
  <c r="E124" i="16"/>
  <c r="T124" i="16" s="1"/>
  <c r="E125" i="16"/>
  <c r="T125" i="16" s="1"/>
  <c r="E126" i="16"/>
  <c r="T126" i="16" s="1"/>
  <c r="E127" i="16"/>
  <c r="T127" i="16" s="1"/>
  <c r="E128" i="16"/>
  <c r="T128" i="16" s="1"/>
  <c r="E129" i="16"/>
  <c r="T129" i="16" s="1"/>
  <c r="E130" i="16"/>
  <c r="T130" i="16" s="1"/>
  <c r="E131" i="16"/>
  <c r="T131" i="16" s="1"/>
  <c r="E132" i="16"/>
  <c r="T132" i="16" s="1"/>
  <c r="E133" i="16"/>
  <c r="T133" i="16" s="1"/>
  <c r="E134" i="16"/>
  <c r="T134" i="16" s="1"/>
  <c r="E135" i="16"/>
  <c r="T135" i="16" s="1"/>
  <c r="E136" i="16"/>
  <c r="T136" i="16" s="1"/>
  <c r="E137" i="16"/>
  <c r="T137" i="16" s="1"/>
  <c r="E138" i="16"/>
  <c r="T138" i="16" s="1"/>
  <c r="E139" i="16"/>
  <c r="T139" i="16" s="1"/>
  <c r="E140" i="16"/>
  <c r="T140" i="16" s="1"/>
  <c r="E141" i="16"/>
  <c r="T141" i="16" s="1"/>
  <c r="E142" i="16"/>
  <c r="T142" i="16" s="1"/>
  <c r="E143" i="16"/>
  <c r="T143" i="16" s="1"/>
  <c r="E144" i="16"/>
  <c r="T144" i="16" s="1"/>
  <c r="E145" i="16"/>
  <c r="T145" i="16" s="1"/>
  <c r="E146" i="16"/>
  <c r="T146" i="16" s="1"/>
  <c r="E147" i="16"/>
  <c r="T147" i="16" s="1"/>
  <c r="E148" i="16"/>
  <c r="T148" i="16" s="1"/>
  <c r="E149" i="16"/>
  <c r="T149" i="16" s="1"/>
  <c r="E150" i="16"/>
  <c r="T150" i="16" s="1"/>
  <c r="E151" i="16"/>
  <c r="T151" i="16" s="1"/>
  <c r="E152" i="16"/>
  <c r="T152" i="16" s="1"/>
  <c r="E153" i="16"/>
  <c r="T153" i="16" s="1"/>
  <c r="E154" i="16"/>
  <c r="T154" i="16" s="1"/>
  <c r="E155" i="16"/>
  <c r="T155" i="16" s="1"/>
  <c r="E156" i="16"/>
  <c r="T156" i="16" s="1"/>
  <c r="E157" i="16"/>
  <c r="T157" i="16" s="1"/>
  <c r="E158" i="16"/>
  <c r="T158" i="16" s="1"/>
  <c r="E159" i="16"/>
  <c r="T159" i="16" s="1"/>
  <c r="E160" i="16"/>
  <c r="T160" i="16" s="1"/>
  <c r="E161" i="16"/>
  <c r="T161" i="16" s="1"/>
  <c r="E162" i="16"/>
  <c r="T162" i="16" s="1"/>
  <c r="E163" i="16"/>
  <c r="T163" i="16" s="1"/>
  <c r="E164" i="16"/>
  <c r="T164" i="16" s="1"/>
  <c r="E165" i="16"/>
  <c r="T165" i="16" s="1"/>
  <c r="E166" i="16"/>
  <c r="T166" i="16" s="1"/>
  <c r="E167" i="16"/>
  <c r="T167" i="16" s="1"/>
  <c r="E168" i="16"/>
  <c r="T168" i="16" s="1"/>
  <c r="E169" i="16"/>
  <c r="T169" i="16" s="1"/>
  <c r="E170" i="16"/>
  <c r="T170" i="16" s="1"/>
  <c r="E171" i="16"/>
  <c r="T171" i="16" s="1"/>
  <c r="E172" i="16"/>
  <c r="T172" i="16" s="1"/>
  <c r="E173" i="16"/>
  <c r="T173" i="16" s="1"/>
  <c r="E174" i="16"/>
  <c r="T174" i="16" s="1"/>
  <c r="E175" i="16"/>
  <c r="T175" i="16" s="1"/>
  <c r="E176" i="16"/>
  <c r="T176" i="16" s="1"/>
  <c r="E177" i="16"/>
  <c r="T177" i="16" s="1"/>
  <c r="E178" i="16"/>
  <c r="T178" i="16" s="1"/>
  <c r="E179" i="16"/>
  <c r="T179" i="16" s="1"/>
  <c r="E180" i="16"/>
  <c r="T180" i="16" s="1"/>
  <c r="E181" i="16"/>
  <c r="T181" i="16" s="1"/>
  <c r="E182" i="16"/>
  <c r="T182" i="16" s="1"/>
  <c r="E183" i="16"/>
  <c r="T183" i="16" s="1"/>
  <c r="E184" i="16"/>
  <c r="T184" i="16" s="1"/>
  <c r="E185" i="16"/>
  <c r="T185" i="16" s="1"/>
  <c r="E186" i="16"/>
  <c r="T186" i="16" s="1"/>
  <c r="E187" i="16"/>
  <c r="T187" i="16" s="1"/>
  <c r="E188" i="16"/>
  <c r="T188" i="16" s="1"/>
  <c r="E189" i="16"/>
  <c r="T189" i="16" s="1"/>
  <c r="E190" i="16"/>
  <c r="T190" i="16" s="1"/>
  <c r="E191" i="16"/>
  <c r="T191" i="16" s="1"/>
  <c r="E192" i="16"/>
  <c r="T192" i="16" s="1"/>
  <c r="E193" i="16"/>
  <c r="T193" i="16" s="1"/>
  <c r="E194" i="16"/>
  <c r="T194" i="16" s="1"/>
  <c r="E195" i="16"/>
  <c r="T195" i="16" s="1"/>
  <c r="E196" i="16"/>
  <c r="T196" i="16" s="1"/>
  <c r="E197" i="16"/>
  <c r="T197" i="16" s="1"/>
  <c r="E198" i="16"/>
  <c r="T198" i="16" s="1"/>
  <c r="E199" i="16"/>
  <c r="T199" i="16" s="1"/>
  <c r="E200" i="16"/>
  <c r="T200" i="16" s="1"/>
  <c r="E201" i="16"/>
  <c r="T201" i="16" s="1"/>
  <c r="E202" i="16"/>
  <c r="T202" i="16" s="1"/>
  <c r="E203" i="16"/>
  <c r="T203" i="16" s="1"/>
  <c r="E204" i="16"/>
  <c r="T204" i="16" s="1"/>
  <c r="E205" i="16"/>
  <c r="T205" i="16" s="1"/>
  <c r="E206" i="16"/>
  <c r="T206" i="16" s="1"/>
  <c r="E207" i="16"/>
  <c r="T207" i="16" s="1"/>
  <c r="E208" i="16"/>
  <c r="T208" i="16" s="1"/>
  <c r="E209" i="16"/>
  <c r="T209" i="16" s="1"/>
  <c r="E210" i="16"/>
  <c r="T210" i="16" s="1"/>
  <c r="E211" i="16"/>
  <c r="T211" i="16" s="1"/>
  <c r="E212" i="16"/>
  <c r="T212" i="16" s="1"/>
  <c r="E213" i="16"/>
  <c r="T213" i="16" s="1"/>
  <c r="E214" i="16"/>
  <c r="T214" i="16" s="1"/>
  <c r="E215" i="16"/>
  <c r="T215" i="16" s="1"/>
  <c r="E216" i="16"/>
  <c r="T216" i="16" s="1"/>
  <c r="E217" i="16"/>
  <c r="T217" i="16" s="1"/>
  <c r="E218" i="16"/>
  <c r="T218" i="16" s="1"/>
  <c r="E219" i="16"/>
  <c r="T219" i="16" s="1"/>
  <c r="E220" i="16"/>
  <c r="T220" i="16" s="1"/>
  <c r="E221" i="16"/>
  <c r="T221" i="16" s="1"/>
  <c r="E222" i="16"/>
  <c r="T222" i="16" s="1"/>
  <c r="E223" i="16"/>
  <c r="T223" i="16" s="1"/>
  <c r="E224" i="16"/>
  <c r="T224" i="16" s="1"/>
  <c r="E225" i="16"/>
  <c r="T225" i="16" s="1"/>
  <c r="E226" i="16"/>
  <c r="T226" i="16" s="1"/>
  <c r="E227" i="16"/>
  <c r="T227" i="16" s="1"/>
  <c r="E228" i="16"/>
  <c r="T228" i="16" s="1"/>
  <c r="E229" i="16"/>
  <c r="T229" i="16" s="1"/>
  <c r="E230" i="16"/>
  <c r="T230" i="16" s="1"/>
  <c r="E231" i="16"/>
  <c r="T231" i="16" s="1"/>
  <c r="E232" i="16"/>
  <c r="T232" i="16" s="1"/>
  <c r="E233" i="16"/>
  <c r="T233" i="16" s="1"/>
  <c r="E234" i="16"/>
  <c r="T234" i="16" s="1"/>
  <c r="E235" i="16"/>
  <c r="T235" i="16" s="1"/>
  <c r="E236" i="16"/>
  <c r="T236" i="16" s="1"/>
  <c r="E237" i="16"/>
  <c r="T237" i="16" s="1"/>
  <c r="E238" i="16"/>
  <c r="T238" i="16" s="1"/>
  <c r="E239" i="16"/>
  <c r="T239" i="16" s="1"/>
  <c r="E240" i="16"/>
  <c r="T240" i="16" s="1"/>
  <c r="E241" i="16"/>
  <c r="T241" i="16" s="1"/>
  <c r="E242" i="16"/>
  <c r="T242" i="16" s="1"/>
  <c r="E243" i="16"/>
  <c r="T243" i="16" s="1"/>
  <c r="E244" i="16"/>
  <c r="T244" i="16" s="1"/>
  <c r="E245" i="16"/>
  <c r="T245" i="16" s="1"/>
  <c r="E246" i="16"/>
  <c r="T246" i="16" s="1"/>
  <c r="E247" i="16"/>
  <c r="T247" i="16" s="1"/>
  <c r="E248" i="16"/>
  <c r="T248" i="16" s="1"/>
  <c r="E249" i="16"/>
  <c r="T249" i="16" s="1"/>
  <c r="E250" i="16"/>
  <c r="T250" i="16" s="1"/>
  <c r="E251" i="16"/>
  <c r="T251" i="16" s="1"/>
  <c r="E252" i="16"/>
  <c r="T252" i="16" s="1"/>
  <c r="E253" i="16"/>
  <c r="T253" i="16" s="1"/>
  <c r="E254" i="16"/>
  <c r="T254" i="16" s="1"/>
  <c r="E255" i="16"/>
  <c r="T255" i="16" s="1"/>
  <c r="E256" i="16"/>
  <c r="T256" i="16" s="1"/>
  <c r="E257" i="16"/>
  <c r="T257" i="16" s="1"/>
  <c r="E258" i="16"/>
  <c r="T258" i="16" s="1"/>
  <c r="E259" i="16"/>
  <c r="T259" i="16" s="1"/>
  <c r="E260" i="16"/>
  <c r="T260" i="16" s="1"/>
  <c r="E261" i="16"/>
  <c r="T261" i="16" s="1"/>
  <c r="E262" i="16"/>
  <c r="T262" i="16" s="1"/>
  <c r="E263" i="16"/>
  <c r="T263" i="16" s="1"/>
  <c r="E264" i="16"/>
  <c r="T264" i="16" s="1"/>
  <c r="E265" i="16"/>
  <c r="T265" i="16" s="1"/>
  <c r="E266" i="16"/>
  <c r="T266" i="16" s="1"/>
  <c r="E267" i="16"/>
  <c r="T267" i="16" s="1"/>
  <c r="E268" i="16"/>
  <c r="T268" i="16" s="1"/>
  <c r="E269" i="16"/>
  <c r="T269" i="16" s="1"/>
  <c r="E270" i="16"/>
  <c r="T270" i="16" s="1"/>
  <c r="E271" i="16"/>
  <c r="T271" i="16" s="1"/>
  <c r="E272" i="16"/>
  <c r="T272" i="16" s="1"/>
  <c r="E273" i="16"/>
  <c r="T273" i="16" s="1"/>
  <c r="E274" i="16"/>
  <c r="T274" i="16" s="1"/>
  <c r="E275" i="16"/>
  <c r="T275" i="16" s="1"/>
  <c r="E276" i="16"/>
  <c r="T276" i="16" s="1"/>
  <c r="E277" i="16"/>
  <c r="T277" i="16" s="1"/>
  <c r="E278" i="16"/>
  <c r="T278" i="16" s="1"/>
  <c r="E279" i="16"/>
  <c r="T279" i="16" s="1"/>
  <c r="E280" i="16"/>
  <c r="T280" i="16" s="1"/>
  <c r="E281" i="16"/>
  <c r="T281" i="16" s="1"/>
  <c r="E282" i="16"/>
  <c r="T282" i="16" s="1"/>
  <c r="E283" i="16"/>
  <c r="T283" i="16" s="1"/>
  <c r="E284" i="16"/>
  <c r="T284" i="16" s="1"/>
  <c r="E285" i="16"/>
  <c r="T285" i="16" s="1"/>
  <c r="E286" i="16"/>
  <c r="T286" i="16" s="1"/>
  <c r="E287" i="16"/>
  <c r="T287" i="16" s="1"/>
  <c r="E288" i="16"/>
  <c r="T288" i="16" s="1"/>
  <c r="E289" i="16"/>
  <c r="T289" i="16" s="1"/>
  <c r="E290" i="16"/>
  <c r="T290" i="16" s="1"/>
  <c r="E291" i="16"/>
  <c r="T291" i="16" s="1"/>
  <c r="E292" i="16"/>
  <c r="T292" i="16" s="1"/>
  <c r="E293" i="16"/>
  <c r="T293" i="16" s="1"/>
  <c r="E294" i="16"/>
  <c r="T294" i="16" s="1"/>
  <c r="E295" i="16"/>
  <c r="T295" i="16" s="1"/>
  <c r="E296" i="16"/>
  <c r="T296" i="16" s="1"/>
  <c r="E297" i="16"/>
  <c r="T297" i="16" s="1"/>
  <c r="E298" i="16"/>
  <c r="T298" i="16" s="1"/>
  <c r="E299" i="16"/>
  <c r="T299" i="16" s="1"/>
  <c r="E300" i="16"/>
  <c r="T300" i="16" s="1"/>
  <c r="E301" i="16"/>
  <c r="T301" i="16" s="1"/>
  <c r="E302" i="16"/>
  <c r="T302" i="16" s="1"/>
  <c r="E303" i="16"/>
  <c r="T303" i="16" s="1"/>
  <c r="E304" i="16"/>
  <c r="T304" i="16" s="1"/>
  <c r="E305" i="16"/>
  <c r="T305" i="16" s="1"/>
  <c r="E306" i="16"/>
  <c r="T306" i="16" s="1"/>
  <c r="E307" i="16"/>
  <c r="T307" i="16" s="1"/>
  <c r="E308" i="16"/>
  <c r="T308" i="16" s="1"/>
  <c r="E309" i="16"/>
  <c r="T309" i="16" s="1"/>
  <c r="E310" i="16"/>
  <c r="T310" i="16" s="1"/>
  <c r="E311" i="16"/>
  <c r="T311" i="16" s="1"/>
  <c r="E312" i="16"/>
  <c r="T312" i="16" s="1"/>
  <c r="E313" i="16"/>
  <c r="T313" i="16" s="1"/>
  <c r="E314" i="16"/>
  <c r="T314" i="16" s="1"/>
  <c r="E315" i="16"/>
  <c r="T315" i="16" s="1"/>
  <c r="E316" i="16"/>
  <c r="T316" i="16" s="1"/>
  <c r="E317" i="16"/>
  <c r="T317" i="16" s="1"/>
  <c r="E318" i="16"/>
  <c r="T318" i="16" s="1"/>
  <c r="E319" i="16"/>
  <c r="T319" i="16" s="1"/>
  <c r="E320" i="16"/>
  <c r="T320" i="16" s="1"/>
  <c r="E321" i="16"/>
  <c r="T321" i="16" s="1"/>
  <c r="E322" i="16"/>
  <c r="T322" i="16" s="1"/>
  <c r="E323" i="16"/>
  <c r="T323" i="16" s="1"/>
  <c r="E324" i="16"/>
  <c r="T324" i="16" s="1"/>
  <c r="E325" i="16"/>
  <c r="T325" i="16" s="1"/>
  <c r="E326" i="16"/>
  <c r="T326" i="16" s="1"/>
  <c r="E327" i="16"/>
  <c r="T327" i="16" s="1"/>
  <c r="E328" i="16"/>
  <c r="T328" i="16" s="1"/>
  <c r="E329" i="16"/>
  <c r="T329" i="16" s="1"/>
  <c r="E330" i="16"/>
  <c r="T330" i="16" s="1"/>
  <c r="E331" i="16"/>
  <c r="T331" i="16" s="1"/>
  <c r="E332" i="16"/>
  <c r="T332" i="16" s="1"/>
  <c r="E333" i="16"/>
  <c r="T333" i="16" s="1"/>
  <c r="E334" i="16"/>
  <c r="T334" i="16" s="1"/>
  <c r="E335" i="16"/>
  <c r="T335" i="16" s="1"/>
  <c r="E336" i="16"/>
  <c r="T336" i="16" s="1"/>
  <c r="E337" i="16"/>
  <c r="T337" i="16" s="1"/>
  <c r="E338" i="16"/>
  <c r="T338" i="16" s="1"/>
  <c r="E339" i="16"/>
  <c r="T339" i="16" s="1"/>
  <c r="E340" i="16"/>
  <c r="T340" i="16" s="1"/>
  <c r="E341" i="16"/>
  <c r="T341" i="16" s="1"/>
  <c r="E342" i="16"/>
  <c r="T342" i="16" s="1"/>
  <c r="E343" i="16"/>
  <c r="T343" i="16" s="1"/>
  <c r="E344" i="16"/>
  <c r="T344" i="16" s="1"/>
  <c r="E345" i="16"/>
  <c r="T345" i="16" s="1"/>
  <c r="E346" i="16"/>
  <c r="T346" i="16" s="1"/>
  <c r="E347" i="16"/>
  <c r="T347" i="16" s="1"/>
  <c r="E348" i="16"/>
  <c r="T348" i="16" s="1"/>
  <c r="E349" i="16"/>
  <c r="T349" i="16" s="1"/>
  <c r="E350" i="16"/>
  <c r="T350" i="16" s="1"/>
  <c r="E351" i="16"/>
  <c r="T351" i="16" s="1"/>
  <c r="E352" i="16"/>
  <c r="T352" i="16" s="1"/>
  <c r="E353" i="16"/>
  <c r="T353" i="16" s="1"/>
  <c r="E354" i="16"/>
  <c r="T354" i="16" s="1"/>
  <c r="E355" i="16"/>
  <c r="T355" i="16" s="1"/>
  <c r="E356" i="16"/>
  <c r="T356" i="16" s="1"/>
  <c r="E357" i="16"/>
  <c r="T357" i="16" s="1"/>
  <c r="E358" i="16"/>
  <c r="T358" i="16" s="1"/>
  <c r="E359" i="16"/>
  <c r="T359" i="16" s="1"/>
  <c r="E360" i="16"/>
  <c r="T360" i="16" s="1"/>
  <c r="E361" i="16"/>
  <c r="T361" i="16" s="1"/>
  <c r="E362" i="16"/>
  <c r="T362" i="16" s="1"/>
  <c r="E363" i="16"/>
  <c r="T363" i="16" s="1"/>
  <c r="E364" i="16"/>
  <c r="T364" i="16" s="1"/>
  <c r="E365" i="16"/>
  <c r="T365" i="16" s="1"/>
  <c r="E366" i="16"/>
  <c r="T366" i="16" s="1"/>
  <c r="E367" i="16"/>
  <c r="T367" i="16" s="1"/>
  <c r="E368" i="16"/>
  <c r="T368" i="16" s="1"/>
  <c r="E369" i="16"/>
  <c r="T369" i="16" s="1"/>
  <c r="E370" i="16"/>
  <c r="T370" i="16" s="1"/>
  <c r="E371" i="16"/>
  <c r="T371" i="16" s="1"/>
  <c r="E372" i="16"/>
  <c r="T372" i="16" s="1"/>
  <c r="E373" i="16"/>
  <c r="T373" i="16" s="1"/>
  <c r="E374" i="16"/>
  <c r="T374" i="16" s="1"/>
  <c r="E375" i="16"/>
  <c r="T375" i="16" s="1"/>
  <c r="E376" i="16"/>
  <c r="T376" i="16" s="1"/>
  <c r="E377" i="16"/>
  <c r="T377" i="16" s="1"/>
  <c r="E378" i="16"/>
  <c r="T378" i="16" s="1"/>
  <c r="E379" i="16"/>
  <c r="T379" i="16" s="1"/>
  <c r="E380" i="16"/>
  <c r="T380" i="16" s="1"/>
  <c r="E381" i="16"/>
  <c r="T381" i="16" s="1"/>
  <c r="E382" i="16"/>
  <c r="T382" i="16" s="1"/>
  <c r="E383" i="16"/>
  <c r="T383" i="16" s="1"/>
  <c r="E384" i="16"/>
  <c r="T384" i="16" s="1"/>
  <c r="E385" i="16"/>
  <c r="T385" i="16" s="1"/>
  <c r="E386" i="16"/>
  <c r="T386" i="16" s="1"/>
  <c r="E387" i="16"/>
  <c r="T387" i="16" s="1"/>
  <c r="E388" i="16"/>
  <c r="T388" i="16" s="1"/>
  <c r="E389" i="16"/>
  <c r="T389" i="16" s="1"/>
  <c r="E390" i="16"/>
  <c r="T390" i="16" s="1"/>
  <c r="E391" i="16"/>
  <c r="T391" i="16" s="1"/>
  <c r="E392" i="16"/>
  <c r="T392" i="16" s="1"/>
  <c r="E393" i="16"/>
  <c r="T393" i="16" s="1"/>
  <c r="E394" i="16"/>
  <c r="T394" i="16" s="1"/>
  <c r="E395" i="16"/>
  <c r="T395" i="16" s="1"/>
  <c r="E396" i="16"/>
  <c r="T396" i="16" s="1"/>
  <c r="E397" i="16"/>
  <c r="T397" i="16" s="1"/>
  <c r="E398" i="16"/>
  <c r="T398" i="16" s="1"/>
  <c r="E399" i="16"/>
  <c r="T399" i="16" s="1"/>
  <c r="E400" i="16"/>
  <c r="T400" i="16" s="1"/>
  <c r="E401" i="16"/>
  <c r="T401" i="16" s="1"/>
  <c r="E402" i="16"/>
  <c r="T402" i="16" s="1"/>
  <c r="E403" i="16"/>
  <c r="T403" i="16" s="1"/>
  <c r="E404" i="16"/>
  <c r="T404" i="16" s="1"/>
  <c r="E405" i="16"/>
  <c r="T405" i="16" s="1"/>
  <c r="E406" i="16"/>
  <c r="T406" i="16" s="1"/>
  <c r="E407" i="16"/>
  <c r="T407" i="16" s="1"/>
  <c r="E408" i="16"/>
  <c r="T408" i="16" s="1"/>
  <c r="E409" i="16"/>
  <c r="T409" i="16" s="1"/>
  <c r="E410" i="16"/>
  <c r="T410" i="16" s="1"/>
  <c r="E411" i="16"/>
  <c r="T411" i="16" s="1"/>
  <c r="E412" i="16"/>
  <c r="T412" i="16" s="1"/>
  <c r="E413" i="16"/>
  <c r="T413" i="16" s="1"/>
  <c r="E414" i="16"/>
  <c r="T414" i="16" s="1"/>
  <c r="E415" i="16"/>
  <c r="T415" i="16" s="1"/>
  <c r="E416" i="16"/>
  <c r="T416" i="16" s="1"/>
  <c r="E417" i="16"/>
  <c r="T417" i="16" s="1"/>
  <c r="E418" i="16"/>
  <c r="T418" i="16" s="1"/>
  <c r="E419" i="16"/>
  <c r="T419" i="16" s="1"/>
  <c r="E420" i="16"/>
  <c r="T420" i="16" s="1"/>
  <c r="E421" i="16"/>
  <c r="T421" i="16" s="1"/>
  <c r="E422" i="16"/>
  <c r="T422" i="16" s="1"/>
  <c r="E423" i="16"/>
  <c r="T423" i="16" s="1"/>
  <c r="E424" i="16"/>
  <c r="T424" i="16" s="1"/>
  <c r="E425" i="16"/>
  <c r="T425" i="16" s="1"/>
  <c r="E426" i="16"/>
  <c r="T426" i="16" s="1"/>
  <c r="E427" i="16"/>
  <c r="T427" i="16" s="1"/>
  <c r="E428" i="16"/>
  <c r="T428" i="16" s="1"/>
  <c r="E429" i="16"/>
  <c r="T429" i="16" s="1"/>
  <c r="E430" i="16"/>
  <c r="T430" i="16" s="1"/>
  <c r="E431" i="16"/>
  <c r="T431" i="16" s="1"/>
  <c r="E432" i="16"/>
  <c r="T432" i="16" s="1"/>
  <c r="E433" i="16"/>
  <c r="T433" i="16" s="1"/>
  <c r="E434" i="16"/>
  <c r="T434" i="16" s="1"/>
  <c r="E435" i="16"/>
  <c r="T435" i="16" s="1"/>
  <c r="E436" i="16"/>
  <c r="T436" i="16" s="1"/>
  <c r="E437" i="16"/>
  <c r="T437" i="16" s="1"/>
  <c r="E438" i="16"/>
  <c r="T438" i="16" s="1"/>
  <c r="E439" i="16"/>
  <c r="T439" i="16" s="1"/>
  <c r="E440" i="16"/>
  <c r="T440" i="16" s="1"/>
  <c r="E441" i="16"/>
  <c r="T441" i="16" s="1"/>
  <c r="E442" i="16"/>
  <c r="T442" i="16" s="1"/>
  <c r="E443" i="16"/>
  <c r="T443" i="16" s="1"/>
  <c r="E444" i="16"/>
  <c r="T444" i="16" s="1"/>
  <c r="E445" i="16"/>
  <c r="T445" i="16" s="1"/>
  <c r="E446" i="16"/>
  <c r="T446" i="16" s="1"/>
  <c r="E447" i="16"/>
  <c r="T447" i="16" s="1"/>
  <c r="E448" i="16"/>
  <c r="T448" i="16" s="1"/>
  <c r="E449" i="16"/>
  <c r="T449" i="16" s="1"/>
  <c r="E450" i="16"/>
  <c r="T450" i="16" s="1"/>
  <c r="E451" i="16"/>
  <c r="T451" i="16" s="1"/>
  <c r="E452" i="16"/>
  <c r="T452" i="16" s="1"/>
  <c r="E453" i="16"/>
  <c r="T453" i="16" s="1"/>
  <c r="E454" i="16"/>
  <c r="T454" i="16" s="1"/>
  <c r="E455" i="16"/>
  <c r="T455" i="16" s="1"/>
  <c r="E456" i="16"/>
  <c r="T456" i="16" s="1"/>
  <c r="E457" i="16"/>
  <c r="T457" i="16" s="1"/>
  <c r="E458" i="16"/>
  <c r="T458" i="16" s="1"/>
  <c r="E459" i="16"/>
  <c r="T459" i="16" s="1"/>
  <c r="E460" i="16"/>
  <c r="T460" i="16" s="1"/>
  <c r="E461" i="16"/>
  <c r="T461" i="16" s="1"/>
  <c r="E462" i="16"/>
  <c r="T462" i="16" s="1"/>
  <c r="E463" i="16"/>
  <c r="T463" i="16" s="1"/>
  <c r="E464" i="16"/>
  <c r="T464" i="16" s="1"/>
  <c r="E465" i="16"/>
  <c r="T465" i="16" s="1"/>
  <c r="E466" i="16"/>
  <c r="T466" i="16" s="1"/>
  <c r="E467" i="16"/>
  <c r="T467" i="16" s="1"/>
  <c r="E468" i="16"/>
  <c r="T468" i="16" s="1"/>
  <c r="E469" i="16"/>
  <c r="T469" i="16" s="1"/>
  <c r="E470" i="16"/>
  <c r="T470" i="16" s="1"/>
  <c r="E471" i="16"/>
  <c r="T471" i="16" s="1"/>
  <c r="E472" i="16"/>
  <c r="T472" i="16" s="1"/>
  <c r="E473" i="16"/>
  <c r="T473" i="16" s="1"/>
  <c r="E474" i="16"/>
  <c r="T474" i="16" s="1"/>
  <c r="E475" i="16"/>
  <c r="T475" i="16" s="1"/>
  <c r="E476" i="16"/>
  <c r="T476" i="16" s="1"/>
  <c r="E477" i="16"/>
  <c r="T477" i="16" s="1"/>
  <c r="E478" i="16"/>
  <c r="T478" i="16" s="1"/>
  <c r="E479" i="16"/>
  <c r="T479" i="16" s="1"/>
  <c r="E480" i="16"/>
  <c r="T480" i="16" s="1"/>
  <c r="E481" i="16"/>
  <c r="T481" i="16" s="1"/>
  <c r="E482" i="16"/>
  <c r="T482" i="16" s="1"/>
  <c r="E483" i="16"/>
  <c r="T483" i="16" s="1"/>
  <c r="E484" i="16"/>
  <c r="T484" i="16" s="1"/>
  <c r="E485" i="16"/>
  <c r="T485" i="16" s="1"/>
  <c r="E486" i="16"/>
  <c r="T486" i="16" s="1"/>
  <c r="E487" i="16"/>
  <c r="T487" i="16" s="1"/>
  <c r="E488" i="16"/>
  <c r="T488" i="16" s="1"/>
  <c r="E489" i="16"/>
  <c r="T489" i="16" s="1"/>
  <c r="E490" i="16"/>
  <c r="T490" i="16" s="1"/>
  <c r="E491" i="16"/>
  <c r="T491" i="16" s="1"/>
  <c r="E492" i="16"/>
  <c r="T492" i="16" s="1"/>
  <c r="E493" i="16"/>
  <c r="T493" i="16" s="1"/>
  <c r="E494" i="16"/>
  <c r="T494" i="16" s="1"/>
  <c r="E495" i="16"/>
  <c r="T495" i="16" s="1"/>
  <c r="E496" i="16"/>
  <c r="T496" i="16" s="1"/>
  <c r="E497" i="16"/>
  <c r="T497" i="16" s="1"/>
  <c r="E498" i="16"/>
  <c r="T498" i="16" s="1"/>
  <c r="E499" i="16"/>
  <c r="T499" i="16" s="1"/>
  <c r="E500" i="16"/>
  <c r="T500" i="16" s="1"/>
  <c r="E501" i="16"/>
  <c r="T501" i="16" s="1"/>
  <c r="E502" i="16"/>
  <c r="T502" i="16" s="1"/>
  <c r="E503" i="16"/>
  <c r="T503" i="16" s="1"/>
  <c r="E504" i="16"/>
  <c r="T504" i="16" s="1"/>
  <c r="E505" i="16"/>
  <c r="T505" i="16" s="1"/>
  <c r="E506" i="16"/>
  <c r="T506" i="16" s="1"/>
  <c r="E507" i="16"/>
  <c r="T507" i="16" s="1"/>
  <c r="E508" i="16"/>
  <c r="T508" i="16" s="1"/>
  <c r="E509" i="16"/>
  <c r="T509" i="16" s="1"/>
  <c r="E510" i="16"/>
  <c r="T510" i="16" s="1"/>
  <c r="E511" i="16"/>
  <c r="T511" i="16" s="1"/>
  <c r="E512" i="16"/>
  <c r="T512" i="16" s="1"/>
  <c r="E513" i="16"/>
  <c r="T513" i="16" s="1"/>
  <c r="E514" i="16"/>
  <c r="T514" i="16" s="1"/>
  <c r="E515" i="16"/>
  <c r="T515" i="16" s="1"/>
  <c r="E516" i="16"/>
  <c r="T516" i="16" s="1"/>
  <c r="E517" i="16"/>
  <c r="T517" i="16" s="1"/>
  <c r="E518" i="16"/>
  <c r="T518" i="16" s="1"/>
  <c r="E519" i="16"/>
  <c r="T519" i="16" s="1"/>
  <c r="F10" i="15"/>
  <c r="G10" i="15" s="1"/>
  <c r="F8" i="15"/>
  <c r="G8" i="15" s="1"/>
  <c r="H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G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F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U513" i="16" l="1"/>
  <c r="U497" i="16"/>
  <c r="U481" i="16"/>
  <c r="U465" i="16"/>
  <c r="U449" i="16"/>
  <c r="U433" i="16"/>
  <c r="U417" i="16"/>
  <c r="U401" i="16"/>
  <c r="U385" i="16"/>
  <c r="U369" i="16"/>
  <c r="U353" i="16"/>
  <c r="U337" i="16"/>
  <c r="U321" i="16"/>
  <c r="U305" i="16"/>
  <c r="U289" i="16"/>
  <c r="U273" i="16"/>
  <c r="U257" i="16"/>
  <c r="U241" i="16"/>
  <c r="U225" i="16"/>
  <c r="U209" i="16"/>
  <c r="U193" i="16"/>
  <c r="U177" i="16"/>
  <c r="U161" i="16"/>
  <c r="U145" i="16"/>
  <c r="U129" i="16"/>
  <c r="U113" i="16"/>
  <c r="U97" i="16"/>
  <c r="U81" i="16"/>
  <c r="U65" i="16"/>
  <c r="U49" i="16"/>
  <c r="U33" i="16"/>
  <c r="U17" i="16"/>
  <c r="U512" i="16"/>
  <c r="U496" i="16"/>
  <c r="U480" i="16"/>
  <c r="U464" i="16"/>
  <c r="U448" i="16"/>
  <c r="U432" i="16"/>
  <c r="U416" i="16"/>
  <c r="U400" i="16"/>
  <c r="U384" i="16"/>
  <c r="U368" i="16"/>
  <c r="U352" i="16"/>
  <c r="U336" i="16"/>
  <c r="U320" i="16"/>
  <c r="U304" i="16"/>
  <c r="U288" i="16"/>
  <c r="U272" i="16"/>
  <c r="U256" i="16"/>
  <c r="U240" i="16"/>
  <c r="U224" i="16"/>
  <c r="U208" i="16"/>
  <c r="U192" i="16"/>
  <c r="U176" i="16"/>
  <c r="U160" i="16"/>
  <c r="U144" i="16"/>
  <c r="U128" i="16"/>
  <c r="U112" i="16"/>
  <c r="U96" i="16"/>
  <c r="U80" i="16"/>
  <c r="U64" i="16"/>
  <c r="U48" i="16"/>
  <c r="U32" i="16"/>
  <c r="U16" i="16"/>
  <c r="U511" i="16"/>
  <c r="U495" i="16"/>
  <c r="U479" i="16"/>
  <c r="U463" i="16"/>
  <c r="U447" i="16"/>
  <c r="U431" i="16"/>
  <c r="U415" i="16"/>
  <c r="U399" i="16"/>
  <c r="U383" i="16"/>
  <c r="U367" i="16"/>
  <c r="U351" i="16"/>
  <c r="U335" i="16"/>
  <c r="U319" i="16"/>
  <c r="U303" i="16"/>
  <c r="U287" i="16"/>
  <c r="U271" i="16"/>
  <c r="U255" i="16"/>
  <c r="U239" i="16"/>
  <c r="U223" i="16"/>
  <c r="U207" i="16"/>
  <c r="U191" i="16"/>
  <c r="U175" i="16"/>
  <c r="U159" i="16"/>
  <c r="U143" i="16"/>
  <c r="U127" i="16"/>
  <c r="U111" i="16"/>
  <c r="U95" i="16"/>
  <c r="U79" i="16"/>
  <c r="U63" i="16"/>
  <c r="U47" i="16"/>
  <c r="U31" i="16"/>
  <c r="U15" i="16"/>
  <c r="U510" i="16"/>
  <c r="U494" i="16"/>
  <c r="U478" i="16"/>
  <c r="U462" i="16"/>
  <c r="U446" i="16"/>
  <c r="U430" i="16"/>
  <c r="U414" i="16"/>
  <c r="U398" i="16"/>
  <c r="U382" i="16"/>
  <c r="U366" i="16"/>
  <c r="U350" i="16"/>
  <c r="U334" i="16"/>
  <c r="U318" i="16"/>
  <c r="U302" i="16"/>
  <c r="U286" i="16"/>
  <c r="U270" i="16"/>
  <c r="U254" i="16"/>
  <c r="U238" i="16"/>
  <c r="U222" i="16"/>
  <c r="U206" i="16"/>
  <c r="U190" i="16"/>
  <c r="U174" i="16"/>
  <c r="U158" i="16"/>
  <c r="U142" i="16"/>
  <c r="U126" i="16"/>
  <c r="U110" i="16"/>
  <c r="U94" i="16"/>
  <c r="U78" i="16"/>
  <c r="U62" i="16"/>
  <c r="U46" i="16"/>
  <c r="U30" i="16"/>
  <c r="U14" i="16"/>
  <c r="U509" i="16"/>
  <c r="U493" i="16"/>
  <c r="U477" i="16"/>
  <c r="U461" i="16"/>
  <c r="U445" i="16"/>
  <c r="U429" i="16"/>
  <c r="U413" i="16"/>
  <c r="U397" i="16"/>
  <c r="U381" i="16"/>
  <c r="U365" i="16"/>
  <c r="U349" i="16"/>
  <c r="U333" i="16"/>
  <c r="U317" i="16"/>
  <c r="U301" i="16"/>
  <c r="U285" i="16"/>
  <c r="U269" i="16"/>
  <c r="U253" i="16"/>
  <c r="U237" i="16"/>
  <c r="U221" i="16"/>
  <c r="U205" i="16"/>
  <c r="U189" i="16"/>
  <c r="U173" i="16"/>
  <c r="U157" i="16"/>
  <c r="U141" i="16"/>
  <c r="U125" i="16"/>
  <c r="U109" i="16"/>
  <c r="U93" i="16"/>
  <c r="U77" i="16"/>
  <c r="U61" i="16"/>
  <c r="U45" i="16"/>
  <c r="U29" i="16"/>
  <c r="U13" i="16"/>
  <c r="U508" i="16"/>
  <c r="U492" i="16"/>
  <c r="U476" i="16"/>
  <c r="U460" i="16"/>
  <c r="U444" i="16"/>
  <c r="U428" i="16"/>
  <c r="U412" i="16"/>
  <c r="U396" i="16"/>
  <c r="U380" i="16"/>
  <c r="U364" i="16"/>
  <c r="U348" i="16"/>
  <c r="U332" i="16"/>
  <c r="U316" i="16"/>
  <c r="U300" i="16"/>
  <c r="U284" i="16"/>
  <c r="U268" i="16"/>
  <c r="U252" i="16"/>
  <c r="U236" i="16"/>
  <c r="U220" i="16"/>
  <c r="U204" i="16"/>
  <c r="U188" i="16"/>
  <c r="U172" i="16"/>
  <c r="U156" i="16"/>
  <c r="U140" i="16"/>
  <c r="U124" i="16"/>
  <c r="U108" i="16"/>
  <c r="U92" i="16"/>
  <c r="U76" i="16"/>
  <c r="U60" i="16"/>
  <c r="U44" i="16"/>
  <c r="U28" i="16"/>
  <c r="U12" i="16"/>
  <c r="U507" i="16"/>
  <c r="U491" i="16"/>
  <c r="U475" i="16"/>
  <c r="U459" i="16"/>
  <c r="U443" i="16"/>
  <c r="U427" i="16"/>
  <c r="U411" i="16"/>
  <c r="U395" i="16"/>
  <c r="U379" i="16"/>
  <c r="U363" i="16"/>
  <c r="U347" i="16"/>
  <c r="U331" i="16"/>
  <c r="U315" i="16"/>
  <c r="U299" i="16"/>
  <c r="U283" i="16"/>
  <c r="U267" i="16"/>
  <c r="U251" i="16"/>
  <c r="U235" i="16"/>
  <c r="U219" i="16"/>
  <c r="U203" i="16"/>
  <c r="U187" i="16"/>
  <c r="U171" i="16"/>
  <c r="U155" i="16"/>
  <c r="U139" i="16"/>
  <c r="U123" i="16"/>
  <c r="U107" i="16"/>
  <c r="U91" i="16"/>
  <c r="U75" i="16"/>
  <c r="U59" i="16"/>
  <c r="U43" i="16"/>
  <c r="U27" i="16"/>
  <c r="U11" i="16"/>
  <c r="U506" i="16"/>
  <c r="U490" i="16"/>
  <c r="U474" i="16"/>
  <c r="U458" i="16"/>
  <c r="U442" i="16"/>
  <c r="U426" i="16"/>
  <c r="U410" i="16"/>
  <c r="U394" i="16"/>
  <c r="U378" i="16"/>
  <c r="U362" i="16"/>
  <c r="U346" i="16"/>
  <c r="U330" i="16"/>
  <c r="U314" i="16"/>
  <c r="U298" i="16"/>
  <c r="U282" i="16"/>
  <c r="U266" i="16"/>
  <c r="U250" i="16"/>
  <c r="U234" i="16"/>
  <c r="U218" i="16"/>
  <c r="U202" i="16"/>
  <c r="U186" i="16"/>
  <c r="U170" i="16"/>
  <c r="U154" i="16"/>
  <c r="U138" i="16"/>
  <c r="U122" i="16"/>
  <c r="U106" i="16"/>
  <c r="U90" i="16"/>
  <c r="U74" i="16"/>
  <c r="U58" i="16"/>
  <c r="U42" i="16"/>
  <c r="U26" i="16"/>
  <c r="U10" i="16"/>
  <c r="U505" i="16"/>
  <c r="U489" i="16"/>
  <c r="U473" i="16"/>
  <c r="U457" i="16"/>
  <c r="U441" i="16"/>
  <c r="U425" i="16"/>
  <c r="U409" i="16"/>
  <c r="U393" i="16"/>
  <c r="U377" i="16"/>
  <c r="U361" i="16"/>
  <c r="U345" i="16"/>
  <c r="U329" i="16"/>
  <c r="U313" i="16"/>
  <c r="U297" i="16"/>
  <c r="U281" i="16"/>
  <c r="U265" i="16"/>
  <c r="U249" i="16"/>
  <c r="U233" i="16"/>
  <c r="U217" i="16"/>
  <c r="U201" i="16"/>
  <c r="U185" i="16"/>
  <c r="U169" i="16"/>
  <c r="U153" i="16"/>
  <c r="U137" i="16"/>
  <c r="U121" i="16"/>
  <c r="U105" i="16"/>
  <c r="U89" i="16"/>
  <c r="U73" i="16"/>
  <c r="U57" i="16"/>
  <c r="U41" i="16"/>
  <c r="U25" i="16"/>
  <c r="U9" i="16"/>
  <c r="U504" i="16"/>
  <c r="U488" i="16"/>
  <c r="U472" i="16"/>
  <c r="U456" i="16"/>
  <c r="U440" i="16"/>
  <c r="U424" i="16"/>
  <c r="U408" i="16"/>
  <c r="U392" i="16"/>
  <c r="U376" i="16"/>
  <c r="U360" i="16"/>
  <c r="U344" i="16"/>
  <c r="U328" i="16"/>
  <c r="U312" i="16"/>
  <c r="U296" i="16"/>
  <c r="U280" i="16"/>
  <c r="U264" i="16"/>
  <c r="U248" i="16"/>
  <c r="U232" i="16"/>
  <c r="U216" i="16"/>
  <c r="U200" i="16"/>
  <c r="U184" i="16"/>
  <c r="U168" i="16"/>
  <c r="U152" i="16"/>
  <c r="U136" i="16"/>
  <c r="U120" i="16"/>
  <c r="U104" i="16"/>
  <c r="U88" i="16"/>
  <c r="U72" i="16"/>
  <c r="U56" i="16"/>
  <c r="U40" i="16"/>
  <c r="U24" i="16"/>
  <c r="U8" i="16"/>
  <c r="U519" i="16"/>
  <c r="U503" i="16"/>
  <c r="U487" i="16"/>
  <c r="U471" i="16"/>
  <c r="U455" i="16"/>
  <c r="U439" i="16"/>
  <c r="U423" i="16"/>
  <c r="U407" i="16"/>
  <c r="U391" i="16"/>
  <c r="U375" i="16"/>
  <c r="U359" i="16"/>
  <c r="U343" i="16"/>
  <c r="U327" i="16"/>
  <c r="U311" i="16"/>
  <c r="U295" i="16"/>
  <c r="U279" i="16"/>
  <c r="U263" i="16"/>
  <c r="U247" i="16"/>
  <c r="U231" i="16"/>
  <c r="U215" i="16"/>
  <c r="U199" i="16"/>
  <c r="U183" i="16"/>
  <c r="U167" i="16"/>
  <c r="U151" i="16"/>
  <c r="U135" i="16"/>
  <c r="U119" i="16"/>
  <c r="U103" i="16"/>
  <c r="U87" i="16"/>
  <c r="U71" i="16"/>
  <c r="U55" i="16"/>
  <c r="U39" i="16"/>
  <c r="U23" i="16"/>
  <c r="U7" i="16"/>
  <c r="U518" i="16"/>
  <c r="U502" i="16"/>
  <c r="U486" i="16"/>
  <c r="U470" i="16"/>
  <c r="U454" i="16"/>
  <c r="U438" i="16"/>
  <c r="U422" i="16"/>
  <c r="U406" i="16"/>
  <c r="U390" i="16"/>
  <c r="U374" i="16"/>
  <c r="U358" i="16"/>
  <c r="U342" i="16"/>
  <c r="U326" i="16"/>
  <c r="U310" i="16"/>
  <c r="U294" i="16"/>
  <c r="U278" i="16"/>
  <c r="U262" i="16"/>
  <c r="U246" i="16"/>
  <c r="U230" i="16"/>
  <c r="U214" i="16"/>
  <c r="U198" i="16"/>
  <c r="U182" i="16"/>
  <c r="U166" i="16"/>
  <c r="U150" i="16"/>
  <c r="U134" i="16"/>
  <c r="U118" i="16"/>
  <c r="U102" i="16"/>
  <c r="U86" i="16"/>
  <c r="U70" i="16"/>
  <c r="U54" i="16"/>
  <c r="U38" i="16"/>
  <c r="U22" i="16"/>
  <c r="U6" i="16"/>
  <c r="U517" i="16"/>
  <c r="U501" i="16"/>
  <c r="U485" i="16"/>
  <c r="U469" i="16"/>
  <c r="U453" i="16"/>
  <c r="U437" i="16"/>
  <c r="U421" i="16"/>
  <c r="U405" i="16"/>
  <c r="U389" i="16"/>
  <c r="U373" i="16"/>
  <c r="U357" i="16"/>
  <c r="U341" i="16"/>
  <c r="U325" i="16"/>
  <c r="U309" i="16"/>
  <c r="U293" i="16"/>
  <c r="U277" i="16"/>
  <c r="U261" i="16"/>
  <c r="U245" i="16"/>
  <c r="U229" i="16"/>
  <c r="U213" i="16"/>
  <c r="U197" i="16"/>
  <c r="U181" i="16"/>
  <c r="U165" i="16"/>
  <c r="U149" i="16"/>
  <c r="U133" i="16"/>
  <c r="U117" i="16"/>
  <c r="U101" i="16"/>
  <c r="U85" i="16"/>
  <c r="U69" i="16"/>
  <c r="U53" i="16"/>
  <c r="U37" i="16"/>
  <c r="U21" i="16"/>
  <c r="U5" i="16"/>
  <c r="U516" i="16"/>
  <c r="U500" i="16"/>
  <c r="U484" i="16"/>
  <c r="U468" i="16"/>
  <c r="U452" i="16"/>
  <c r="U436" i="16"/>
  <c r="U420" i="16"/>
  <c r="U404" i="16"/>
  <c r="U388" i="16"/>
  <c r="U372" i="16"/>
  <c r="U356" i="16"/>
  <c r="U340" i="16"/>
  <c r="U324" i="16"/>
  <c r="U308" i="16"/>
  <c r="U292" i="16"/>
  <c r="U276" i="16"/>
  <c r="U260" i="16"/>
  <c r="U244" i="16"/>
  <c r="U228" i="16"/>
  <c r="U212" i="16"/>
  <c r="U196" i="16"/>
  <c r="U180" i="16"/>
  <c r="U164" i="16"/>
  <c r="U148" i="16"/>
  <c r="U132" i="16"/>
  <c r="U116" i="16"/>
  <c r="U100" i="16"/>
  <c r="U84" i="16"/>
  <c r="U68" i="16"/>
  <c r="U52" i="16"/>
  <c r="U36" i="16"/>
  <c r="U20" i="16"/>
  <c r="U4" i="16"/>
  <c r="U515" i="16"/>
  <c r="U499" i="16"/>
  <c r="U483" i="16"/>
  <c r="U467" i="16"/>
  <c r="U451" i="16"/>
  <c r="U435" i="16"/>
  <c r="U419" i="16"/>
  <c r="U403" i="16"/>
  <c r="U387" i="16"/>
  <c r="U371" i="16"/>
  <c r="U355" i="16"/>
  <c r="U339" i="16"/>
  <c r="U323" i="16"/>
  <c r="U307" i="16"/>
  <c r="U291" i="16"/>
  <c r="U275" i="16"/>
  <c r="U259" i="16"/>
  <c r="U243" i="16"/>
  <c r="U227" i="16"/>
  <c r="U211" i="16"/>
  <c r="U195" i="16"/>
  <c r="U179" i="16"/>
  <c r="U163" i="16"/>
  <c r="U147" i="16"/>
  <c r="U131" i="16"/>
  <c r="U115" i="16"/>
  <c r="U99" i="16"/>
  <c r="U83" i="16"/>
  <c r="U67" i="16"/>
  <c r="U51" i="16"/>
  <c r="U35" i="16"/>
  <c r="U19" i="16"/>
  <c r="U3" i="16"/>
  <c r="U514" i="16"/>
  <c r="U498" i="16"/>
  <c r="U482" i="16"/>
  <c r="U466" i="16"/>
  <c r="U450" i="16"/>
  <c r="U434" i="16"/>
  <c r="U418" i="16"/>
  <c r="U402" i="16"/>
  <c r="U386" i="16"/>
  <c r="U370" i="16"/>
  <c r="U354" i="16"/>
  <c r="U338" i="16"/>
  <c r="U322" i="16"/>
  <c r="U306" i="16"/>
  <c r="U290" i="16"/>
  <c r="U274" i="16"/>
  <c r="U258" i="16"/>
  <c r="U242" i="16"/>
  <c r="U226" i="16"/>
  <c r="U210" i="16"/>
  <c r="U194" i="16"/>
  <c r="U178" i="16"/>
  <c r="U162" i="16"/>
  <c r="U146" i="16"/>
  <c r="U130" i="16"/>
  <c r="U114" i="16"/>
  <c r="U98" i="16"/>
  <c r="U82" i="16"/>
  <c r="U66" i="16"/>
  <c r="U50" i="16"/>
  <c r="U34" i="16"/>
  <c r="U18" i="16"/>
  <c r="U2" i="16"/>
  <c r="H86" i="16"/>
  <c r="H78" i="16"/>
  <c r="H76" i="16"/>
  <c r="H70" i="16"/>
  <c r="H62" i="16"/>
  <c r="G46" i="16"/>
  <c r="H60" i="16"/>
  <c r="G32" i="16"/>
  <c r="H54" i="16"/>
  <c r="H156" i="16"/>
  <c r="H140" i="16"/>
  <c r="H44" i="16"/>
  <c r="H126" i="16"/>
  <c r="H38" i="16"/>
  <c r="H124" i="16"/>
  <c r="H30" i="16"/>
  <c r="H110" i="16"/>
  <c r="H28" i="16"/>
  <c r="H108" i="16"/>
  <c r="H22" i="16"/>
  <c r="H102" i="16"/>
  <c r="H14" i="16"/>
  <c r="H94" i="16"/>
  <c r="H12" i="16"/>
  <c r="H92" i="16"/>
  <c r="H6" i="16"/>
  <c r="G64" i="16"/>
  <c r="H513" i="16"/>
  <c r="H497" i="16"/>
  <c r="H481" i="16"/>
  <c r="H465" i="16"/>
  <c r="H449" i="16"/>
  <c r="H433" i="16"/>
  <c r="H417" i="16"/>
  <c r="H401" i="16"/>
  <c r="H385" i="16"/>
  <c r="H369" i="16"/>
  <c r="H353" i="16"/>
  <c r="H337" i="16"/>
  <c r="H321" i="16"/>
  <c r="H305" i="16"/>
  <c r="H289" i="16"/>
  <c r="H273" i="16"/>
  <c r="H257" i="16"/>
  <c r="H241" i="16"/>
  <c r="H225" i="16"/>
  <c r="H209" i="16"/>
  <c r="H193" i="16"/>
  <c r="H177" i="16"/>
  <c r="H161" i="16"/>
  <c r="H145" i="16"/>
  <c r="H129" i="16"/>
  <c r="H113" i="16"/>
  <c r="H97" i="16"/>
  <c r="H81" i="16"/>
  <c r="H65" i="16"/>
  <c r="H49" i="16"/>
  <c r="H33" i="16"/>
  <c r="H17" i="16"/>
  <c r="G63" i="16"/>
  <c r="H512" i="16"/>
  <c r="H496" i="16"/>
  <c r="H480" i="16"/>
  <c r="H464" i="16"/>
  <c r="H448" i="16"/>
  <c r="H432" i="16"/>
  <c r="H416" i="16"/>
  <c r="H400" i="16"/>
  <c r="H384" i="16"/>
  <c r="H368" i="16"/>
  <c r="H352" i="16"/>
  <c r="H336" i="16"/>
  <c r="H320" i="16"/>
  <c r="H304" i="16"/>
  <c r="H288" i="16"/>
  <c r="H272" i="16"/>
  <c r="H256" i="16"/>
  <c r="H240" i="16"/>
  <c r="H224" i="16"/>
  <c r="H208" i="16"/>
  <c r="H192" i="16"/>
  <c r="H176" i="16"/>
  <c r="H160" i="16"/>
  <c r="H144" i="16"/>
  <c r="H128" i="16"/>
  <c r="H112" i="16"/>
  <c r="H96" i="16"/>
  <c r="H80" i="16"/>
  <c r="H48" i="16"/>
  <c r="H16" i="16"/>
  <c r="G47" i="16"/>
  <c r="H511" i="16"/>
  <c r="H495" i="16"/>
  <c r="H479" i="16"/>
  <c r="H463" i="16"/>
  <c r="H447" i="16"/>
  <c r="H431" i="16"/>
  <c r="H415" i="16"/>
  <c r="H399" i="16"/>
  <c r="H383" i="16"/>
  <c r="H367" i="16"/>
  <c r="H351" i="16"/>
  <c r="H335" i="16"/>
  <c r="H319" i="16"/>
  <c r="H303" i="16"/>
  <c r="H287" i="16"/>
  <c r="H271" i="16"/>
  <c r="H255" i="16"/>
  <c r="H239" i="16"/>
  <c r="H223" i="16"/>
  <c r="H207" i="16"/>
  <c r="H191" i="16"/>
  <c r="H175" i="16"/>
  <c r="H159" i="16"/>
  <c r="H143" i="16"/>
  <c r="H127" i="16"/>
  <c r="H111" i="16"/>
  <c r="H95" i="16"/>
  <c r="H79" i="16"/>
  <c r="H31" i="16"/>
  <c r="H15" i="16"/>
  <c r="H510" i="16"/>
  <c r="H494" i="16"/>
  <c r="H478" i="16"/>
  <c r="H462" i="16"/>
  <c r="H446" i="16"/>
  <c r="H430" i="16"/>
  <c r="H414" i="16"/>
  <c r="H398" i="16"/>
  <c r="H382" i="16"/>
  <c r="H366" i="16"/>
  <c r="H350" i="16"/>
  <c r="H334" i="16"/>
  <c r="H318" i="16"/>
  <c r="H302" i="16"/>
  <c r="H286" i="16"/>
  <c r="H270" i="16"/>
  <c r="H254" i="16"/>
  <c r="H238" i="16"/>
  <c r="H222" i="16"/>
  <c r="H206" i="16"/>
  <c r="H190" i="16"/>
  <c r="H174" i="16"/>
  <c r="H158" i="16"/>
  <c r="H142" i="16"/>
  <c r="H509" i="16"/>
  <c r="H493" i="16"/>
  <c r="H477" i="16"/>
  <c r="H461" i="16"/>
  <c r="H445" i="16"/>
  <c r="H429" i="16"/>
  <c r="H413" i="16"/>
  <c r="H397" i="16"/>
  <c r="H381" i="16"/>
  <c r="H365" i="16"/>
  <c r="H349" i="16"/>
  <c r="H333" i="16"/>
  <c r="H317" i="16"/>
  <c r="H301" i="16"/>
  <c r="H285" i="16"/>
  <c r="H269" i="16"/>
  <c r="H253" i="16"/>
  <c r="H237" i="16"/>
  <c r="H221" i="16"/>
  <c r="H205" i="16"/>
  <c r="H189" i="16"/>
  <c r="H173" i="16"/>
  <c r="H157" i="16"/>
  <c r="H141" i="16"/>
  <c r="H125" i="16"/>
  <c r="H109" i="16"/>
  <c r="H93" i="16"/>
  <c r="H77" i="16"/>
  <c r="H61" i="16"/>
  <c r="H45" i="16"/>
  <c r="H29" i="16"/>
  <c r="H13" i="16"/>
  <c r="H508" i="16"/>
  <c r="H492" i="16"/>
  <c r="H476" i="16"/>
  <c r="H460" i="16"/>
  <c r="H444" i="16"/>
  <c r="H428" i="16"/>
  <c r="H412" i="16"/>
  <c r="H396" i="16"/>
  <c r="H380" i="16"/>
  <c r="H364" i="16"/>
  <c r="H348" i="16"/>
  <c r="H332" i="16"/>
  <c r="H316" i="16"/>
  <c r="H300" i="16"/>
  <c r="H284" i="16"/>
  <c r="H268" i="16"/>
  <c r="H252" i="16"/>
  <c r="H236" i="16"/>
  <c r="H220" i="16"/>
  <c r="H204" i="16"/>
  <c r="H188" i="16"/>
  <c r="H172" i="16"/>
  <c r="H507" i="16"/>
  <c r="H491" i="16"/>
  <c r="H475" i="16"/>
  <c r="H459" i="16"/>
  <c r="H443" i="16"/>
  <c r="H427" i="16"/>
  <c r="H411" i="16"/>
  <c r="H395" i="16"/>
  <c r="H379" i="16"/>
  <c r="H363" i="16"/>
  <c r="H347" i="16"/>
  <c r="H331" i="16"/>
  <c r="H315" i="16"/>
  <c r="H299" i="16"/>
  <c r="H283" i="16"/>
  <c r="H267" i="16"/>
  <c r="H251" i="16"/>
  <c r="H235" i="16"/>
  <c r="H219" i="16"/>
  <c r="H203" i="16"/>
  <c r="H187" i="16"/>
  <c r="H171" i="16"/>
  <c r="H155" i="16"/>
  <c r="H139" i="16"/>
  <c r="H123" i="16"/>
  <c r="H107" i="16"/>
  <c r="H91" i="16"/>
  <c r="H75" i="16"/>
  <c r="H59" i="16"/>
  <c r="H43" i="16"/>
  <c r="H27" i="16"/>
  <c r="H11" i="16"/>
  <c r="H506" i="16"/>
  <c r="H490" i="16"/>
  <c r="H474" i="16"/>
  <c r="H458" i="16"/>
  <c r="H442" i="16"/>
  <c r="H426" i="16"/>
  <c r="H410" i="16"/>
  <c r="H394" i="16"/>
  <c r="H378" i="16"/>
  <c r="H362" i="16"/>
  <c r="H346" i="16"/>
  <c r="H330" i="16"/>
  <c r="H314" i="16"/>
  <c r="H298" i="16"/>
  <c r="H282" i="16"/>
  <c r="H266" i="16"/>
  <c r="H250" i="16"/>
  <c r="H234" i="16"/>
  <c r="H218" i="16"/>
  <c r="H202" i="16"/>
  <c r="H186" i="16"/>
  <c r="H170" i="16"/>
  <c r="H154" i="16"/>
  <c r="H138" i="16"/>
  <c r="H122" i="16"/>
  <c r="H106" i="16"/>
  <c r="H90" i="16"/>
  <c r="H74" i="16"/>
  <c r="H58" i="16"/>
  <c r="H42" i="16"/>
  <c r="H26" i="16"/>
  <c r="H10" i="16"/>
  <c r="H505" i="16"/>
  <c r="H489" i="16"/>
  <c r="H473" i="16"/>
  <c r="H457" i="16"/>
  <c r="H441" i="16"/>
  <c r="H425" i="16"/>
  <c r="H409" i="16"/>
  <c r="H393" i="16"/>
  <c r="H377" i="16"/>
  <c r="H361" i="16"/>
  <c r="H345" i="16"/>
  <c r="H329" i="16"/>
  <c r="H313" i="16"/>
  <c r="H297" i="16"/>
  <c r="H281" i="16"/>
  <c r="H265" i="16"/>
  <c r="H249" i="16"/>
  <c r="H233" i="16"/>
  <c r="H217" i="16"/>
  <c r="H201" i="16"/>
  <c r="H185" i="16"/>
  <c r="H169" i="16"/>
  <c r="H153" i="16"/>
  <c r="H137" i="16"/>
  <c r="H121" i="16"/>
  <c r="H105" i="16"/>
  <c r="H89" i="16"/>
  <c r="H73" i="16"/>
  <c r="H57" i="16"/>
  <c r="H41" i="16"/>
  <c r="H25" i="16"/>
  <c r="H9" i="16"/>
  <c r="H504" i="16"/>
  <c r="H488" i="16"/>
  <c r="H472" i="16"/>
  <c r="H456" i="16"/>
  <c r="H440" i="16"/>
  <c r="H424" i="16"/>
  <c r="H408" i="16"/>
  <c r="H392" i="16"/>
  <c r="H376" i="16"/>
  <c r="H360" i="16"/>
  <c r="H344" i="16"/>
  <c r="H328" i="16"/>
  <c r="H312" i="16"/>
  <c r="H296" i="16"/>
  <c r="H280" i="16"/>
  <c r="H264" i="16"/>
  <c r="H248" i="16"/>
  <c r="H232" i="16"/>
  <c r="H216" i="16"/>
  <c r="H200" i="16"/>
  <c r="H184" i="16"/>
  <c r="H168" i="16"/>
  <c r="H152" i="16"/>
  <c r="H136" i="16"/>
  <c r="H120" i="16"/>
  <c r="H104" i="16"/>
  <c r="H88" i="16"/>
  <c r="H72" i="16"/>
  <c r="H56" i="16"/>
  <c r="H40" i="16"/>
  <c r="H24" i="16"/>
  <c r="H8" i="16"/>
  <c r="H519" i="16"/>
  <c r="H503" i="16"/>
  <c r="H487" i="16"/>
  <c r="H471" i="16"/>
  <c r="H455" i="16"/>
  <c r="H439" i="16"/>
  <c r="H423" i="16"/>
  <c r="H407" i="16"/>
  <c r="H391" i="16"/>
  <c r="H375" i="16"/>
  <c r="H359" i="16"/>
  <c r="H343" i="16"/>
  <c r="H327" i="16"/>
  <c r="H311" i="16"/>
  <c r="H295" i="16"/>
  <c r="H279" i="16"/>
  <c r="H263" i="16"/>
  <c r="H247" i="16"/>
  <c r="H231" i="16"/>
  <c r="H215" i="16"/>
  <c r="H199" i="16"/>
  <c r="H183" i="16"/>
  <c r="H167" i="16"/>
  <c r="H151" i="16"/>
  <c r="H135" i="16"/>
  <c r="H119" i="16"/>
  <c r="H103" i="16"/>
  <c r="H87" i="16"/>
  <c r="H71" i="16"/>
  <c r="H55" i="16"/>
  <c r="H39" i="16"/>
  <c r="H23" i="16"/>
  <c r="H7" i="16"/>
  <c r="H518" i="16"/>
  <c r="H502" i="16"/>
  <c r="H486" i="16"/>
  <c r="H470" i="16"/>
  <c r="H454" i="16"/>
  <c r="H438" i="16"/>
  <c r="H422" i="16"/>
  <c r="H406" i="16"/>
  <c r="H390" i="16"/>
  <c r="H374" i="16"/>
  <c r="H358" i="16"/>
  <c r="H342" i="16"/>
  <c r="H326" i="16"/>
  <c r="H310" i="16"/>
  <c r="H294" i="16"/>
  <c r="H278" i="16"/>
  <c r="H262" i="16"/>
  <c r="H246" i="16"/>
  <c r="H230" i="16"/>
  <c r="H214" i="16"/>
  <c r="H198" i="16"/>
  <c r="H182" i="16"/>
  <c r="H166" i="16"/>
  <c r="H150" i="16"/>
  <c r="H134" i="16"/>
  <c r="H118" i="16"/>
  <c r="H517" i="16"/>
  <c r="H501" i="16"/>
  <c r="H485" i="16"/>
  <c r="H469" i="16"/>
  <c r="H453" i="16"/>
  <c r="H437" i="16"/>
  <c r="H421" i="16"/>
  <c r="H405" i="16"/>
  <c r="H389" i="16"/>
  <c r="H373" i="16"/>
  <c r="H357" i="16"/>
  <c r="H341" i="16"/>
  <c r="H325" i="16"/>
  <c r="H309" i="16"/>
  <c r="H293" i="16"/>
  <c r="H277" i="16"/>
  <c r="H261" i="16"/>
  <c r="H245" i="16"/>
  <c r="H229" i="16"/>
  <c r="H213" i="16"/>
  <c r="H197" i="16"/>
  <c r="H181" i="16"/>
  <c r="H165" i="16"/>
  <c r="H149" i="16"/>
  <c r="H133" i="16"/>
  <c r="H117" i="16"/>
  <c r="H101" i="16"/>
  <c r="H85" i="16"/>
  <c r="H69" i="16"/>
  <c r="H53" i="16"/>
  <c r="H37" i="16"/>
  <c r="H21" i="16"/>
  <c r="H5" i="16"/>
  <c r="H516" i="16"/>
  <c r="H500" i="16"/>
  <c r="H484" i="16"/>
  <c r="H468" i="16"/>
  <c r="H452" i="16"/>
  <c r="H436" i="16"/>
  <c r="H420" i="16"/>
  <c r="H404" i="16"/>
  <c r="H388" i="16"/>
  <c r="H372" i="16"/>
  <c r="H356" i="16"/>
  <c r="H340" i="16"/>
  <c r="H324" i="16"/>
  <c r="H308" i="16"/>
  <c r="H292" i="16"/>
  <c r="H276" i="16"/>
  <c r="H260" i="16"/>
  <c r="H244" i="16"/>
  <c r="H228" i="16"/>
  <c r="H212" i="16"/>
  <c r="H196" i="16"/>
  <c r="H180" i="16"/>
  <c r="H164" i="16"/>
  <c r="H148" i="16"/>
  <c r="H132" i="16"/>
  <c r="H116" i="16"/>
  <c r="H100" i="16"/>
  <c r="H84" i="16"/>
  <c r="H68" i="16"/>
  <c r="H52" i="16"/>
  <c r="H36" i="16"/>
  <c r="H20" i="16"/>
  <c r="H4" i="16"/>
  <c r="H515" i="16"/>
  <c r="H499" i="16"/>
  <c r="H483" i="16"/>
  <c r="H467" i="16"/>
  <c r="H451" i="16"/>
  <c r="H435" i="16"/>
  <c r="H419" i="16"/>
  <c r="H403" i="16"/>
  <c r="H387" i="16"/>
  <c r="H371" i="16"/>
  <c r="H355" i="16"/>
  <c r="H339" i="16"/>
  <c r="H323" i="16"/>
  <c r="H307" i="16"/>
  <c r="H291" i="16"/>
  <c r="H275" i="16"/>
  <c r="H259" i="16"/>
  <c r="H243" i="16"/>
  <c r="H227" i="16"/>
  <c r="H211" i="16"/>
  <c r="H195" i="16"/>
  <c r="H179" i="16"/>
  <c r="H163" i="16"/>
  <c r="H147" i="16"/>
  <c r="H131" i="16"/>
  <c r="H115" i="16"/>
  <c r="H99" i="16"/>
  <c r="H83" i="16"/>
  <c r="H67" i="16"/>
  <c r="H51" i="16"/>
  <c r="H35" i="16"/>
  <c r="H19" i="16"/>
  <c r="H3" i="16"/>
  <c r="H514" i="16"/>
  <c r="H498" i="16"/>
  <c r="H482" i="16"/>
  <c r="H466" i="16"/>
  <c r="H450" i="16"/>
  <c r="H434" i="16"/>
  <c r="H418" i="16"/>
  <c r="H402" i="16"/>
  <c r="H386" i="16"/>
  <c r="H370" i="16"/>
  <c r="H354" i="16"/>
  <c r="H338" i="16"/>
  <c r="H322" i="16"/>
  <c r="H306" i="16"/>
  <c r="H290" i="16"/>
  <c r="H274" i="16"/>
  <c r="H258" i="16"/>
  <c r="H242" i="16"/>
  <c r="H226" i="16"/>
  <c r="H210" i="16"/>
  <c r="H194" i="16"/>
  <c r="H178" i="16"/>
  <c r="H162" i="16"/>
  <c r="H146" i="16"/>
  <c r="H130" i="16"/>
  <c r="H114" i="16"/>
  <c r="H98" i="16"/>
  <c r="H82" i="16"/>
  <c r="H66" i="16"/>
  <c r="H50" i="16"/>
  <c r="H34" i="16"/>
  <c r="H18" i="16"/>
  <c r="H2"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F7D30DF-FE25-4BF3-ADCE-3CCF831B6E51}" name="Excel northwind_2012" type="100" refreshedVersion="0">
    <extLst>
      <ext xmlns:x15="http://schemas.microsoft.com/office/spreadsheetml/2010/11/main" uri="{DE250136-89BD-433C-8126-D09CA5730AF9}">
        <x15:connection id="a5f8346e-1314-4488-9392-68c455120a2b"/>
      </ext>
    </extLst>
  </connection>
  <connection id="2" xr16:uid="{9939E809-1A5D-4BE2-B0AD-1A1D9A4A5ACA}" keepAlive="1" name="ThisWorkbookDataModel" description="Μοντέλο δεδομένων"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12FB165D-0C87-48EC-97F9-35120C0D0AC2}" name="WorksheetConnection_northwind_2012_test.xlsx!Πίνακας2" type="102" refreshedVersion="8" minRefreshableVersion="5">
    <extLst>
      <ext xmlns:x15="http://schemas.microsoft.com/office/spreadsheetml/2010/11/main" uri="{DE250136-89BD-433C-8126-D09CA5730AF9}">
        <x15:connection id="Πίνακας2">
          <x15:rangePr sourceName="_xlcn.WorksheetConnection_northwind_2012_test.xlsxΠίνακας21"/>
        </x15:connection>
      </ext>
    </extLst>
  </connection>
  <connection id="4" xr16:uid="{0DEBE6ED-2098-456A-906D-40ABE8BF2F30}" name="WorksheetConnection_northwind_2012_test.xlsx!Πίνακας4" type="102" refreshedVersion="8" minRefreshableVersion="5">
    <extLst>
      <ext xmlns:x15="http://schemas.microsoft.com/office/spreadsheetml/2010/11/main" uri="{DE250136-89BD-433C-8126-D09CA5730AF9}">
        <x15:connection id="Πίνακας4">
          <x15:rangePr sourceName="_xlcn.WorksheetConnection_northwind_2012_test.xlsxΠίνακας4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<sst xmlns="http://schemas.openxmlformats.org/spreadsheetml/2006/main" count="1309" uniqueCount="959">
  <si>
    <t>CategoryID</t>
  </si>
  <si>
    <t>CategoryName</t>
  </si>
  <si>
    <t>Description</t>
  </si>
  <si>
    <t>Beverages</t>
  </si>
  <si>
    <t>Soft drinks, coffees, teas, beers, and ales</t>
  </si>
  <si>
    <t>Condiments</t>
  </si>
  <si>
    <t>Sweet and savory sauces, relishes, spreads, and seasonings</t>
  </si>
  <si>
    <t>Confections</t>
  </si>
  <si>
    <t>Desserts, candies, and sweet breads</t>
  </si>
  <si>
    <t>Dairy Products</t>
  </si>
  <si>
    <t>Cheeses</t>
  </si>
  <si>
    <t>Grains/Cereals</t>
  </si>
  <si>
    <t>Breads, crackers, pasta, and cereal</t>
  </si>
  <si>
    <t>Meat/Poultry</t>
  </si>
  <si>
    <t>Prepared meats</t>
  </si>
  <si>
    <t>Produce</t>
  </si>
  <si>
    <t>Dried fruit and bean curd</t>
  </si>
  <si>
    <t>Seafood</t>
  </si>
  <si>
    <t>Seaweed and fish</t>
  </si>
  <si>
    <t>CustomerID</t>
  </si>
  <si>
    <t>CustomerName</t>
  </si>
  <si>
    <t>ContactName</t>
  </si>
  <si>
    <t>Address</t>
  </si>
  <si>
    <t>City</t>
  </si>
  <si>
    <t>PostalCode</t>
  </si>
  <si>
    <t>Country</t>
  </si>
  <si>
    <t>Alfreds Futterkiste</t>
  </si>
  <si>
    <t>Maria Anders</t>
  </si>
  <si>
    <t>Obere Str. 57</t>
  </si>
  <si>
    <t>Berlin</t>
  </si>
  <si>
    <t>Germany</t>
  </si>
  <si>
    <t>Ana Trujillo Emparedados y helados</t>
  </si>
  <si>
    <t>Ana Trujillo</t>
  </si>
  <si>
    <t>Avda. de la Constitucion 2222</t>
  </si>
  <si>
    <t>Mexico D.F.</t>
  </si>
  <si>
    <t>Mexico</t>
  </si>
  <si>
    <t>Antonio Moreno Taqueria</t>
  </si>
  <si>
    <t>Antonio Moreno</t>
  </si>
  <si>
    <t>Mataderos 2312</t>
  </si>
  <si>
    <t>Around the Horn</t>
  </si>
  <si>
    <t>Thomas Hardy</t>
  </si>
  <si>
    <t>120 Hanover Sq.</t>
  </si>
  <si>
    <t>London</t>
  </si>
  <si>
    <t>WA1 1DP</t>
  </si>
  <si>
    <t>UK</t>
  </si>
  <si>
    <t>Berglunds snabbkop</t>
  </si>
  <si>
    <t>Christina Berglund</t>
  </si>
  <si>
    <t>Berguvsvagen 8</t>
  </si>
  <si>
    <t>Lulea</t>
  </si>
  <si>
    <t>S-958 22</t>
  </si>
  <si>
    <t>Sweden</t>
  </si>
  <si>
    <t>Blauer See Delikatessen</t>
  </si>
  <si>
    <t>Hanna Moos</t>
  </si>
  <si>
    <t>Forsterstr. 57</t>
  </si>
  <si>
    <t>Mannheim</t>
  </si>
  <si>
    <t>Blondel pere et fils</t>
  </si>
  <si>
    <t>Frederique Citeaux</t>
  </si>
  <si>
    <t>24, place Kleber</t>
  </si>
  <si>
    <t>Strasbourg</t>
  </si>
  <si>
    <t>France</t>
  </si>
  <si>
    <t>Bolido Comidas preparadas</t>
  </si>
  <si>
    <t>Martin Sommer</t>
  </si>
  <si>
    <t>C/ Araquil, 67</t>
  </si>
  <si>
    <t>Madrid</t>
  </si>
  <si>
    <t>Spain</t>
  </si>
  <si>
    <t>Bon app''</t>
  </si>
  <si>
    <t>Laurence Lebihans</t>
  </si>
  <si>
    <t>12, rue des Bouchers</t>
  </si>
  <si>
    <t>Marseille</t>
  </si>
  <si>
    <t>Bottom-Dollar Marketse</t>
  </si>
  <si>
    <t>Elizabeth Lincoln</t>
  </si>
  <si>
    <t>23 Tsawassen Blvd.</t>
  </si>
  <si>
    <t>Tsawassen</t>
  </si>
  <si>
    <t>T2F 8M4</t>
  </si>
  <si>
    <t>Canada</t>
  </si>
  <si>
    <t>B''s Beverages</t>
  </si>
  <si>
    <t>Victoria Ashworth</t>
  </si>
  <si>
    <t>Fauntleroy Circus</t>
  </si>
  <si>
    <t>EC2 5NT</t>
  </si>
  <si>
    <t>Cactus Comidas para llevar</t>
  </si>
  <si>
    <t>Patricio Simpson</t>
  </si>
  <si>
    <t>Cerrito 333</t>
  </si>
  <si>
    <t>Buenos Aires</t>
  </si>
  <si>
    <t>Argentina</t>
  </si>
  <si>
    <t>Centro comercial Moctezuma</t>
  </si>
  <si>
    <t>Francisco Chang</t>
  </si>
  <si>
    <t>Sierras de Granada 9993</t>
  </si>
  <si>
    <t>Chop-suey Chinese</t>
  </si>
  <si>
    <t>Yang Wang</t>
  </si>
  <si>
    <t>Hauptstr. 29</t>
  </si>
  <si>
    <t>Bern</t>
  </si>
  <si>
    <t>Switzerland</t>
  </si>
  <si>
    <t>Comercio Mineiro</t>
  </si>
  <si>
    <t>Pedro Afonso</t>
  </si>
  <si>
    <t>Av. dos Lusiadas, 23</t>
  </si>
  <si>
    <t>Sao Paulo</t>
  </si>
  <si>
    <t>05432-043</t>
  </si>
  <si>
    <t>Brazil</t>
  </si>
  <si>
    <t>Consolidated Holdings</t>
  </si>
  <si>
    <t>Elizabeth Brown</t>
  </si>
  <si>
    <t>Berkeley Gardens 12 Brewery</t>
  </si>
  <si>
    <t>WX1 6LT</t>
  </si>
  <si>
    <t>Drachenblut Delikatessend</t>
  </si>
  <si>
    <t>Sven Ottlieb</t>
  </si>
  <si>
    <t>Walserweg 21</t>
  </si>
  <si>
    <t>Aachen</t>
  </si>
  <si>
    <t>Du monde entier</t>
  </si>
  <si>
    <t>Janine Labrune</t>
  </si>
  <si>
    <t>67, rue des Cinquante Otages</t>
  </si>
  <si>
    <t>Nantes</t>
  </si>
  <si>
    <t>Eastern Connection</t>
  </si>
  <si>
    <t>Ann Devon</t>
  </si>
  <si>
    <t>35 King George</t>
  </si>
  <si>
    <t>WX3 6FW</t>
  </si>
  <si>
    <t>Ernst Handel</t>
  </si>
  <si>
    <t>Roland Mendel</t>
  </si>
  <si>
    <t>Kirchgasse 6</t>
  </si>
  <si>
    <t>Graz</t>
  </si>
  <si>
    <t>Austria</t>
  </si>
  <si>
    <t>Familia Arquibaldo</t>
  </si>
  <si>
    <t>Aria Cruz</t>
  </si>
  <si>
    <t>Rua Oros, 92</t>
  </si>
  <si>
    <t>05442-030</t>
  </si>
  <si>
    <t>FISSA Fabrica Inter. Salchichas S.A.</t>
  </si>
  <si>
    <t>Diego Roel</t>
  </si>
  <si>
    <t>C/ Moralzarzal, 86</t>
  </si>
  <si>
    <t>Folies gourmandes</t>
  </si>
  <si>
    <t>Martine Rance</t>
  </si>
  <si>
    <t>184, chaussee de Tournai</t>
  </si>
  <si>
    <t>Lille</t>
  </si>
  <si>
    <t>Folk och fa HB</t>
  </si>
  <si>
    <t>Maria Larsson</t>
  </si>
  <si>
    <t>Akergatan 24</t>
  </si>
  <si>
    <t>Bracke</t>
  </si>
  <si>
    <t>S-844 67</t>
  </si>
  <si>
    <t>Frankenversand</t>
  </si>
  <si>
    <t>Peter Franken</t>
  </si>
  <si>
    <t>Berliner Platz 43</t>
  </si>
  <si>
    <t>Munchen</t>
  </si>
  <si>
    <t>France restauration</t>
  </si>
  <si>
    <t>Carine Schmitt</t>
  </si>
  <si>
    <t>54, rue Royale</t>
  </si>
  <si>
    <t>Franchi S.p.A.</t>
  </si>
  <si>
    <t>Paolo Accorti</t>
  </si>
  <si>
    <t>Via Monte Bianco 34</t>
  </si>
  <si>
    <t>Torino</t>
  </si>
  <si>
    <t>Italy</t>
  </si>
  <si>
    <t>Furia Bacalhau e Frutos do Mar</t>
  </si>
  <si>
    <t>Lino Rodriguez</t>
  </si>
  <si>
    <t>Jardim das rosas n. 32</t>
  </si>
  <si>
    <t>Lisboa</t>
  </si>
  <si>
    <t>Portugal</t>
  </si>
  <si>
    <t>Galeria del gastronomo</t>
  </si>
  <si>
    <t>Eduardo Saavedra</t>
  </si>
  <si>
    <t>Rambla de Cataluna, 23</t>
  </si>
  <si>
    <t>Barcelona</t>
  </si>
  <si>
    <t>Godos Cocina Tipica</t>
  </si>
  <si>
    <t>Jose Pedro Freyre</t>
  </si>
  <si>
    <t>C/ Romero, 33</t>
  </si>
  <si>
    <t>Sevilla</t>
  </si>
  <si>
    <t>Gourmet Lanchonetes</t>
  </si>
  <si>
    <t>Andre Fonseca</t>
  </si>
  <si>
    <t>Av. Brasil, 442</t>
  </si>
  <si>
    <t>Campinas</t>
  </si>
  <si>
    <t>04876-786</t>
  </si>
  <si>
    <t>Great Lakes Food Market</t>
  </si>
  <si>
    <t>Howard Snyder</t>
  </si>
  <si>
    <t>2732 Baker Blvd.</t>
  </si>
  <si>
    <t>Eugene</t>
  </si>
  <si>
    <t>USA</t>
  </si>
  <si>
    <t>GROSELLA-Restaurante</t>
  </si>
  <si>
    <t>Manuel Pereira</t>
  </si>
  <si>
    <t>5a Ave. Los Palos Grandes</t>
  </si>
  <si>
    <t>Caracas</t>
  </si>
  <si>
    <t>Venezuela</t>
  </si>
  <si>
    <t>Hanari Carnes</t>
  </si>
  <si>
    <t>Mario Pontes</t>
  </si>
  <si>
    <t>Rua do Paco, 67</t>
  </si>
  <si>
    <t>Rio de Janeiro</t>
  </si>
  <si>
    <t>05454-876</t>
  </si>
  <si>
    <t>HILARION-Abastos</t>
  </si>
  <si>
    <t>Carlos Hernandez</t>
  </si>
  <si>
    <t>Carrera 22 con Ave. Carlos Soublette #8-35</t>
  </si>
  <si>
    <t>San Cristobal</t>
  </si>
  <si>
    <t>Hungry Coyote Import Store</t>
  </si>
  <si>
    <t>Yoshi Latimer</t>
  </si>
  <si>
    <t>City Center Plaza 516 Main St.</t>
  </si>
  <si>
    <t>Elgin</t>
  </si>
  <si>
    <t>Hungry Owl All-Night Grocers</t>
  </si>
  <si>
    <t>Patricia McKenna</t>
  </si>
  <si>
    <t>8 Johnstown Road</t>
  </si>
  <si>
    <t>Cork</t>
  </si>
  <si>
    <t>Ireland</t>
  </si>
  <si>
    <t>Island Trading</t>
  </si>
  <si>
    <t>Helen Bennett</t>
  </si>
  <si>
    <t>Garden House Crowther Way</t>
  </si>
  <si>
    <t>Cowes</t>
  </si>
  <si>
    <t>PO31 7PJ</t>
  </si>
  <si>
    <t>Koniglich Essen</t>
  </si>
  <si>
    <t>Philip Cramer</t>
  </si>
  <si>
    <t>Maubelstr. 90</t>
  </si>
  <si>
    <t>Brandenburg</t>
  </si>
  <si>
    <t>La corne d''abondance</t>
  </si>
  <si>
    <t>Daniel Tonini</t>
  </si>
  <si>
    <t>67, avenue de l''Europe</t>
  </si>
  <si>
    <t>Versailles</t>
  </si>
  <si>
    <t>La maison d''Asie</t>
  </si>
  <si>
    <t>Annette Roulet</t>
  </si>
  <si>
    <t>1 rue Alsace-Lorraine</t>
  </si>
  <si>
    <t>Toulouse</t>
  </si>
  <si>
    <t>Laughing Bacchus Wine Cellars</t>
  </si>
  <si>
    <t>Yoshi Tannamuri</t>
  </si>
  <si>
    <t>1900 Oak St.</t>
  </si>
  <si>
    <t>Vancouver</t>
  </si>
  <si>
    <t>V3F 2K1</t>
  </si>
  <si>
    <t>Lazy K Kountry Store</t>
  </si>
  <si>
    <t>John Steel</t>
  </si>
  <si>
    <t>12 Orchestra Terrace</t>
  </si>
  <si>
    <t>Walla Walla</t>
  </si>
  <si>
    <t>Lehmanns Marktstand</t>
  </si>
  <si>
    <t>Renate Messner</t>
  </si>
  <si>
    <t>Magazinweg 7</t>
  </si>
  <si>
    <t>Frankfurt a.M.</t>
  </si>
  <si>
    <t>Let''s Stop N Shop</t>
  </si>
  <si>
    <t>Jaime Yorres</t>
  </si>
  <si>
    <t>87 Polk St. Suite 5</t>
  </si>
  <si>
    <t>San Francisco</t>
  </si>
  <si>
    <t>LILA-Supermercado</t>
  </si>
  <si>
    <t>Carlos Gonzalez</t>
  </si>
  <si>
    <t>Carrera 52 con Ave. Bolivar #65-98 Llano Largo</t>
  </si>
  <si>
    <t>Barquisimeto</t>
  </si>
  <si>
    <t>LINO-Delicateses</t>
  </si>
  <si>
    <t>Felipe Izquierdo</t>
  </si>
  <si>
    <t>Ave. 5 de Mayo Porlamar</t>
  </si>
  <si>
    <t>I. de Margarita</t>
  </si>
  <si>
    <t>Lonesome Pine Restaurant</t>
  </si>
  <si>
    <t>Fran Wilson</t>
  </si>
  <si>
    <t>89 Chiaroscuro Rd.</t>
  </si>
  <si>
    <t>Portland</t>
  </si>
  <si>
    <t>Magazzini Alimentari Riuniti</t>
  </si>
  <si>
    <t>Giovanni Rovelli</t>
  </si>
  <si>
    <t>Via Ludovico il Moro 22</t>
  </si>
  <si>
    <t>Bergamo</t>
  </si>
  <si>
    <t>Maison Dewey</t>
  </si>
  <si>
    <t>Catherine Dewey</t>
  </si>
  <si>
    <t>Rue Joseph-Bens 532</t>
  </si>
  <si>
    <t>Bruxelles</t>
  </si>
  <si>
    <t>B-1180</t>
  </si>
  <si>
    <t>Belgium</t>
  </si>
  <si>
    <t>Mere Paillarde</t>
  </si>
  <si>
    <t>Jean Fresniere</t>
  </si>
  <si>
    <t>43 rue St. Laurent</t>
  </si>
  <si>
    <t>Montreal</t>
  </si>
  <si>
    <t>H1J 1C3</t>
  </si>
  <si>
    <t>Morgenstern Gesundkost</t>
  </si>
  <si>
    <t>Alexander Feuer</t>
  </si>
  <si>
    <t>Heerstr. 22</t>
  </si>
  <si>
    <t>Leipzig</t>
  </si>
  <si>
    <t>North/South</t>
  </si>
  <si>
    <t>Simon Crowther</t>
  </si>
  <si>
    <t>South House 300 Queensbridge</t>
  </si>
  <si>
    <t>SW7 1RZ</t>
  </si>
  <si>
    <t>Oceano Atlantico Ltda.</t>
  </si>
  <si>
    <t>Yvonne Moncada</t>
  </si>
  <si>
    <t>Ing. Gustavo Moncada 8585 Piso 20-A</t>
  </si>
  <si>
    <t>Old World Delicatessen</t>
  </si>
  <si>
    <t>Rene Phillips</t>
  </si>
  <si>
    <t>2743 Bering St.</t>
  </si>
  <si>
    <t>Anchorage</t>
  </si>
  <si>
    <t>Ottilies Kaseladen</t>
  </si>
  <si>
    <t>Henriette Pfalzheim</t>
  </si>
  <si>
    <t>Mehrheimerstr. 369</t>
  </si>
  <si>
    <t>Koln</t>
  </si>
  <si>
    <t>Paris specialites</t>
  </si>
  <si>
    <t>Marie Bertrand</t>
  </si>
  <si>
    <t>265, boulevard Charonne</t>
  </si>
  <si>
    <t>Paris</t>
  </si>
  <si>
    <t>Pericles Comidas clasicas</t>
  </si>
  <si>
    <t>Guillermo Fernandez</t>
  </si>
  <si>
    <t>Calle Dr. Jorge Cash 321</t>
  </si>
  <si>
    <t>Piccolo und mehr</t>
  </si>
  <si>
    <t>Georg Pipps</t>
  </si>
  <si>
    <t>Geislweg 14</t>
  </si>
  <si>
    <t>Salzburg</t>
  </si>
  <si>
    <t>Princesa Isabel Vinhoss</t>
  </si>
  <si>
    <t>Isabel de Castro</t>
  </si>
  <si>
    <t>Estrada da saude n. 58</t>
  </si>
  <si>
    <t>Que Delicia</t>
  </si>
  <si>
    <t>Bernardo Batista</t>
  </si>
  <si>
    <t>Rua da Panificadora, 12</t>
  </si>
  <si>
    <t>02389-673</t>
  </si>
  <si>
    <t>Queen Cozinha</t>
  </si>
  <si>
    <t>Lucia Carvalho</t>
  </si>
  <si>
    <t>Alameda dos Canarios, 891</t>
  </si>
  <si>
    <t>05487-020</t>
  </si>
  <si>
    <t>QUICK-Stop</t>
  </si>
  <si>
    <t>Horst Kloss</t>
  </si>
  <si>
    <t>Taucherstra├ƒe 10</t>
  </si>
  <si>
    <t>Cunewalde</t>
  </si>
  <si>
    <t>Rancho grande</t>
  </si>
  <si>
    <t>Sergio Gutierrez</t>
  </si>
  <si>
    <t>Av. del Libertador 900</t>
  </si>
  <si>
    <t>Rattlesnake Canyon Grocery</t>
  </si>
  <si>
    <t>Paula Wilson</t>
  </si>
  <si>
    <t>2817 Milton Dr.</t>
  </si>
  <si>
    <t>Albuquerque</t>
  </si>
  <si>
    <t>Reggiani Caseifici</t>
  </si>
  <si>
    <t>Maurizio Moroni</t>
  </si>
  <si>
    <t>Strada Provinciale 124</t>
  </si>
  <si>
    <t>Reggio Emilia</t>
  </si>
  <si>
    <t>Ricardo Adocicados</t>
  </si>
  <si>
    <t>Janete Limeira</t>
  </si>
  <si>
    <t>Av. Copacabana, 267</t>
  </si>
  <si>
    <t>02389-890</t>
  </si>
  <si>
    <t>Richter Supermarkt</t>
  </si>
  <si>
    <t>Michael Holz</t>
  </si>
  <si>
    <t>Grenzacherweg 237</t>
  </si>
  <si>
    <t>Geneve</t>
  </si>
  <si>
    <t>Romero y tomillo</t>
  </si>
  <si>
    <t>Alejandra Camino</t>
  </si>
  <si>
    <t>Gran Via, 1</t>
  </si>
  <si>
    <t>Sante Gourmet</t>
  </si>
  <si>
    <t>Jonas Bergulfsen</t>
  </si>
  <si>
    <t>Erling Skakkes gate 78</t>
  </si>
  <si>
    <t>Stavern</t>
  </si>
  <si>
    <t>Norway</t>
  </si>
  <si>
    <t>Save-a-lot Markets</t>
  </si>
  <si>
    <t>Jose Pavarotti</t>
  </si>
  <si>
    <t>187 Suffolk Ln.</t>
  </si>
  <si>
    <t>Boise</t>
  </si>
  <si>
    <t>Seven Seas Imports</t>
  </si>
  <si>
    <t>Hari Kumar</t>
  </si>
  <si>
    <t>90 Wadhurst Rd.</t>
  </si>
  <si>
    <t>OX15 4NB</t>
  </si>
  <si>
    <t>Simons bistro</t>
  </si>
  <si>
    <t>Jytte Petersen</t>
  </si>
  <si>
    <t>Vinb├ªltet 34</t>
  </si>
  <si>
    <t>K├©benhavn</t>
  </si>
  <si>
    <t>Denmark</t>
  </si>
  <si>
    <t>Specialites du monde</t>
  </si>
  <si>
    <t>Dominique Perrier</t>
  </si>
  <si>
    <t>25, rue Lauriston</t>
  </si>
  <si>
    <t>Split Rail Beer &amp; Ale</t>
  </si>
  <si>
    <t>Art Braunschweiger</t>
  </si>
  <si>
    <t>P.O. Box 555</t>
  </si>
  <si>
    <t>Lander</t>
  </si>
  <si>
    <t>Supremes delices</t>
  </si>
  <si>
    <t>Pascale Cartrain</t>
  </si>
  <si>
    <t>Boulevard Tirou, 255</t>
  </si>
  <si>
    <t>Charleroi</t>
  </si>
  <si>
    <t>B-6000</t>
  </si>
  <si>
    <t>The Big Cheese</t>
  </si>
  <si>
    <t>Liz Nixon</t>
  </si>
  <si>
    <t>89 Jefferson Way Suite 2</t>
  </si>
  <si>
    <t>The Cracker Box</t>
  </si>
  <si>
    <t>Liu Wong</t>
  </si>
  <si>
    <t>55 Grizzly Peak Rd.</t>
  </si>
  <si>
    <t>Butte</t>
  </si>
  <si>
    <t>Toms Spezialitaten</t>
  </si>
  <si>
    <t>Karin Josephs</t>
  </si>
  <si>
    <t>Luisenstr. 48</t>
  </si>
  <si>
    <t>Munster</t>
  </si>
  <si>
    <t>Tortuga Restaurante</t>
  </si>
  <si>
    <t>Miguel Angel Paolino</t>
  </si>
  <si>
    <t>Avda. Azteca 123</t>
  </si>
  <si>
    <t>Tradicao Hipermercados</t>
  </si>
  <si>
    <t>Anabela Domingues</t>
  </si>
  <si>
    <t>Av. Ines de Castro, 414</t>
  </si>
  <si>
    <t>05634-030</t>
  </si>
  <si>
    <t>Trail''s Head Gourmet Provisioners</t>
  </si>
  <si>
    <t>Helvetius Nagy</t>
  </si>
  <si>
    <t>722 DaVinci Blvd.</t>
  </si>
  <si>
    <t>Kirkland</t>
  </si>
  <si>
    <t>Vaffeljernet</t>
  </si>
  <si>
    <t>Palle Ibsen</t>
  </si>
  <si>
    <t>Smagsl├©get 45</t>
  </si>
  <si>
    <t>Arhus</t>
  </si>
  <si>
    <t>Victuailles en stock</t>
  </si>
  <si>
    <t>Mary Saveley</t>
  </si>
  <si>
    <t>2, rue du Commerce</t>
  </si>
  <si>
    <t>Lyon</t>
  </si>
  <si>
    <t>Vins et alcools Chevalier</t>
  </si>
  <si>
    <t>Paul Henriot</t>
  </si>
  <si>
    <t>59 rue de l''Abbaye</t>
  </si>
  <si>
    <t>Reims</t>
  </si>
  <si>
    <t>Die Wandernde Kuh</t>
  </si>
  <si>
    <t>Rita Muller</t>
  </si>
  <si>
    <t>Adenauerallee 900</t>
  </si>
  <si>
    <t>Stuttgart</t>
  </si>
  <si>
    <t>Wartian Herkku</t>
  </si>
  <si>
    <t>Pirkko Koskitalo</t>
  </si>
  <si>
    <t>Torikatu 38</t>
  </si>
  <si>
    <t>Oulu</t>
  </si>
  <si>
    <t>Finland</t>
  </si>
  <si>
    <t>Wellington Importadora</t>
  </si>
  <si>
    <t>Paula Parente</t>
  </si>
  <si>
    <t>Rua do Mercado, 12</t>
  </si>
  <si>
    <t>Resende</t>
  </si>
  <si>
    <t>08737-363</t>
  </si>
  <si>
    <t>White Clover Markets</t>
  </si>
  <si>
    <t>Karl Jablonski</t>
  </si>
  <si>
    <t>305 - 14th Ave. S. Suite 3B</t>
  </si>
  <si>
    <t>Seattle</t>
  </si>
  <si>
    <t>Wilman Kala</t>
  </si>
  <si>
    <t>Matti Karttunen</t>
  </si>
  <si>
    <t>Keskuskatu 45</t>
  </si>
  <si>
    <t>Helsinki</t>
  </si>
  <si>
    <t>Wolski</t>
  </si>
  <si>
    <t>Zbyszek</t>
  </si>
  <si>
    <t>ul. Filtrowa 68</t>
  </si>
  <si>
    <t>Walla</t>
  </si>
  <si>
    <t>01-012</t>
  </si>
  <si>
    <t>Poland</t>
  </si>
  <si>
    <t>EmployeeID</t>
  </si>
  <si>
    <t>LastName</t>
  </si>
  <si>
    <t>FirstName</t>
  </si>
  <si>
    <t>BirthDate</t>
  </si>
  <si>
    <t>Photo</t>
  </si>
  <si>
    <t>Notes</t>
  </si>
  <si>
    <t>Davolio</t>
  </si>
  <si>
    <t>Nancy</t>
  </si>
  <si>
    <t>EmpID1.pic</t>
  </si>
  <si>
    <t>Education includes a BA in psychology from Colorado State University. She also completed (The Art of the Cold Call). Nancy is a member of 'Toastmasters International'.</t>
  </si>
  <si>
    <t>Fuller</t>
  </si>
  <si>
    <t>Andrew</t>
  </si>
  <si>
    <t>EmpID2.pic</t>
  </si>
  <si>
    <t>Andrew received his BTS commercial and a Ph.D. in international marketing from the University of Dallas. He is fluent in French and Italian and reads German. He joined the company as a sales representative, was promoted to sales manager and was then named vice president of sales. Andrew is a member of the Sales Management Roundtable, the Seattle Chamber of Commerce, and the Pacific Rim Importers Association.</t>
  </si>
  <si>
    <t>Leverling</t>
  </si>
  <si>
    <t>Janet</t>
  </si>
  <si>
    <t>EmpID3.pic</t>
  </si>
  <si>
    <t>Janet has a BS degree in chemistry from Boston College). She has also completed a certificate program in food retailing management. Janet was hired as a sales associate and was promoted to sales representative.</t>
  </si>
  <si>
    <t>Peacock</t>
  </si>
  <si>
    <t>Margaret</t>
  </si>
  <si>
    <t>EmpID4.pic</t>
  </si>
  <si>
    <t>Margaret holds a BA in English literature from Concordia College and an MA from the American Institute of Culinary Arts. She was temporarily assigned to the London office before returning to her permanent post in Seattle.</t>
  </si>
  <si>
    <t>Buchanan</t>
  </si>
  <si>
    <t>Steven</t>
  </si>
  <si>
    <t>EmpID5.pic</t>
  </si>
  <si>
    <t>Steven Buchanan graduated from St. Andrews University, Scotland, with a BSC degree. Upon joining the company as a sales representative, he spent 6 months in an orientation program at the Seattle office and then returned to his permanent post in London, where he was promoted to sales manager. Mr. Buchanan has completed the courses 'Successful Telemarketing' and 'International Sales Management'. He is fluent in French.</t>
  </si>
  <si>
    <t>Suyama</t>
  </si>
  <si>
    <t>Michael</t>
  </si>
  <si>
    <t>EmpID6.pic</t>
  </si>
  <si>
    <t>Michael is a graduate of Sussex University (MA, economics) and the University of California at Los Angeles (MBA, marketing). He has also taken the courses 'Multi-Cultural Selling' and 'Time Management for the Sales Professional'. He is fluent in Japanese and can read and write French, Portuguese, and Spanish.</t>
  </si>
  <si>
    <t>King</t>
  </si>
  <si>
    <t>Robert</t>
  </si>
  <si>
    <t>EmpID7.pic</t>
  </si>
  <si>
    <t>Robert King served in the Peace Corps and traveled extensively before completing his degree in English at the University of Michigan and then joining the company. After completing a course entitled 'Selling in Europe', he was transferred to the London office.</t>
  </si>
  <si>
    <t>Callahan</t>
  </si>
  <si>
    <t>Laura</t>
  </si>
  <si>
    <t>EmpID8.pic</t>
  </si>
  <si>
    <t>Laura received a BA in psychology from the University of Washington. She has also completed a course in business French. She reads and writes French.</t>
  </si>
  <si>
    <t>Dodsworth</t>
  </si>
  <si>
    <t>Anne</t>
  </si>
  <si>
    <t>EmpID9.pic</t>
  </si>
  <si>
    <t>Anne has a BA degree in English from St. Lawrence College. She is fluent in French and German.</t>
  </si>
  <si>
    <t>West</t>
  </si>
  <si>
    <t>Adam</t>
  </si>
  <si>
    <t>EmpID10.pic</t>
  </si>
  <si>
    <t>An old chum.</t>
  </si>
  <si>
    <t>OrderDetailID</t>
  </si>
  <si>
    <t>OrderID</t>
  </si>
  <si>
    <t>ProductID</t>
  </si>
  <si>
    <t>Quantity</t>
  </si>
  <si>
    <t>OrderDate</t>
  </si>
  <si>
    <t>ShipperID</t>
  </si>
  <si>
    <t>ProductName</t>
  </si>
  <si>
    <t>SupplierID</t>
  </si>
  <si>
    <t>Unit</t>
  </si>
  <si>
    <t>Price</t>
  </si>
  <si>
    <t>Chais</t>
  </si>
  <si>
    <t>10 boxes x 20 bags</t>
  </si>
  <si>
    <t>Chang</t>
  </si>
  <si>
    <t>24 - 12 oz bottles</t>
  </si>
  <si>
    <t>Aniseed Syrup</t>
  </si>
  <si>
    <t>12 - 550 ml bottles</t>
  </si>
  <si>
    <t>Chef Anton's Cajun Seasoning</t>
  </si>
  <si>
    <t>48 - 6 oz jars</t>
  </si>
  <si>
    <t>Chef Anton's Gumbo Mix</t>
  </si>
  <si>
    <t>36 boxes</t>
  </si>
  <si>
    <t>Grandma's Boysenberry Spread</t>
  </si>
  <si>
    <t>12 - 8 oz jars</t>
  </si>
  <si>
    <t>Uncle Bob's Organic Dried Pears</t>
  </si>
  <si>
    <t>12 - 1 lb pkgs.</t>
  </si>
  <si>
    <t>Northwoods Cranberry Sauce</t>
  </si>
  <si>
    <t>12 - 12 oz jars</t>
  </si>
  <si>
    <t>Mishi Kobe Niku</t>
  </si>
  <si>
    <t>18 - 500 g pkgs.</t>
  </si>
  <si>
    <t>Ikura</t>
  </si>
  <si>
    <t>12 - 200 ml jars</t>
  </si>
  <si>
    <t>Queso Cabrales</t>
  </si>
  <si>
    <t>1 kg pkg.</t>
  </si>
  <si>
    <t>Queso Manchego La Pastora</t>
  </si>
  <si>
    <t>10 - 500 g pkgs.</t>
  </si>
  <si>
    <t>Konbu</t>
  </si>
  <si>
    <t>2 kg box</t>
  </si>
  <si>
    <t>Tofu</t>
  </si>
  <si>
    <t>40 - 100 g pkgs.</t>
  </si>
  <si>
    <t>Genen Shouyu</t>
  </si>
  <si>
    <t>24 - 250 ml bottles</t>
  </si>
  <si>
    <t>Pavlova</t>
  </si>
  <si>
    <t>32 - 500 g boxes</t>
  </si>
  <si>
    <t>Alice Mutton</t>
  </si>
  <si>
    <t>20 - 1 kg tins</t>
  </si>
  <si>
    <t>Carnarvon Tigers</t>
  </si>
  <si>
    <t>16 kg pkg.</t>
  </si>
  <si>
    <t>Teatime Chocolate Biscuits</t>
  </si>
  <si>
    <t>10 boxes x 12 pieces</t>
  </si>
  <si>
    <t>Sir Rodney's Marmalade</t>
  </si>
  <si>
    <t>30 gift boxes</t>
  </si>
  <si>
    <t>Sir Rodney's Scones</t>
  </si>
  <si>
    <t>24 pkgs. x 4 pieces</t>
  </si>
  <si>
    <t>Gustaf's Knackebrod</t>
  </si>
  <si>
    <t>24 - 500 g pkgs.</t>
  </si>
  <si>
    <t>Tunnbrod</t>
  </si>
  <si>
    <t>12 - 250 g pkgs.</t>
  </si>
  <si>
    <t>Guarana Fantastica</t>
  </si>
  <si>
    <t>12 - 355 ml cans</t>
  </si>
  <si>
    <t>NuNuCa Nu├ƒ-Nougat-Creme</t>
  </si>
  <si>
    <t>20 - 450 g glasses</t>
  </si>
  <si>
    <t>Gumbar Gummibarchen</t>
  </si>
  <si>
    <t>100 - 250 g bags</t>
  </si>
  <si>
    <t>Schoggi Schokolade</t>
  </si>
  <si>
    <t>100 - 100 g pieces</t>
  </si>
  <si>
    <t>Rossle Sauerkraut</t>
  </si>
  <si>
    <t>25 - 825 g cans</t>
  </si>
  <si>
    <t>Thuringer Rostbratwurst</t>
  </si>
  <si>
    <t>50 bags x 30 sausgs.</t>
  </si>
  <si>
    <t>Nord-Ost Matjeshering</t>
  </si>
  <si>
    <t>10 - 200 g glasses</t>
  </si>
  <si>
    <t>Gorgonzola Telino</t>
  </si>
  <si>
    <t>12 - 100 g pkgs</t>
  </si>
  <si>
    <t>Mascarpone Fabioli</t>
  </si>
  <si>
    <t>24 - 200 g pkgs.</t>
  </si>
  <si>
    <t>Geitost</t>
  </si>
  <si>
    <t>500 g</t>
  </si>
  <si>
    <t>Sasquatch Ale</t>
  </si>
  <si>
    <t>Steeleye Stout</t>
  </si>
  <si>
    <t>Inlagd Sill</t>
  </si>
  <si>
    <t>24 - 250 g jars</t>
  </si>
  <si>
    <t>Gravad lax</t>
  </si>
  <si>
    <t>12 - 500 g pkgs.</t>
  </si>
  <si>
    <t>Cote de Blaye</t>
  </si>
  <si>
    <t>12 - 75 cl bottles</t>
  </si>
  <si>
    <t>Chartreuse verte</t>
  </si>
  <si>
    <t>750 cc per bottle</t>
  </si>
  <si>
    <t>Boston Crab Meat</t>
  </si>
  <si>
    <t>24 - 4 oz tins</t>
  </si>
  <si>
    <t>Jack's New England Clam Chowder</t>
  </si>
  <si>
    <t>12 - 12 oz cans</t>
  </si>
  <si>
    <t>Singaporean Hokkien Fried Mee</t>
  </si>
  <si>
    <t>32 - 1 kg pkgs.</t>
  </si>
  <si>
    <t>Ipoh Coffee</t>
  </si>
  <si>
    <t>16 - 500 g tins</t>
  </si>
  <si>
    <t>Gula Malacca</t>
  </si>
  <si>
    <t>20 - 2 kg bags</t>
  </si>
  <si>
    <t>R├©gede sild</t>
  </si>
  <si>
    <t>1k pkg.</t>
  </si>
  <si>
    <t>Spegesild</t>
  </si>
  <si>
    <t>4 - 450 g glasses</t>
  </si>
  <si>
    <t>Zaanse koeken</t>
  </si>
  <si>
    <t>10 - 4 oz boxes</t>
  </si>
  <si>
    <t>Chocolade</t>
  </si>
  <si>
    <t>10 pkgs.</t>
  </si>
  <si>
    <t>Maxilaku</t>
  </si>
  <si>
    <t>24 - 50 g pkgs.</t>
  </si>
  <si>
    <t>Valkoinen suklaa</t>
  </si>
  <si>
    <t>12 - 100 g bars</t>
  </si>
  <si>
    <t>Manjimup Dried Apples</t>
  </si>
  <si>
    <t>50 - 300 g pkgs.</t>
  </si>
  <si>
    <t>Filo Mix</t>
  </si>
  <si>
    <t>16 - 2 kg boxes</t>
  </si>
  <si>
    <t>Perth Pasties</t>
  </si>
  <si>
    <t>48 pieces</t>
  </si>
  <si>
    <t>Tourtiere</t>
  </si>
  <si>
    <t>16 pies</t>
  </si>
  <si>
    <t>Pate chinois</t>
  </si>
  <si>
    <t>24 boxes x 2 pies</t>
  </si>
  <si>
    <t>Gnocchi di nonna Alice</t>
  </si>
  <si>
    <t>24 - 250 g pkgs.</t>
  </si>
  <si>
    <t>Ravioli Angelo</t>
  </si>
  <si>
    <t>Escargots de Bourgogne</t>
  </si>
  <si>
    <t>24 pieces</t>
  </si>
  <si>
    <t>Raclette Courdavault</t>
  </si>
  <si>
    <t>5 kg pkg.</t>
  </si>
  <si>
    <t>Camembert Pierrot</t>
  </si>
  <si>
    <t>15 - 300 g rounds</t>
  </si>
  <si>
    <t>Sirop d'erable</t>
  </si>
  <si>
    <t>24 - 500 ml bottles</t>
  </si>
  <si>
    <t>Tarte au sucre</t>
  </si>
  <si>
    <t>48 pies</t>
  </si>
  <si>
    <t>Vegie-spread</t>
  </si>
  <si>
    <t>15 - 625 g jars</t>
  </si>
  <si>
    <t>Wimmers gute Semmelknodel</t>
  </si>
  <si>
    <t>20 bags x 4 pieces</t>
  </si>
  <si>
    <t>Louisiana Fiery Hot Pepper Sauce</t>
  </si>
  <si>
    <t>32 - 8 oz bottles</t>
  </si>
  <si>
    <t>Louisiana Hot Spiced Okra</t>
  </si>
  <si>
    <t>24 - 8 oz jars</t>
  </si>
  <si>
    <t>Laughing Lumberjack Lager</t>
  </si>
  <si>
    <t>Scottish Longbreads</t>
  </si>
  <si>
    <t>10 boxes x 8 pieces</t>
  </si>
  <si>
    <t>Gudbrandsdalsost</t>
  </si>
  <si>
    <t>10 kg pkg.</t>
  </si>
  <si>
    <t>Outback Lager</t>
  </si>
  <si>
    <t>24 - 355 ml bottles</t>
  </si>
  <si>
    <t>Fl├©temysost</t>
  </si>
  <si>
    <t>Mozzarella di Giovanni</t>
  </si>
  <si>
    <t>Rod Kaviar</t>
  </si>
  <si>
    <t>24 - 150 g jars</t>
  </si>
  <si>
    <t>Longlife Tofu</t>
  </si>
  <si>
    <t>Rhonbrau Klosterbier</t>
  </si>
  <si>
    <t>24 - 0.5 l bottles</t>
  </si>
  <si>
    <t>Lakkalikoori</t>
  </si>
  <si>
    <t>500 ml</t>
  </si>
  <si>
    <t>Original Frankfurter grune So├ƒe</t>
  </si>
  <si>
    <t>12 boxes</t>
  </si>
  <si>
    <t>ShipperName</t>
  </si>
  <si>
    <t>Phone</t>
  </si>
  <si>
    <t>Speedy Express</t>
  </si>
  <si>
    <t>(503) 555-9831</t>
  </si>
  <si>
    <t>United Package</t>
  </si>
  <si>
    <t>(503) 555-3199</t>
  </si>
  <si>
    <t>Federal Shipping</t>
  </si>
  <si>
    <t>(503) 555-9931</t>
  </si>
  <si>
    <t>SupplierName</t>
  </si>
  <si>
    <t>Exotic Liquid</t>
  </si>
  <si>
    <t>Charlotte Cooper</t>
  </si>
  <si>
    <t>49 Gilbert St.</t>
  </si>
  <si>
    <t>Londona</t>
  </si>
  <si>
    <t>EC1 4SD</t>
  </si>
  <si>
    <t>(171) 555-2222</t>
  </si>
  <si>
    <t>New Orleans Cajun Delights</t>
  </si>
  <si>
    <t>Shelley Burke</t>
  </si>
  <si>
    <t>P.O. Box 78934</t>
  </si>
  <si>
    <t>New Orleans</t>
  </si>
  <si>
    <t>(100) 555-4822</t>
  </si>
  <si>
    <t>Grandma Kelly's Homestead</t>
  </si>
  <si>
    <t>Regina Murphy</t>
  </si>
  <si>
    <t>707 Oxford Rd.</t>
  </si>
  <si>
    <t>Ann Arbor</t>
  </si>
  <si>
    <t>(313) 555-5735</t>
  </si>
  <si>
    <t>Tokyo Traders</t>
  </si>
  <si>
    <t>Yoshi Nagase</t>
  </si>
  <si>
    <t>9-8 Sekimai Musashino-shi</t>
  </si>
  <si>
    <t>Tokyo</t>
  </si>
  <si>
    <t>Japan</t>
  </si>
  <si>
    <t>(03) 3555-5011</t>
  </si>
  <si>
    <t>Cooperativa de Quesos 'Las Cabras'</t>
  </si>
  <si>
    <t>Antonio del Valle Saavedra</t>
  </si>
  <si>
    <t>Calle del Rosal 4</t>
  </si>
  <si>
    <t>Oviedo</t>
  </si>
  <si>
    <t>(98) 598 76 54</t>
  </si>
  <si>
    <t>Mayumi's</t>
  </si>
  <si>
    <t>Mayumi Ohno</t>
  </si>
  <si>
    <t>92 Setsuko Chuo-ku</t>
  </si>
  <si>
    <t>Osaka</t>
  </si>
  <si>
    <t>(06) 431-7877</t>
  </si>
  <si>
    <t>Pavlova, Ltd.</t>
  </si>
  <si>
    <t>Ian Devling</t>
  </si>
  <si>
    <t>74 Rose St. Moonie Ponds</t>
  </si>
  <si>
    <t>Melbourne</t>
  </si>
  <si>
    <t>Australia</t>
  </si>
  <si>
    <t>(03) 444-2343</t>
  </si>
  <si>
    <t>Specialty Biscuits, Ltd.</t>
  </si>
  <si>
    <t>Peter Wilson</t>
  </si>
  <si>
    <t>29 King's Way</t>
  </si>
  <si>
    <t>Manchester</t>
  </si>
  <si>
    <t>M14 GSD</t>
  </si>
  <si>
    <t>(161) 555-4448</t>
  </si>
  <si>
    <t>PB Knackebrod AB</t>
  </si>
  <si>
    <t>Lars Peterson</t>
  </si>
  <si>
    <t>Kaloadagatan 13</t>
  </si>
  <si>
    <t>Goteborg</t>
  </si>
  <si>
    <t>S-345 67</t>
  </si>
  <si>
    <t>031-987 65 43</t>
  </si>
  <si>
    <t>Refrescos Americanas LTDA</t>
  </si>
  <si>
    <t>Carlos Diaz</t>
  </si>
  <si>
    <t>Av. das Americanas 12.890</t>
  </si>
  <si>
    <t>(11) 555 4640</t>
  </si>
  <si>
    <t>Heli Su├ƒwaren GmbH &amp; Co. KG</t>
  </si>
  <si>
    <t>Petra Winkler</t>
  </si>
  <si>
    <t>Tiergartenstra├ƒe 5</t>
  </si>
  <si>
    <t>(010) 9984510</t>
  </si>
  <si>
    <t>Plutzer Lebensmittelgro├ƒmarkte AG</t>
  </si>
  <si>
    <t>Martin Bein</t>
  </si>
  <si>
    <t>Bogenallee 51</t>
  </si>
  <si>
    <t>Frankfurt</t>
  </si>
  <si>
    <t>(069) 992755</t>
  </si>
  <si>
    <t>Nord-Ost-Fisch Handelsgesellschaft mbH</t>
  </si>
  <si>
    <t>Sven Petersen</t>
  </si>
  <si>
    <t>Frahmredder 112a</t>
  </si>
  <si>
    <t>Cuxhaven</t>
  </si>
  <si>
    <t>(04721) 8713</t>
  </si>
  <si>
    <t>Formaggi Fortini s.r.l.</t>
  </si>
  <si>
    <t>Elio Rossi</t>
  </si>
  <si>
    <t>Viale Dante, 75</t>
  </si>
  <si>
    <t>Ravenna</t>
  </si>
  <si>
    <t>(0544) 60323</t>
  </si>
  <si>
    <t>Norske Meierier</t>
  </si>
  <si>
    <t>Beate Vileid</t>
  </si>
  <si>
    <t>Hatlevegen 5</t>
  </si>
  <si>
    <t>Sandvika</t>
  </si>
  <si>
    <t>(0)2-953010</t>
  </si>
  <si>
    <t>Bigfoot Breweries</t>
  </si>
  <si>
    <t>Cheryl Saylor</t>
  </si>
  <si>
    <t>3400 - 8th Avenue Suite 210</t>
  </si>
  <si>
    <t>Bend</t>
  </si>
  <si>
    <t>Svensk Sjofoda AB</t>
  </si>
  <si>
    <t>Michael Bjorn</t>
  </si>
  <si>
    <t>Brovallavagen 231</t>
  </si>
  <si>
    <t>Stockholm</t>
  </si>
  <si>
    <t>S-123 45</t>
  </si>
  <si>
    <t>08-123 45 67</t>
  </si>
  <si>
    <t>Aux joyeux ecclesiastiques</t>
  </si>
  <si>
    <t>Guylene Nodier</t>
  </si>
  <si>
    <t>203, Rue des Francs-Bourgeois</t>
  </si>
  <si>
    <t>(1) 03.83.00.68</t>
  </si>
  <si>
    <t>New England Seafood Cannery</t>
  </si>
  <si>
    <t>Robb Merchant</t>
  </si>
  <si>
    <t>Order Processing Dept. 2100 Paul Revere Blvd.</t>
  </si>
  <si>
    <t>Boston</t>
  </si>
  <si>
    <t>(617) 555-3267</t>
  </si>
  <si>
    <t>Leka Trading</t>
  </si>
  <si>
    <t>Chandra Leka</t>
  </si>
  <si>
    <t>471 Serangoon Loop, Suite #402</t>
  </si>
  <si>
    <t>Singapore</t>
  </si>
  <si>
    <t>555-8787</t>
  </si>
  <si>
    <t>Lyngbysild</t>
  </si>
  <si>
    <t>Niels Petersen</t>
  </si>
  <si>
    <t>Lyngbysild Fiskebakken 10</t>
  </si>
  <si>
    <t>Lyngby</t>
  </si>
  <si>
    <t>43844108</t>
  </si>
  <si>
    <t>Zaanse Snoepfabriek</t>
  </si>
  <si>
    <t>Dirk Luchte</t>
  </si>
  <si>
    <t>Verkoop Rijnweg 22</t>
  </si>
  <si>
    <t>Zaandam</t>
  </si>
  <si>
    <t>9999 ZZ</t>
  </si>
  <si>
    <t>Netherlands</t>
  </si>
  <si>
    <t>(12345) 1212</t>
  </si>
  <si>
    <t>Karkki Oy</t>
  </si>
  <si>
    <t>Anne Heikkonen</t>
  </si>
  <si>
    <t>Valtakatu 12</t>
  </si>
  <si>
    <t>Lappeenranta</t>
  </si>
  <si>
    <t>(953) 10956</t>
  </si>
  <si>
    <t>G'day, Mate</t>
  </si>
  <si>
    <t>Wendy Mackenzie</t>
  </si>
  <si>
    <t>170 Prince Edward Parade Hunter's Hill</t>
  </si>
  <si>
    <t>Sydney</t>
  </si>
  <si>
    <t>(02) 555-5914</t>
  </si>
  <si>
    <t>Ma Maison</t>
  </si>
  <si>
    <t>Jean-Guy Lauzon</t>
  </si>
  <si>
    <t>2960 Rue St. Laurent</t>
  </si>
  <si>
    <t>(514) 555-9022</t>
  </si>
  <si>
    <t>Pasta Buttini s.r.l.</t>
  </si>
  <si>
    <t>Giovanni Giudici</t>
  </si>
  <si>
    <t>Via dei Gelsomini, 153</t>
  </si>
  <si>
    <t>Salerno</t>
  </si>
  <si>
    <t>(089) 6547665</t>
  </si>
  <si>
    <t>Escargots Nouveaux</t>
  </si>
  <si>
    <t>Marie Delamare</t>
  </si>
  <si>
    <t>22, rue H. Voiron</t>
  </si>
  <si>
    <t>Montceau</t>
  </si>
  <si>
    <t>85.57.00.07</t>
  </si>
  <si>
    <t>Gai paturage</t>
  </si>
  <si>
    <t>Eliane Noz</t>
  </si>
  <si>
    <t>Bat. B 3, rue des Alpes</t>
  </si>
  <si>
    <t>Annecy</t>
  </si>
  <si>
    <t>38.76.98.06</t>
  </si>
  <si>
    <t>Forets d'erables</t>
  </si>
  <si>
    <t>Chantal Goulet</t>
  </si>
  <si>
    <t>148 rue Chasseur</t>
  </si>
  <si>
    <t>Ste-Hyacinthe</t>
  </si>
  <si>
    <t>J2S 7S8</t>
  </si>
  <si>
    <t>(514) 555-2955</t>
  </si>
  <si>
    <t>Suppliers</t>
  </si>
  <si>
    <t>Προμηθευτές και πωλητές της Northwind</t>
  </si>
  <si>
    <t>Customers</t>
  </si>
  <si>
    <t>Πελάτες που αγοράζουν προϊόντα από την Northwind</t>
  </si>
  <si>
    <t>Employees</t>
  </si>
  <si>
    <t>Products</t>
  </si>
  <si>
    <t>Shippers</t>
  </si>
  <si>
    <t>Orders and Order_Details</t>
  </si>
  <si>
    <t>Στοιχεία υπαλλήλων της Northwind</t>
  </si>
  <si>
    <t>Πληροφορίες προϊόντος</t>
  </si>
  <si>
    <t>Τα στοιχεία των αποστολέων που αποστέλλουν τα προϊόντα από τους εμπόρους στους τελικούς πελάτες</t>
  </si>
  <si>
    <t>Συναλλαγές παραγγελιών πωλήσεων που πραγματοποιούνται μεταξύ των πελατών και της εταιρείας</t>
  </si>
  <si>
    <t>Δεδομένα της Northwind</t>
  </si>
  <si>
    <t>Column1</t>
  </si>
  <si>
    <t>VLOOKUP</t>
  </si>
  <si>
    <t>XLOOKUP</t>
  </si>
  <si>
    <t>Οδηγίες:</t>
  </si>
  <si>
    <t>Χρησιμοποίησε τα φύλλα δεδομένων (products, suppliers, orders, orderdetails, customers, categories, shippers, employees). Στα φύλλα 01_ΕΡΓΑΣΤΗΡΙΟ, 02_FACTS και 03_PIVOT υπάρχουν έτοιμες περιοχές εργασίας.</t>
  </si>
  <si>
    <t>#</t>
  </si>
  <si>
    <t>Ενότητα</t>
  </si>
  <si>
    <t>Ερώτημα / Ζητούμενο</t>
  </si>
  <si>
    <t>Δεδομένα (φύλλο)</t>
  </si>
  <si>
    <t>Κελί εργασίας</t>
  </si>
  <si>
    <t>Συνάρτηση/Εργαλείο</t>
  </si>
  <si>
    <t>1. Μέτρα θέσης/διασποράς</t>
  </si>
  <si>
    <t>products</t>
  </si>
  <si>
    <t>01_ΕΡΓΑΣΤΗΡΙΟ!B7</t>
  </si>
  <si>
    <t>01_ΕΡΓΑΣΤΗΡΙΟ!B8</t>
  </si>
  <si>
    <t>01_ΕΡΓΑΣΤΗΡΙΟ!B9</t>
  </si>
  <si>
    <t>2. Καθαρισμός δεδομένων (Text)</t>
  </si>
  <si>
    <t>suppliers</t>
  </si>
  <si>
    <t>customers</t>
  </si>
  <si>
    <t>3. Μορφοποίηση υπό όρους</t>
  </si>
  <si>
    <t>Εφάρμοσε Icon Set (3 traffic lights) στη στήλη Quantity (orderdetails).</t>
  </si>
  <si>
    <t>orderdetails</t>
  </si>
  <si>
    <t>4. Πίνακες &amp; δυναμικά φίλτρα</t>
  </si>
  <si>
    <t>products+categories</t>
  </si>
  <si>
    <t>5. VLOOKUP/XLOOKUP/HLOOKUP</t>
  </si>
  <si>
    <t>01_ΕΡΓΑΣΤΗΡΙΟ!B27</t>
  </si>
  <si>
    <t>01_ΕΡΓΑΣΤΗΡΙΟ!B28</t>
  </si>
  <si>
    <t>6. IF (βασικά)</t>
  </si>
  <si>
    <t>6. IF (Nested)</t>
  </si>
  <si>
    <t>01_ΕΡΓΑΣΤΗΡΙΟ!B33</t>
  </si>
  <si>
    <t>6. IF με AND</t>
  </si>
  <si>
    <t>01_ΕΡΓΑΣΤΗΡΙΟ!B34</t>
  </si>
  <si>
    <t>6. IF με OR</t>
  </si>
  <si>
    <t>01_ΕΡΓΑΣΤΗΡΙΟ!B35</t>
  </si>
  <si>
    <t>6. IF με NOT</t>
  </si>
  <si>
    <t>01_ΕΡΓΑΣΤΗΡΙΟ!B36</t>
  </si>
  <si>
    <t>7. SUMIF/SUMIFS/COUNTIF</t>
  </si>
  <si>
    <t>Υπολόγισε συνολική ποσότητα (Quantity) για ProductID=11.</t>
  </si>
  <si>
    <t>Με COUNTIF: πόσοι πελάτες είναι από UK;</t>
  </si>
  <si>
    <t>01_ΕΡΓΑΣΤΗΡΙΟ!B41</t>
  </si>
  <si>
    <t>Με AVERAGEIF: μέση τιμή προϊόντων για CategoryID=1.</t>
  </si>
  <si>
    <t>01_ΕΡΓΑΣΤΗΡΙΟ!B42</t>
  </si>
  <si>
    <t>Με SUMIFS: συνολική αξία πωλήσεων (Quantity*Price) για Country='USA'.</t>
  </si>
  <si>
    <t>02_FACTS</t>
  </si>
  <si>
    <t>01_ΕΡΓΑΣΤΗΡΙΟ!B43</t>
  </si>
  <si>
    <t>7. MAXIFS/MINIFS</t>
  </si>
  <si>
    <t>Με MAXIFS: μέγιστη τιμή προϊόντος ανά SupplierID=12.</t>
  </si>
  <si>
    <t>01_ΕΡΓΑΣΤΗΡΙΟ!B44</t>
  </si>
  <si>
    <t>Με MINIFS: ελάχιστη τιμή προϊόντος ανά SupplierID=12.</t>
  </si>
  <si>
    <t>01_ΕΡΓΑΣΤΗΡΙΟ!B45</t>
  </si>
  <si>
    <t>8. PivotTables</t>
  </si>
  <si>
    <t>Pivot 1: Σύνολο Πωλήσεων ανά Category (SalesValue).</t>
  </si>
  <si>
    <t>03_PIVOT</t>
  </si>
  <si>
    <t>03_PIVOT!A5</t>
  </si>
  <si>
    <t>Pivot 2: Ανάλυση συχνότητας — Πλήθος Orders ανά Country.</t>
  </si>
  <si>
    <t>Εφάρμοσε Slicer για CategoryName και φίλτρο ημερομηνίας (με PivotDateFilter).</t>
  </si>
  <si>
    <t>1) 📊 Μέτρα θέσης &amp; διασποράς (Price από Πίνακας7)</t>
  </si>
  <si>
    <t>Μέσος όρος (AVERAGE)</t>
  </si>
  <si>
    <t>Διάμεσος (MEDIAN)</t>
  </si>
  <si>
    <t>Επικρατούσα τιμή (MODE.SNGL)</t>
  </si>
  <si>
    <t>Τυπική απόκλιση (STDEV.S)</t>
  </si>
  <si>
    <t>Q1 (QUARTILE.INC,1)</t>
  </si>
  <si>
    <t>Q3 (QUARTILE.INC,3)</t>
  </si>
  <si>
    <t>IQR (Q3-Q1)</t>
  </si>
  <si>
    <t>2) 🧽 Καθαρισμός δεδομένων (Text functions)</t>
  </si>
  <si>
    <t>4) 🧮 Πίνακες &amp; Δυναμικά φίλτρα</t>
  </si>
  <si>
    <t>5) 🔎 VLOOKUP / XLOOKUP / HLOOKUP</t>
  </si>
  <si>
    <t>Βοηθητικός πίνακας (TRANSPOSE) για HLOOKUP:</t>
  </si>
  <si>
    <t>6) ✅ IF / Nested IF / AND / OR / NOT</t>
  </si>
  <si>
    <t>ProductID:</t>
  </si>
  <si>
    <t>7) ➕ SUMIF / SUMIFS / COUNTIF / AVERAGEIF / MAXIFS / MINIFS</t>
  </si>
  <si>
    <t>Μαθητής</t>
  </si>
  <si>
    <t>Σχόλιο</t>
  </si>
  <si>
    <t>Πεδίο (raw)</t>
  </si>
  <si>
    <t>Raw τιμή</t>
  </si>
  <si>
    <t>City (από suppliers)</t>
  </si>
  <si>
    <t>Phone (από suppliers)</t>
  </si>
  <si>
    <t>Contact (Supplier)</t>
  </si>
  <si>
    <t>Address (από customers!D8)</t>
  </si>
  <si>
    <t>← λύση</t>
  </si>
  <si>
    <t>Επιλογή CategoryName</t>
  </si>
  <si>
    <t>CategoryName (drop-down):</t>
  </si>
  <si>
    <t>Παράμετρος</t>
  </si>
  <si>
    <t>Ζητούμενο</t>
  </si>
  <si>
    <t>Input</t>
  </si>
  <si>
    <t>SUMIF Quantity για ProductID</t>
  </si>
  <si>
    <t>COUNTIF customers από UK</t>
  </si>
  <si>
    <t>AVERAGEIF Price για CategoryID</t>
  </si>
  <si>
    <t>SUMIFS SalesValue για Country</t>
  </si>
  <si>
    <t>MAXIFS Price για SupplierID</t>
  </si>
  <si>
    <t>MINIFS Price για SupplierID</t>
  </si>
  <si>
    <t>SalesValue</t>
  </si>
  <si>
    <t>IsFirstLine</t>
  </si>
  <si>
    <t>Year</t>
  </si>
  <si>
    <t>Month</t>
  </si>
  <si>
    <t>QtyBand</t>
  </si>
  <si>
    <t>03_PIVOT!A18</t>
  </si>
  <si>
    <t>03_PIVOT (slicers δεξιά)</t>
  </si>
  <si>
    <t>Pivot 1b: Εμφάνιση τιμών ως % Column Total (Show Values As).</t>
  </si>
  <si>
    <t>03_PIVOT!D18</t>
  </si>
  <si>
    <t>Pivot 3: Ανάλυση συχνότητας ανά κλάση ποσότητας (QtyBand).</t>
  </si>
  <si>
    <t>03_PIVOT!A43</t>
  </si>
  <si>
    <t>4β) 🌍 COUNTIF — Πλήθος πελατών ανά χώρα (χωρίς UNIQUE/SORT)</t>
  </si>
  <si>
    <t>Χώρα</t>
  </si>
  <si>
    <t>Φίλτρο πίνακα: Εμφάνισε προϊόντα του CategoryName που διάλεξες (B20)</t>
  </si>
  <si>
    <t>📋 tbl_ProductsView — Πίνακας προϊόντων για φίλτρα (από φύλλο products)</t>
  </si>
  <si>
    <t>Εξήγαγε το πρώτο μέρος της διεύθυνσης (μέχρι το πρώτο κόμμα) με LEFT + FIND.</t>
  </si>
  <si>
    <t>Υπολόγισε με COUNTIF πόσοι πελάτες υπάρχουν σε 5 χώρες (UK, USA, Germany, France, Brazil).</t>
  </si>
  <si>
    <t>VLOOKUP → ProductName</t>
  </si>
  <si>
    <t>XLOOKUP → Price</t>
  </si>
  <si>
    <t>HLOOKUP → Price (οριζόντιος πίνακας)</t>
  </si>
  <si>
    <t>Μικρός οριζόντιος πίνακας (για HLOOKUP)</t>
  </si>
  <si>
    <t>IF (Αν τιμή &lt;20 → "Low" αλλιώς "OK")</t>
  </si>
  <si>
    <t>Nested IF (Low/Medium/High με βάση τιμή)</t>
  </si>
  <si>
    <t>Yes</t>
  </si>
  <si>
    <t>IF + AND (αν D35="Yes" ΚΑΙ E35="Yes")</t>
  </si>
  <si>
    <t>IF + OR (αν χώρα USA ή UK)</t>
  </si>
  <si>
    <t>IF + NOT (αν ΔΕΝ είναι Germany)</t>
  </si>
  <si>
    <t>01_ΕΡΓΑΣΤΗΡΙΟ!A52:G77</t>
  </si>
  <si>
    <t>Με HLOOKUP βρες Price από μικρό οριζόντιο πίνακα (ProductID 1–5).</t>
  </si>
  <si>
    <t>01_ΕΡΓΑΣΤΗΡΙΟ</t>
  </si>
  <si>
    <t>Με IF: αν D33&lt;20 γράψε "Low" αλλιώς "OK".</t>
  </si>
  <si>
    <t>Με Nested IF: Low (&lt;20), Medium (20–50), High (&gt;50) από D33.</t>
  </si>
  <si>
    <t>Με IF+AND: αν D35="Yes" και E35="Yes" → "OK" αλλιώς "Check".</t>
  </si>
  <si>
    <t>Με IF+OR: αν D36 είναι USA ή UK → "YES" αλλιώς "NO".</t>
  </si>
  <si>
    <t>Με IF+NOT: αν D37 ΔΕΝ είναι Germany → "OK" αλλιώς "Germany".</t>
  </si>
  <si>
    <t>Υπολόγισε ΜΕΣΟ ΟΡΟ τιμής (Price) για το δείγμα 25 προϊόντων (tbl_ProductsView).</t>
  </si>
  <si>
    <t>Υπολόγισε ΔΙΑΜΕΣΟ (Median) τιμής (Price) για το δείγμα 25 προϊόντων (tbl_ProductsView).</t>
  </si>
  <si>
    <t>Υπολόγισε ΕΠΙΚΡΑΤΟΥΣΑ ΤΙΜΗ (Mode) τιμής (Price) για το δείγμα 25 προϊόντων (tbl_ProductsView).</t>
  </si>
  <si>
    <t>Υπολόγισε ΤΥΠΙΚΗ ΑΠΟΚΛΙΣΗ (STDEV.S) τιμής (Price) για το δείγμα 25 προϊόντων (tbl_ProductsView).</t>
  </si>
  <si>
    <t>Υπολόγισε 1ο &amp; 3ο τεταρτημόριο (QUARTILE.INC) και IQR για το δείγμα 25 προϊόντων (tbl_ProductsView).</t>
  </si>
  <si>
    <t>Northwind</t>
  </si>
  <si>
    <t>City: Londona</t>
  </si>
  <si>
    <t>2.1 Με MID+FIND+LEN εξήγαγε την πόλη από κείμενο τύπου "City: Londona" (πάρε ό,τι είναι μετά το ": ").</t>
  </si>
  <si>
    <t>2.2 Με FIND+MID+LEN+CONCAT αφαίρεσε παρενθέσεις/παύλα από το Phone και εμφάνισε το ως "171 5552222".</t>
  </si>
  <si>
    <t>2.3 Με LEFT/RIGHT/FIND/LEN/CONCAT χώρισε το "Contact|Supplier" και σύνθεσε το ως "Contact (Supplier)".</t>
  </si>
  <si>
    <t>01_ΕΡΓΑΣΤΗΡΙΟ!B10</t>
  </si>
  <si>
    <t>01_ΕΡΓΑΣΤΗΡΙΟ!B11:B13</t>
  </si>
  <si>
    <t>01_ΕΡΓΑΣΤΗΡΙΟ!B22</t>
  </si>
  <si>
    <t>01_ΕΡΓΑΣΤΗΡΙΟ!B29</t>
  </si>
  <si>
    <t>01_ΕΡΓΑΣΤΗΡΙΟ!B37</t>
  </si>
  <si>
    <t>01_ΕΡΓΑΣΤΗΡΙΟ!B46</t>
  </si>
  <si>
    <t>Πλήθος προϊόντων στο δείγμα (COUNTIF) →</t>
  </si>
  <si>
    <t>Χρησιμοποιήστε το B26 ως ProductID(τιμή αναζήτησης)</t>
  </si>
  <si>
    <t>Με VLOOKUP βρες ProductName από ProductID(κελί αναζήτησης το B26)</t>
  </si>
  <si>
    <t>Με XLOOKUP βρες Price από ProductID(κελί αναζήτησης το B26)</t>
  </si>
  <si>
    <t>Τόνισε προϊόντα με Price&gt;50 με κόκκινο γέμισμα</t>
  </si>
  <si>
    <t>01_ΕΡΓΑΣΤΗΡΙΟ!G7</t>
  </si>
  <si>
    <t>01_ΕΡΓΑΣΤΗΡΙΟ!G8</t>
  </si>
  <si>
    <t>01_ΕΡΓΑΣΤΗΡΙΟ!G9</t>
  </si>
  <si>
    <t>01_ΕΡΓΑΣΤΗΡΙΟ!G10</t>
  </si>
  <si>
    <t>01_ΕΡΓΑΣΤΗΡΙΟ!L52:L77</t>
  </si>
  <si>
    <t>01_ΕΡΓΑΣΤΗΡΙΟ!F19:F22</t>
  </si>
  <si>
    <t>📘 Μεγάλη Άσκηση Data Analysis Excel (Northwind) — Διάρκεια ~60–90 λεπτά</t>
  </si>
  <si>
    <t>Χρησιμοποίησε COUNTIF για να βρεις πόσα προϊόντα του δείγματος (tbl_ProductsView,  σας έχω βάλει στο κάτω μέρος του φύλλου 01_ΕΡΓΑΣΤΗΡΙΟ τον πίνακα που θα χρησιμοποιήσετε) ανήκουν στο CategoryName που επιλέγεις (B20). (Προαιρετικά: φιλτράρισε τον πίνακα για οπτικό έλεγχο)</t>
  </si>
  <si>
    <t>.</t>
  </si>
  <si>
    <t>Charlotte Cooper|Exotic Liquid</t>
  </si>
  <si>
    <t>,</t>
  </si>
  <si>
    <t>Ετικέτες γραμμής</t>
  </si>
  <si>
    <t>Γενικό Άθροισμα</t>
  </si>
  <si>
    <t>Total</t>
  </si>
  <si>
    <t>Sum of SalesValue</t>
  </si>
  <si>
    <t>Άθροισμα από OrderID</t>
  </si>
  <si>
    <t>Καταμέτρηση από OrderID</t>
  </si>
  <si>
    <t>(Όλα)</t>
  </si>
  <si>
    <t>Columns Total (%)</t>
  </si>
  <si>
    <t>0–10</t>
  </si>
  <si>
    <t>11–20</t>
  </si>
  <si>
    <t>21–30</t>
  </si>
  <si>
    <t>31–40</t>
  </si>
  <si>
    <t>41–50</t>
  </si>
  <si>
    <t>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</si>
</sst>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yyyy\-mm\-dd"/>
    <numFmt numFmtId="166" formatCode="mmm\ yyyy"/>
  </numFmts>
  <fonts count="19">
    <font>
      <sz val="11"/>
      <color theme="1"/>
      <name val="Calibri"/>
      <family val="2"/>
      <scheme val="minor"/>
    </font>
    <font>
      <b/>
      <sz val="11"/>
      <name val="Calibri"/>
      <family val="2"/>
      <charset val="161"/>
    </font>
    <font>
      <sz val="11"/>
      <color rgb="FF1F1F1F"/>
      <name val="Inherit"/>
    </font>
    <font>
      <b/>
      <sz val="12"/>
      <color theme="1"/>
      <name val="Calibri"/>
      <family val="2"/>
      <charset val="161"/>
      <scheme val="minor"/>
    </font>
    <font>
      <b/>
      <sz val="12"/>
      <color rgb="FF000000"/>
      <name val="Calibri"/>
      <family val="2"/>
      <charset val="161"/>
      <scheme val="minor"/>
    </font>
    <font>
      <b/>
      <sz val="11"/>
      <color theme="0"/>
      <name val="Calibri"/>
      <family val="2"/>
    </font>
    <font>
      <sz val="11"/>
      <color theme="0"/>
      <name val="Calibri"/>
      <family val="2"/>
      <scheme val="minor"/>
    </font>
    <font>
      <b/>
      <sz val="11"/>
      <name val="Calibri"/>
      <family val="2"/>
      <charset val="161"/>
    </font>
    <font>
      <sz val="8"/>
      <name val="Calibri"/>
      <family val="2"/>
      <scheme val="minor"/>
    </font>
    <font>
      <sz val="12"/>
      <color theme="1"/>
      <name val="Times New Roman"/>
      <family val="1"/>
      <charset val="161"/>
    </font>
    <font>
      <b/>
      <sz val="11"/>
      <color theme="1"/>
      <name val="Calibri"/>
      <family val="2"/>
      <charset val="161"/>
      <scheme val="minor"/>
    </font>
    <font>
      <b/>
      <sz val="11"/>
      <color theme="1"/>
      <name val="Calibri"/>
      <family val="2"/>
      <scheme val="minor"/>
    </font>
    <font>
      <b/>
      <sz val="16"/>
      <color rgb="FFFFFFFF"/>
      <name val="Calibri"/>
      <family val="2"/>
      <scheme val="minor"/>
    </font>
    <font>
      <b/>
      <sz val="15"/>
      <color rgb="FFFFFFFF"/>
      <name val="Calibri"/>
      <family val="2"/>
      <scheme val="minor"/>
    </font>
    <font>
      <i/>
      <sz val="11"/>
      <color theme="1"/>
      <name val="Calibri"/>
      <family val="2"/>
      <scheme val="minor"/>
    </font>
    <font>
      <b/>
      <sz val="11"/>
      <color rgb="FF1F4E79"/>
      <name val="Calibri"/>
      <family val="2"/>
      <scheme val="minor"/>
    </font>
    <font>
      <b/>
      <sz val="11"/>
      <color rgb="FF7F6000"/>
      <name val="Calibri"/>
      <family val="2"/>
      <scheme val="minor"/>
    </font>
    <font>
      <b/>
      <sz val="11"/>
      <color rgb="FF1F1F1F"/>
      <name val="Calibri"/>
      <family val="2"/>
      <scheme val="minor"/>
    </font>
    <font>
      <sz val="12"/>
      <color theme="1"/>
      <name val="Calibri"/>
      <family val="2"/>
      <scheme val="minor"/>
    </font>
  </fonts>
  <fills count="20">
    <fill>
      <patternFill patternType="none"/>
    </fill>
    <fill>
      <patternFill patternType="gray125"/>
    </fill>
    <fill>
      <patternFill patternType="solid">
        <fgColor rgb="FF1F4E79"/>
        <bgColor indexed="64"/>
      </patternFill>
    </fill>
    <fill>
      <patternFill patternType="solid">
        <fgColor rgb="FF2F5597"/>
        <bgColor indexed="64"/>
      </patternFill>
    </fill>
    <fill>
      <patternFill patternType="solid">
        <fgColor rgb="FFD9E1F2"/>
        <bgColor indexed="64"/>
      </patternFill>
    </fill>
    <fill>
      <patternFill patternType="solid">
        <fgColor rgb="FFFCE4D6"/>
        <bgColor indexed="64"/>
      </patternFill>
    </fill>
    <fill>
      <patternFill patternType="solid">
        <fgColor rgb="FFFFF2CC"/>
        <bgColor indexed="64"/>
      </patternFill>
    </fill>
    <fill>
      <patternFill patternType="solid">
        <fgColor rgb="FFDDEBF7"/>
        <bgColor indexed="64"/>
      </patternFill>
    </fill>
    <fill>
      <patternFill patternType="solid">
        <fgColor rgb="FFE7E6E6"/>
        <bgColor indexed="64"/>
      </patternFill>
    </fill>
    <fill>
      <patternFill patternType="solid">
        <fgColor rgb="FFC6E0B4"/>
        <bgColor indexed="64"/>
      </patternFill>
    </fill>
    <fill>
      <patternFill patternType="solid">
        <fgColor rgb="FFF8CBAD"/>
        <bgColor indexed="64"/>
      </patternFill>
    </fill>
    <fill>
      <patternFill patternType="solid">
        <fgColor rgb="FFEDF2FB"/>
        <bgColor indexed="64"/>
      </patternFill>
    </fill>
    <fill>
      <patternFill patternType="solid">
        <fgColor rgb="FFFDE9D9"/>
        <bgColor indexed="64"/>
      </patternFill>
    </fill>
    <fill>
      <patternFill patternType="solid">
        <fgColor rgb="FFEAF3FC"/>
        <bgColor indexed="64"/>
      </patternFill>
    </fill>
    <fill>
      <patternFill patternType="solid">
        <fgColor rgb="FFF2F2F2"/>
        <bgColor indexed="64"/>
      </patternFill>
    </fill>
    <fill>
      <patternFill patternType="solid">
        <fgColor rgb="FFE2F0D9"/>
        <bgColor indexed="64"/>
      </patternFill>
    </fill>
    <fill>
      <patternFill patternType="solid">
        <fgColor rgb="FFE7F3FF"/>
        <bgColor indexed="64"/>
      </patternFill>
    </fill>
    <fill>
      <patternFill patternType="solid">
        <fgColor rgb="FFE8F0FE"/>
        <bgColor indexed="64"/>
      </patternFill>
    </fill>
    <fill>
      <patternFill patternType="solid">
        <fgColor theme="5" tint="0.79998168889431442"/>
        <bgColor indexed="64"/>
      </patternFill>
    </fill>
    <fill>
      <patternFill patternType="solid">
        <fgColor rgb="FF92D050"/>
        <bgColor indexed="64"/>
      </patternFill>
    </fill>
  </fills>
  <borders count="12">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top/>
      <bottom style="thin">
        <color auto="1"/>
      </bottom>
      <diagonal/>
    </border>
  </borders>
  <cellStyleXfs count="1">
    <xf numFmtId="0" fontId="0" fillId="0" borderId="0"/>
  </cellStyleXfs>
  <cellXfs count="79">
    <xf numFmtId="0" fontId="0" fillId="0" borderId="0" xfId="0"/>
    <xf numFmtId="164" fontId="0" fillId="0" borderId="0" xfId="0" applyNumberFormat="1"/>
    <xf numFmtId="0" fontId="1" fillId="0" borderId="1" xfId="0" applyFont="1" applyBorder="1" applyAlignment="1">
      <alignment horizontal="center" vertical="top"/>
    </xf>
    <xf numFmtId="0" fontId="3" fillId="0" borderId="2" xfId="0" applyFont="1" applyBorder="1"/>
    <xf numFmtId="0" fontId="4" fillId="0" borderId="2" xfId="0" applyFont="1" applyBorder="1"/>
    <xf numFmtId="0" fontId="0" fillId="0" borderId="0" xfId="0" applyAlignment="1">
      <alignment horizontal="center" vertical="center"/>
    </xf>
    <xf numFmtId="0" fontId="5" fillId="0" borderId="1" xfId="0" applyFont="1" applyBorder="1" applyAlignment="1">
      <alignment horizontal="center" vertical="top"/>
    </xf>
    <xf numFmtId="0" fontId="6" fillId="0" borderId="0" xfId="0" applyFont="1"/>
    <xf numFmtId="0" fontId="7" fillId="0" borderId="1" xfId="0" applyFont="1" applyBorder="1" applyAlignment="1">
      <alignment horizontal="center" vertical="top"/>
    </xf>
    <xf numFmtId="0" fontId="1" fillId="0" borderId="3" xfId="0" applyFont="1" applyBorder="1" applyAlignment="1">
      <alignment horizontal="center" vertical="top"/>
    </xf>
    <xf numFmtId="0" fontId="0" fillId="0" borderId="4" xfId="0" applyBorder="1"/>
    <xf numFmtId="0" fontId="0" fillId="0" borderId="2" xfId="0" applyBorder="1"/>
    <xf numFmtId="164" fontId="0" fillId="0" borderId="2" xfId="0" applyNumberFormat="1" applyBorder="1"/>
    <xf numFmtId="0" fontId="0" fillId="0" borderId="5" xfId="0" applyBorder="1"/>
    <xf numFmtId="0" fontId="0" fillId="0" borderId="6" xfId="0" applyBorder="1"/>
    <xf numFmtId="164" fontId="0" fillId="0" borderId="6" xfId="0" applyNumberFormat="1" applyBorder="1"/>
    <xf numFmtId="0" fontId="9" fillId="0" borderId="0" xfId="0" applyFont="1" applyAlignment="1">
      <alignment horizontal="left" vertical="center" indent="5"/>
    </xf>
    <xf numFmtId="0" fontId="11" fillId="0" borderId="0" xfId="0" applyFont="1" applyAlignment="1">
      <alignment wrapText="1"/>
    </xf>
    <xf numFmtId="0" fontId="0" fillId="0" borderId="0" xfId="0" applyAlignment="1">
      <alignment wrapText="1"/>
    </xf>
    <xf numFmtId="1" fontId="0" fillId="0" borderId="0" xfId="0" applyNumberFormat="1"/>
    <xf numFmtId="165" fontId="0" fillId="0" borderId="0" xfId="0" applyNumberFormat="1"/>
    <xf numFmtId="4" fontId="0" fillId="0" borderId="0" xfId="0" applyNumberFormat="1"/>
    <xf numFmtId="166" fontId="0" fillId="0" borderId="0" xfId="0" applyNumberFormat="1"/>
    <xf numFmtId="0" fontId="0" fillId="0" borderId="7" xfId="0" applyBorder="1"/>
    <xf numFmtId="0" fontId="0" fillId="0" borderId="10" xfId="0" applyBorder="1"/>
    <xf numFmtId="0" fontId="11" fillId="0" borderId="2" xfId="0" applyFont="1" applyBorder="1"/>
    <xf numFmtId="0" fontId="11" fillId="11" borderId="2" xfId="0" applyFont="1" applyFill="1" applyBorder="1"/>
    <xf numFmtId="0" fontId="11" fillId="13" borderId="2" xfId="0" applyFont="1" applyFill="1" applyBorder="1"/>
    <xf numFmtId="0" fontId="11" fillId="5" borderId="2" xfId="0" applyFont="1" applyFill="1" applyBorder="1"/>
    <xf numFmtId="0" fontId="11" fillId="12" borderId="2" xfId="0" applyFont="1" applyFill="1" applyBorder="1"/>
    <xf numFmtId="0" fontId="14" fillId="0" borderId="2" xfId="0" applyFont="1" applyBorder="1"/>
    <xf numFmtId="0" fontId="11" fillId="14" borderId="2" xfId="0" applyFont="1" applyFill="1" applyBorder="1"/>
    <xf numFmtId="0" fontId="11" fillId="15" borderId="2" xfId="0" applyFont="1" applyFill="1" applyBorder="1"/>
    <xf numFmtId="0" fontId="0" fillId="6" borderId="2" xfId="0" applyFill="1" applyBorder="1"/>
    <xf numFmtId="4" fontId="0" fillId="0" borderId="2" xfId="0" applyNumberFormat="1" applyBorder="1"/>
    <xf numFmtId="0" fontId="17" fillId="17" borderId="3" xfId="0" applyFont="1" applyFill="1" applyBorder="1"/>
    <xf numFmtId="0" fontId="17" fillId="17" borderId="1" xfId="0" applyFont="1" applyFill="1" applyBorder="1"/>
    <xf numFmtId="0" fontId="17" fillId="17" borderId="11" xfId="0" applyFont="1" applyFill="1" applyBorder="1"/>
    <xf numFmtId="4" fontId="0" fillId="0" borderId="6" xfId="0" applyNumberFormat="1" applyBorder="1"/>
    <xf numFmtId="0" fontId="15" fillId="16" borderId="0" xfId="0" applyFont="1" applyFill="1"/>
    <xf numFmtId="0" fontId="15" fillId="4" borderId="1" xfId="0" applyFont="1" applyFill="1" applyBorder="1"/>
    <xf numFmtId="0" fontId="11" fillId="19" borderId="2" xfId="0" applyFont="1" applyFill="1" applyBorder="1" applyAlignment="1">
      <alignment horizontal="center" vertical="center"/>
    </xf>
    <xf numFmtId="2" fontId="0" fillId="19" borderId="2" xfId="0" applyNumberFormat="1" applyFill="1" applyBorder="1" applyAlignment="1">
      <alignment horizontal="center" vertical="center"/>
    </xf>
    <xf numFmtId="0" fontId="0" fillId="19" borderId="2" xfId="0" applyFill="1" applyBorder="1" applyAlignment="1">
      <alignment horizontal="center" vertical="center"/>
    </xf>
    <xf numFmtId="0" fontId="15" fillId="19" borderId="2" xfId="0" applyFont="1" applyFill="1" applyBorder="1" applyAlignment="1">
      <alignment horizontal="center" vertical="center"/>
    </xf>
    <xf numFmtId="0" fontId="10" fillId="19" borderId="2" xfId="0" applyFont="1" applyFill="1" applyBorder="1" applyAlignment="1">
      <alignment horizontal="center" vertical="center"/>
    </xf>
    <xf numFmtId="0" fontId="3" fillId="0" borderId="2" xfId="0" applyFont="1" applyBorder="1" applyAlignment="1">
      <alignment horizontal="center" vertical="center" wrapText="1"/>
    </xf>
    <xf numFmtId="0" fontId="18" fillId="0" borderId="0" xfId="0" applyFont="1"/>
    <xf numFmtId="0" fontId="17" fillId="17" borderId="2" xfId="0" applyFont="1" applyFill="1" applyBorder="1"/>
    <xf numFmtId="0" fontId="0" fillId="0" borderId="0" xfId="0" applyAlignment="1">
      <alignment vertical="center"/>
    </xf>
    <xf numFmtId="0" fontId="0" fillId="0" borderId="0" xfId="0" applyAlignment="1">
      <alignment vertical="center" wrapText="1"/>
    </xf>
    <xf numFmtId="0" fontId="16" fillId="6" borderId="2" xfId="0" applyFont="1" applyFill="1" applyBorder="1"/>
    <xf numFmtId="0" fontId="15" fillId="16" borderId="2" xfId="0" applyFont="1" applyFill="1" applyBorder="1" applyAlignment="1">
      <alignment horizontal="center"/>
    </xf>
    <xf numFmtId="0" fontId="11" fillId="7" borderId="10" xfId="0" applyFont="1" applyFill="1" applyBorder="1" applyAlignment="1">
      <alignment horizontal="left"/>
    </xf>
    <xf numFmtId="0" fontId="11" fillId="7" borderId="4" xfId="0" applyFont="1" applyFill="1" applyBorder="1" applyAlignment="1">
      <alignment horizontal="left"/>
    </xf>
    <xf numFmtId="0" fontId="11" fillId="8" borderId="10" xfId="0" applyFont="1" applyFill="1" applyBorder="1" applyAlignment="1">
      <alignment horizontal="left"/>
    </xf>
    <xf numFmtId="0" fontId="11" fillId="8" borderId="9" xfId="0" applyFont="1" applyFill="1" applyBorder="1" applyAlignment="1">
      <alignment horizontal="left"/>
    </xf>
    <xf numFmtId="0" fontId="11" fillId="8" borderId="4" xfId="0" applyFont="1" applyFill="1" applyBorder="1" applyAlignment="1">
      <alignment horizontal="left"/>
    </xf>
    <xf numFmtId="0" fontId="11" fillId="18" borderId="10" xfId="0" applyFont="1" applyFill="1" applyBorder="1" applyAlignment="1">
      <alignment horizontal="center"/>
    </xf>
    <xf numFmtId="0" fontId="11" fillId="18" borderId="9" xfId="0" applyFont="1" applyFill="1" applyBorder="1" applyAlignment="1">
      <alignment horizontal="center"/>
    </xf>
    <xf numFmtId="0" fontId="11" fillId="18" borderId="4" xfId="0" applyFont="1" applyFill="1" applyBorder="1" applyAlignment="1">
      <alignment horizontal="center"/>
    </xf>
    <xf numFmtId="0" fontId="13" fillId="3" borderId="0" xfId="0" applyFont="1" applyFill="1" applyAlignment="1">
      <alignment horizontal="center"/>
    </xf>
    <xf numFmtId="0" fontId="11" fillId="5" borderId="2" xfId="0" applyFont="1" applyFill="1" applyBorder="1"/>
    <xf numFmtId="0" fontId="11" fillId="4" borderId="2" xfId="0" applyFont="1" applyFill="1" applyBorder="1" applyAlignment="1">
      <alignment horizontal="left"/>
    </xf>
    <xf numFmtId="0" fontId="11" fillId="9" borderId="10" xfId="0" applyFont="1" applyFill="1" applyBorder="1" applyAlignment="1">
      <alignment horizontal="left"/>
    </xf>
    <xf numFmtId="0" fontId="11" fillId="9" borderId="9" xfId="0" applyFont="1" applyFill="1" applyBorder="1" applyAlignment="1">
      <alignment horizontal="left"/>
    </xf>
    <xf numFmtId="0" fontId="11" fillId="9" borderId="4" xfId="0" applyFont="1" applyFill="1" applyBorder="1" applyAlignment="1">
      <alignment horizontal="left"/>
    </xf>
    <xf numFmtId="0" fontId="11" fillId="10" borderId="10" xfId="0" applyFont="1" applyFill="1" applyBorder="1" applyAlignment="1">
      <alignment horizontal="left"/>
    </xf>
    <xf numFmtId="0" fontId="11" fillId="10" borderId="9" xfId="0" applyFont="1" applyFill="1" applyBorder="1" applyAlignment="1">
      <alignment horizontal="left"/>
    </xf>
    <xf numFmtId="0" fontId="11" fillId="10" borderId="4" xfId="0" applyFont="1" applyFill="1" applyBorder="1" applyAlignment="1">
      <alignment horizontal="left"/>
    </xf>
    <xf numFmtId="0" fontId="2" fillId="0" borderId="2" xfId="0" applyFont="1" applyBorder="1" applyAlignment="1">
      <alignment horizontal="left" vertical="center"/>
    </xf>
    <xf numFmtId="0" fontId="3" fillId="0" borderId="2" xfId="0" applyFont="1" applyBorder="1" applyAlignment="1">
      <alignment horizontal="center"/>
    </xf>
    <xf numFmtId="0" fontId="12" fillId="2" borderId="8" xfId="0" applyFont="1" applyFill="1" applyBorder="1" applyAlignment="1">
      <alignment horizontal="center" vertical="center"/>
    </xf>
    <xf numFmtId="0" fontId="3" fillId="0" borderId="10" xfId="0" applyFont="1" applyBorder="1" applyAlignment="1">
      <alignment horizontal="center" vertical="center" wrapText="1"/>
    </xf>
    <xf numFmtId="0" fontId="3" fillId="0" borderId="9" xfId="0" applyFont="1" applyBorder="1" applyAlignment="1">
      <alignment horizontal="center" vertical="center" wrapText="1"/>
    </xf>
    <xf numFmtId="0" fontId="0" fillId="0" borderId="0" xfId="0" applyNumberFormat="1"/>
    <xf numFmtId="0" fontId="0" fillId="0" borderId="0" xfId="0" pivotButton="1"/>
    <xf numFmtId="0" fontId="0" fillId="0" borderId="0" xfId="0" applyAlignment="1">
      <alignment horizontal="left"/>
    </xf>
    <xf numFmtId="10" fontId="0" fillId="0" borderId="0" xfId="0" applyNumberFormat="1"/>
  </cellXfs>
  <cellStyles count="1">
    <cellStyle name="Κανονικό" xfId="0" builtinId="0"/>
  </cellStyles>
  <dxfs count="62">
    <dxf>
      <fill>
        <patternFill>
          <bgColor rgb="FFC00000"/>
        </patternFill>
      </fill>
    </dxf>
    <dxf>
      <numFmt numFmtId="166" formatCode="mmm\ yyyy"/>
    </dxf>
    <dxf>
      <numFmt numFmtId="166" formatCode="mmm\ yyyy"/>
    </dxf>
    <dxf>
      <numFmt numFmtId="1" formatCode="0"/>
    </dxf>
    <dxf>
      <numFmt numFmtId="1" formatCode="0"/>
    </dxf>
    <dxf>
      <numFmt numFmtId="4" formatCode="#,##0.00"/>
    </dxf>
    <dxf>
      <numFmt numFmtId="4" formatCode="#,##0.00"/>
    </dxf>
    <dxf>
      <numFmt numFmtId="165" formatCode="yyyy\-mm\-dd"/>
    </dxf>
    <dxf>
      <numFmt numFmtId="1" formatCode="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0"/>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yyyy\-mm\-dd\ hh:mm:ss"/>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0" formatCode="General"/>
    </dxf>
    <dxf>
      <numFmt numFmtId="0" formatCode="General"/>
    </dxf>
    <dxf>
      <numFmt numFmtId="0" formatCode="General"/>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diagonalUp="0" diagonalDown="0">
        <left style="thin">
          <color indexed="64"/>
        </left>
        <right/>
        <top style="thin">
          <color indexed="64"/>
        </top>
        <bottom style="thin">
          <color indexed="64"/>
        </bottom>
        <vertical style="thin">
          <color indexed="64"/>
        </vertical>
        <horizontal style="thin">
          <color indexed="64"/>
        </horizontal>
      </border>
    </dxf>
    <dxf>
      <numFmt numFmtId="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color rgb="FF1F1F1F"/>
      </font>
      <fill>
        <patternFill patternType="solid">
          <fgColor indexed="64"/>
          <bgColor rgb="FFE8F0FE"/>
        </patternFill>
      </fill>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connections" Target="connections.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eetMetadata" Target="metadata.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50" Type="http://schemas.openxmlformats.org/officeDocument/2006/relationships/customXml" Target="../customXml/item27.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6.xml"/><Relationship Id="rId11" Type="http://schemas.openxmlformats.org/officeDocument/2006/relationships/worksheet" Target="worksheets/sheet11.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 Id="rId10" Type="http://schemas.openxmlformats.org/officeDocument/2006/relationships/worksheet" Target="worksheets/sheet10.xml"/><Relationship Id="rId19" Type="http://schemas.openxmlformats.org/officeDocument/2006/relationships/styles" Target="styles.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0" Type="http://schemas.openxmlformats.org/officeDocument/2006/relationships/sharedStrings" Target="sharedStrings.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dr:twoCellAnchor>
    <xdr:from>
      <xdr:col>11</xdr:col>
      <xdr:colOff>85725</xdr:colOff>
      <xdr:row>0</xdr:row>
      <xdr:rowOff>171450</xdr:rowOff>
    </xdr:from>
    <xdr:to>
      <xdr:col>17</xdr:col>
      <xdr:colOff>566737</xdr:colOff>
      <xdr:row>8</xdr:row>
      <xdr:rowOff>71438</xdr:rowOff>
    </xdr:to>
    <xdr:sp macro="" textlink="">
      <xdr:nvSpPr>
        <xdr:cNvPr id="2" name="TextBox 1">
          <a:extLst>
            <a:ext uri="{FF2B5EF4-FFF2-40B4-BE49-F238E27FC236}">
              <a16:creationId xmlns:a16="http://schemas.microsoft.com/office/drawing/2014/main" id="{840764AC-346A-5BBF-0594-5AEF01CBBDD6}"/>
            </a:ext>
          </a:extLst>
        </xdr:cNvPr>
        <xdr:cNvSpPr txBox="1"/>
      </xdr:nvSpPr>
      <xdr:spPr>
        <a:xfrm>
          <a:off x="8243888" y="171450"/>
          <a:ext cx="4367212" cy="14811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base"/>
          <a:r>
            <a:rPr lang="en-US" sz="1100" b="1" i="0">
              <a:solidFill>
                <a:schemeClr val="dk1"/>
              </a:solidFill>
              <a:effectLst/>
              <a:latin typeface="+mn-lt"/>
              <a:ea typeface="+mn-ea"/>
              <a:cs typeface="+mn-cs"/>
            </a:rPr>
            <a:t>Suppliers</a:t>
          </a:r>
          <a:r>
            <a:rPr lang="en-US" sz="1100" b="0" i="0">
              <a:solidFill>
                <a:schemeClr val="dk1"/>
              </a:solidFill>
              <a:effectLst/>
              <a:latin typeface="+mn-lt"/>
              <a:ea typeface="+mn-ea"/>
              <a:cs typeface="+mn-cs"/>
            </a:rPr>
            <a:t>: Suppliers and vendors of Northwind</a:t>
          </a:r>
        </a:p>
        <a:p>
          <a:pPr fontAlgn="base"/>
          <a:r>
            <a:rPr lang="en-US" sz="1100" b="1" i="0">
              <a:solidFill>
                <a:schemeClr val="dk1"/>
              </a:solidFill>
              <a:effectLst/>
              <a:latin typeface="+mn-lt"/>
              <a:ea typeface="+mn-ea"/>
              <a:cs typeface="+mn-cs"/>
            </a:rPr>
            <a:t>Customers</a:t>
          </a:r>
          <a:r>
            <a:rPr lang="en-US" sz="1100" b="0" i="0">
              <a:solidFill>
                <a:schemeClr val="dk1"/>
              </a:solidFill>
              <a:effectLst/>
              <a:latin typeface="+mn-lt"/>
              <a:ea typeface="+mn-ea"/>
              <a:cs typeface="+mn-cs"/>
            </a:rPr>
            <a:t>: Customers who buy products from Northwind</a:t>
          </a:r>
        </a:p>
        <a:p>
          <a:pPr fontAlgn="base"/>
          <a:r>
            <a:rPr lang="en-US" sz="1100" b="1" i="0">
              <a:solidFill>
                <a:schemeClr val="dk1"/>
              </a:solidFill>
              <a:effectLst/>
              <a:latin typeface="+mn-lt"/>
              <a:ea typeface="+mn-ea"/>
              <a:cs typeface="+mn-cs"/>
            </a:rPr>
            <a:t>Employees</a:t>
          </a:r>
          <a:r>
            <a:rPr lang="en-US" sz="1100" b="0" i="0">
              <a:solidFill>
                <a:schemeClr val="dk1"/>
              </a:solidFill>
              <a:effectLst/>
              <a:latin typeface="+mn-lt"/>
              <a:ea typeface="+mn-ea"/>
              <a:cs typeface="+mn-cs"/>
            </a:rPr>
            <a:t>: Employee details of Northwind traders</a:t>
          </a:r>
        </a:p>
        <a:p>
          <a:pPr fontAlgn="base"/>
          <a:r>
            <a:rPr lang="en-US" sz="1100" b="1" i="0">
              <a:solidFill>
                <a:schemeClr val="dk1"/>
              </a:solidFill>
              <a:effectLst/>
              <a:latin typeface="+mn-lt"/>
              <a:ea typeface="+mn-ea"/>
              <a:cs typeface="+mn-cs"/>
            </a:rPr>
            <a:t>Products</a:t>
          </a:r>
          <a:r>
            <a:rPr lang="en-US" sz="1100" b="0" i="0">
              <a:solidFill>
                <a:schemeClr val="dk1"/>
              </a:solidFill>
              <a:effectLst/>
              <a:latin typeface="+mn-lt"/>
              <a:ea typeface="+mn-ea"/>
              <a:cs typeface="+mn-cs"/>
            </a:rPr>
            <a:t>: Product information</a:t>
          </a:r>
        </a:p>
        <a:p>
          <a:pPr fontAlgn="base"/>
          <a:r>
            <a:rPr lang="en-US" sz="1100" b="1" i="0">
              <a:solidFill>
                <a:schemeClr val="dk1"/>
              </a:solidFill>
              <a:effectLst/>
              <a:latin typeface="+mn-lt"/>
              <a:ea typeface="+mn-ea"/>
              <a:cs typeface="+mn-cs"/>
            </a:rPr>
            <a:t>Shippers</a:t>
          </a:r>
          <a:r>
            <a:rPr lang="en-US" sz="1100" b="0" i="0">
              <a:solidFill>
                <a:schemeClr val="dk1"/>
              </a:solidFill>
              <a:effectLst/>
              <a:latin typeface="+mn-lt"/>
              <a:ea typeface="+mn-ea"/>
              <a:cs typeface="+mn-cs"/>
            </a:rPr>
            <a:t>: The details of the shippers who ship the products from the traders to the end-customers</a:t>
          </a:r>
        </a:p>
        <a:p>
          <a:pPr fontAlgn="base"/>
          <a:r>
            <a:rPr lang="en-US" sz="1100" b="1" i="0">
              <a:solidFill>
                <a:schemeClr val="dk1"/>
              </a:solidFill>
              <a:effectLst/>
              <a:latin typeface="+mn-lt"/>
              <a:ea typeface="+mn-ea"/>
              <a:cs typeface="+mn-cs"/>
            </a:rPr>
            <a:t>Orders and Order_Details</a:t>
          </a:r>
          <a:r>
            <a:rPr lang="en-US" sz="1100" b="0" i="0">
              <a:solidFill>
                <a:schemeClr val="dk1"/>
              </a:solidFill>
              <a:effectLst/>
              <a:latin typeface="+mn-lt"/>
              <a:ea typeface="+mn-ea"/>
              <a:cs typeface="+mn-cs"/>
            </a:rPr>
            <a:t>: Sales Order transactions taking place between the customers &amp; the company</a:t>
          </a:r>
        </a:p>
        <a:p>
          <a:endParaRPr lang="el-GR"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504824</xdr:colOff>
      <xdr:row>5</xdr:row>
      <xdr:rowOff>2</xdr:rowOff>
    </xdr:from>
    <xdr:to>
      <xdr:col>16</xdr:col>
      <xdr:colOff>161925</xdr:colOff>
      <xdr:row>17</xdr:row>
      <xdr:rowOff>47625</xdr:rowOff>
    </xdr:to>
    <xdr:sp macro="" textlink="">
      <xdr:nvSpPr>
        <xdr:cNvPr id="2" name="TextBox 1">
          <a:extLst>
            <a:ext uri="{FF2B5EF4-FFF2-40B4-BE49-F238E27FC236}">
              <a16:creationId xmlns:a16="http://schemas.microsoft.com/office/drawing/2014/main" id="{DB795CF2-37EE-7B0E-3FB6-5ED762E58800}"/>
            </a:ext>
          </a:extLst>
        </xdr:cNvPr>
        <xdr:cNvSpPr txBox="1"/>
      </xdr:nvSpPr>
      <xdr:spPr>
        <a:xfrm>
          <a:off x="15840074" y="1047752"/>
          <a:ext cx="7324726" cy="2524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l-GR" sz="2000"/>
            <a:t>Τις</a:t>
          </a:r>
          <a:r>
            <a:rPr lang="el-GR" sz="2000" baseline="0"/>
            <a:t> απαντήσεις θα τις συμπληρώσετε στο φύλλο </a:t>
          </a:r>
          <a:r>
            <a:rPr lang="en-US" sz="2000" b="1" baseline="0"/>
            <a:t>01</a:t>
          </a:r>
          <a:r>
            <a:rPr lang="el-GR" sz="2000" b="1" baseline="0"/>
            <a:t>_ΕΡΓΑΣΤΗΡΙΟ </a:t>
          </a:r>
          <a:r>
            <a:rPr lang="el-GR" sz="2000" b="0" baseline="0"/>
            <a:t>εκεί που λέει </a:t>
          </a:r>
          <a:r>
            <a:rPr lang="el-GR" sz="2000" b="1" baseline="0"/>
            <a:t>Μαθητής</a:t>
          </a:r>
          <a:r>
            <a:rPr lang="el-GR" sz="2000" b="0" baseline="0"/>
            <a:t> με </a:t>
          </a:r>
          <a:r>
            <a:rPr lang="el-GR" sz="2000" b="0" baseline="0">
              <a:solidFill>
                <a:srgbClr val="00B050"/>
              </a:solidFill>
            </a:rPr>
            <a:t>πράσινο</a:t>
          </a:r>
          <a:r>
            <a:rPr lang="el-GR" sz="2000" b="0" baseline="0"/>
            <a:t> χρώμα για τις ερωτήσεις 1 εώς 27. Μπορείτε να βλέπετε σε ποια κελιά θα εισάγετε την απάντηση από τη στήλη </a:t>
          </a:r>
          <a:r>
            <a:rPr lang="el-GR" sz="2000" b="1" baseline="0"/>
            <a:t>Κελί Εργασίας </a:t>
          </a:r>
          <a:r>
            <a:rPr lang="el-GR" sz="2000" b="0" baseline="0"/>
            <a:t>του διπλανού πίνακα. Για την ερώτηση 10 χρησιμοποιούμε τον πίνακα Α52:</a:t>
          </a:r>
          <a:r>
            <a:rPr lang="en-US" sz="2000" b="0" baseline="0"/>
            <a:t>G77.</a:t>
          </a:r>
          <a:r>
            <a:rPr lang="el-GR" sz="2000" b="0" baseline="0"/>
            <a:t> Για την 11 τη στήλη </a:t>
          </a:r>
          <a:r>
            <a:rPr lang="en-US" sz="2000" b="0" baseline="0"/>
            <a:t>L52:L77. </a:t>
          </a:r>
          <a:r>
            <a:rPr lang="el-GR" sz="2000" b="0" baseline="0"/>
            <a:t>Για τις ερωτήσεις 28-32 χρησιμοποιείστε το φύλλο εργασίας </a:t>
          </a:r>
          <a:r>
            <a:rPr lang="en-US" sz="2000" b="1" baseline="0"/>
            <a:t>03_PIVOT </a:t>
          </a:r>
          <a:r>
            <a:rPr lang="el-GR" sz="2000" b="0" baseline="0"/>
            <a:t>στα κελιά που σας αναφέρω</a:t>
          </a:r>
          <a:r>
            <a:rPr lang="en-US" sz="2000" b="0" baseline="0"/>
            <a:t>. </a:t>
          </a:r>
          <a:r>
            <a:rPr lang="el-GR" sz="2000" b="0" baseline="0"/>
            <a:t>Καλή  εξάσκηση!</a:t>
          </a:r>
          <a:endParaRPr lang="el-GR" sz="2000" b="1"/>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20</xdr:row>
      <xdr:rowOff>19050</xdr:rowOff>
    </xdr:from>
    <xdr:to>
      <xdr:col>3</xdr:col>
      <xdr:colOff>444500</xdr:colOff>
      <xdr:row>33</xdr:row>
      <xdr:rowOff>149225</xdr:rowOff>
    </xdr:to>
    <mc:AlternateContent xmlns:mc="http://schemas.openxmlformats.org/markup-compatibility/2006">
      <mc:Choice xmlns:a14="http://schemas.microsoft.com/office/drawing/2010/main" Requires="a14">
        <xdr:graphicFrame macro="">
          <xdr:nvGraphicFramePr>
            <xdr:cNvPr id="2" name="CategoryName">
              <a:extLst>
                <a:ext uri="{FF2B5EF4-FFF2-40B4-BE49-F238E27FC236}">
                  <a16:creationId xmlns:a16="http://schemas.microsoft.com/office/drawing/2014/main" id="{E2087C37-8E57-7483-BF8E-351FA754CFBD}"/>
                </a:ext>
              </a:extLst>
            </xdr:cNvPr>
            <xdr:cNvGraphicFramePr/>
          </xdr:nvGraphicFramePr>
          <xdr:xfrm>
            <a:off x="0" y="0"/>
            <a:ext cx="0" cy="0"/>
          </xdr:xfrm>
          <a:graphic>
            <a:graphicData uri="http://schemas.microsoft.com/office/drawing/2010/slicer">
              <sle:slicer xmlns:sle="http://schemas.microsoft.com/office/drawing/2010/slicer" name="CategoryName"/>
            </a:graphicData>
          </a:graphic>
        </xdr:graphicFrame>
      </mc:Choice>
      <mc:Fallback>
        <xdr:sp macro="" textlink="">
          <xdr:nvSpPr>
            <xdr:cNvPr id="0" name=""/>
            <xdr:cNvSpPr>
              <a:spLocks noTextEdit="1"/>
            </xdr:cNvSpPr>
          </xdr:nvSpPr>
          <xdr:spPr>
            <a:xfrm>
              <a:off x="2889250" y="3702050"/>
              <a:ext cx="1663700" cy="2524125"/>
            </a:xfrm>
            <a:prstGeom prst="rect">
              <a:avLst/>
            </a:prstGeom>
            <a:solidFill>
              <a:prstClr val="white"/>
            </a:solidFill>
            <a:ln w="1">
              <a:solidFill>
                <a:prstClr val="green"/>
              </a:solidFill>
            </a:ln>
          </xdr:spPr>
          <xdr:txBody>
            <a:bodyPr vertOverflow="clip" horzOverflow="clip"/>
            <a:lstStyle/>
            <a:p>
              <a:r>
                <a:rPr lang="el-GR" sz="1100"/>
                <a:t>Αυτό το σχήμα αναπαριστά έναν αναλυτή. Οι αναλυτές υποστηρίζονται σε Excel 2010 ή νεότερη έκδοση.
Εάν το σχήμα τροποποιήθηκε σε παλαιότερη έκδοση του Excel ή εάν το βιβλίο εργασίας αποθηκεύτηκε σε Excel 2003 ή παλαιότερη έκδοση, ο αναλυτής δεν είναι δυνατό να χρησιμοποιηθεί.</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onysia Grigoraki" refreshedDate="46279.802128009258" createdVersion="8" refreshedVersion="8" minRefreshableVersion="3" recordCount="518" xr:uid="{EB1D7C37-C418-46F4-8680-A5B20C1FD8D5}">
  <cacheSource type="worksheet">
    <worksheetSource name="tbl_FACTS"/>
  </cacheSource>
  <cacheFields count="28">
    <cacheField name="OrderDetailID" numFmtId="0">
      <sharedItems containsSemiMixedTypes="0" containsString="0" containsNumber="1" containsInteger="1" minValue="1" maxValue="518"/>
    </cacheField>
    <cacheField name="OrderID" numFmtId="0">
      <sharedItems containsSemiMixedTypes="0" containsString="0" containsNumber="1" containsInteger="1" minValue="10248" maxValue="10443"/>
    </cacheField>
    <cacheField name="ProductID" numFmtId="0">
      <sharedItems containsSemiMixedTypes="0" containsString="0" containsNumber="1" containsInteger="1" minValue="1" maxValue="77"/>
    </cacheField>
    <cacheField name="Quantity" numFmtId="1">
      <sharedItems containsSemiMixedTypes="0" containsString="0" containsNumber="1" containsInteger="1" minValue="1" maxValue="120"/>
    </cacheField>
    <cacheField name="OrderDate" numFmtId="165">
      <sharedItems containsSemiMixedTypes="0" containsNonDate="0" containsDate="1" containsString="0" minDate="1996-07-04T00:00:00" maxDate="1997-02-13T00:00:00" count="160">
        <d v="1996-07-04T00:00:00"/>
        <d v="1996-07-05T00:00:00"/>
        <d v="1996-07-08T00:00:00"/>
        <d v="1996-07-09T00:00:00"/>
        <d v="1996-07-10T00:00:00"/>
        <d v="1996-07-11T00:00:00"/>
        <d v="1996-07-12T00:00:00"/>
        <d v="1996-07-15T00:00:00"/>
        <d v="1996-07-16T00:00:00"/>
        <d v="1996-07-17T00:00:00"/>
        <d v="1996-07-18T00:00:00"/>
        <d v="1996-07-19T00:00:00"/>
        <d v="1996-07-22T00:00:00"/>
        <d v="1996-07-23T00:00:00"/>
        <d v="1996-07-24T00:00:00"/>
        <d v="1996-07-25T00:00:00"/>
        <d v="1996-07-26T00:00:00"/>
        <d v="1996-07-29T00:00:00"/>
        <d v="1996-07-30T00:00:00"/>
        <d v="1996-07-31T00:00:00"/>
        <d v="1996-08-01T00:00:00"/>
        <d v="1996-08-02T00:00:00"/>
        <d v="1996-08-05T00:00:00"/>
        <d v="1996-08-06T00:00:00"/>
        <d v="1996-08-07T00:00:00"/>
        <d v="1996-08-08T00:00:00"/>
        <d v="1996-08-09T00:00:00"/>
        <d v="1996-08-12T00:00:00"/>
        <d v="1996-08-13T00:00:00"/>
        <d v="1996-08-14T00:00:00"/>
        <d v="1996-08-15T00:00:00"/>
        <d v="1996-08-16T00:00:00"/>
        <d v="1996-08-19T00:00:00"/>
        <d v="1996-08-20T00:00:00"/>
        <d v="1996-08-21T00:00:00"/>
        <d v="1996-08-22T00:00:00"/>
        <d v="1996-08-23T00:00:00"/>
        <d v="1996-08-26T00:00:00"/>
        <d v="1996-08-27T00:00:00"/>
        <d v="1996-08-28T00:00:00"/>
        <d v="1996-08-29T00:00:00"/>
        <d v="1996-08-30T00:00:00"/>
        <d v="1996-09-02T00:00:00"/>
        <d v="1996-09-03T00:00:00"/>
        <d v="1996-09-04T00:00:00"/>
        <d v="1996-09-05T00:00:00"/>
        <d v="1996-09-06T00:00:00"/>
        <d v="1996-09-09T00:00:00"/>
        <d v="1996-09-10T00:00:00"/>
        <d v="1996-09-11T00:00:00"/>
        <d v="1996-09-12T00:00:00"/>
        <d v="1996-09-13T00:00:00"/>
        <d v="1996-09-16T00:00:00"/>
        <d v="1996-09-17T00:00:00"/>
        <d v="1996-09-18T00:00:00"/>
        <d v="1996-09-19T00:00:00"/>
        <d v="1996-09-20T00:00:00"/>
        <d v="1996-09-23T00:00:00"/>
        <d v="1996-09-24T00:00:00"/>
        <d v="1996-09-25T00:00:00"/>
        <d v="1996-09-26T00:00:00"/>
        <d v="1996-09-27T00:00:00"/>
        <d v="1996-09-30T00:00:00"/>
        <d v="1996-10-01T00:00:00"/>
        <d v="1996-10-02T00:00:00"/>
        <d v="1996-10-03T00:00:00"/>
        <d v="1996-10-04T00:00:00"/>
        <d v="1996-10-07T00:00:00"/>
        <d v="1996-10-08T00:00:00"/>
        <d v="1996-10-09T00:00:00"/>
        <d v="1996-10-10T00:00:00"/>
        <d v="1996-10-11T00:00:00"/>
        <d v="1996-10-14T00:00:00"/>
        <d v="1996-10-15T00:00:00"/>
        <d v="1996-10-16T00:00:00"/>
        <d v="1996-10-17T00:00:00"/>
        <d v="1996-10-18T00:00:00"/>
        <d v="1996-10-21T00:00:00"/>
        <d v="1996-10-22T00:00:00"/>
        <d v="1996-10-23T00:00:00"/>
        <d v="1996-10-24T00:00:00"/>
        <d v="1996-10-25T00:00:00"/>
        <d v="1996-10-28T00:00:00"/>
        <d v="1996-10-29T00:00:00"/>
        <d v="1996-10-30T00:00:00"/>
        <d v="1996-10-31T00:00:00"/>
        <d v="1996-11-01T00:00:00"/>
        <d v="1996-11-04T00:00:00"/>
        <d v="1996-11-05T00:00:00"/>
        <d v="1996-11-06T00:00:00"/>
        <d v="1996-11-07T00:00:00"/>
        <d v="1996-11-08T00:00:00"/>
        <d v="1996-11-11T00:00:00"/>
        <d v="1996-11-12T00:00:00"/>
        <d v="1996-11-13T00:00:00"/>
        <d v="1996-11-14T00:00:00"/>
        <d v="1996-11-15T00:00:00"/>
        <d v="1996-11-18T00:00:00"/>
        <d v="1996-11-19T00:00:00"/>
        <d v="1996-11-20T00:00:00"/>
        <d v="1996-11-21T00:00:00"/>
        <d v="1996-11-22T00:00:00"/>
        <d v="1996-11-25T00:00:00"/>
        <d v="1996-11-26T00:00:00"/>
        <d v="1996-11-27T00:00:00"/>
        <d v="1996-11-28T00:00:00"/>
        <d v="1996-11-29T00:00:00"/>
        <d v="1996-12-02T00:00:00"/>
        <d v="1996-12-03T00:00:00"/>
        <d v="1996-12-04T00:00:00"/>
        <d v="1996-12-05T00:00:00"/>
        <d v="1996-12-06T00:00:00"/>
        <d v="1996-12-09T00:00:00"/>
        <d v="1996-12-10T00:00:00"/>
        <d v="1996-12-11T00:00:00"/>
        <d v="1996-12-12T00:00:00"/>
        <d v="1996-12-13T00:00:00"/>
        <d v="1996-12-16T00:00:00"/>
        <d v="1996-12-17T00:00:00"/>
        <d v="1996-12-18T00:00:00"/>
        <d v="1996-12-19T00:00:00"/>
        <d v="1996-12-20T00:00:00"/>
        <d v="1996-12-23T00:00:00"/>
        <d v="1996-12-24T00:00:00"/>
        <d v="1996-12-25T00:00:00"/>
        <d v="1996-12-26T00:00:00"/>
        <d v="1996-12-27T00:00:00"/>
        <d v="1996-12-30T00:00:00"/>
        <d v="1996-12-31T00:00:00"/>
        <d v="1997-01-01T00:00:00"/>
        <d v="1997-01-02T00:00:00"/>
        <d v="1997-01-03T00:00:00"/>
        <d v="1997-01-06T00:00:00"/>
        <d v="1997-01-07T00:00:00"/>
        <d v="1997-01-08T00:00:00"/>
        <d v="1997-01-09T00:00:00"/>
        <d v="1997-01-10T00:00:00"/>
        <d v="1997-01-13T00:00:00"/>
        <d v="1997-01-14T00:00:00"/>
        <d v="1997-01-15T00:00:00"/>
        <d v="1997-01-16T00:00:00"/>
        <d v="1997-01-17T00:00:00"/>
        <d v="1997-01-20T00:00:00"/>
        <d v="1997-01-21T00:00:00"/>
        <d v="1997-01-22T00:00:00"/>
        <d v="1997-01-23T00:00:00"/>
        <d v="1997-01-24T00:00:00"/>
        <d v="1997-01-27T00:00:00"/>
        <d v="1997-01-28T00:00:00"/>
        <d v="1997-01-29T00:00:00"/>
        <d v="1997-01-30T00:00:00"/>
        <d v="1997-01-31T00:00:00"/>
        <d v="1997-02-03T00:00:00"/>
        <d v="1997-02-04T00:00:00"/>
        <d v="1997-02-05T00:00:00"/>
        <d v="1997-02-06T00:00:00"/>
        <d v="1997-02-07T00:00:00"/>
        <d v="1997-02-10T00:00:00"/>
        <d v="1997-02-11T00:00:00"/>
        <d v="1997-02-12T00:00:00"/>
      </sharedItems>
      <fieldGroup par="27"/>
    </cacheField>
    <cacheField name="CustomerID" numFmtId="0">
      <sharedItems containsSemiMixedTypes="0" containsString="0" containsNumber="1" containsInteger="1" minValue="2" maxValue="91"/>
    </cacheField>
    <cacheField name="CustomerName" numFmtId="0">
      <sharedItems/>
    </cacheField>
    <cacheField name="Country" numFmtId="0">
      <sharedItems count="21">
        <s v="Finland"/>
        <s v="Brazil"/>
        <s v="France"/>
        <s v="Belgium"/>
        <s v="Switzerland"/>
        <s v="Venezuela"/>
        <s v="Austria"/>
        <s v="Mexico"/>
        <s v="USA"/>
        <s v="Sweden"/>
        <s v="Germany"/>
        <s v="Italy"/>
        <s v="Spain"/>
        <s v="UK"/>
        <s v="Ireland"/>
        <s v="Portugal"/>
        <s v="Canada"/>
        <s v="Denmark"/>
        <s v="Poland"/>
        <s v="Norway"/>
        <s v="Argentina"/>
      </sharedItems>
    </cacheField>
    <cacheField name="EmployeeID" numFmtId="0">
      <sharedItems containsSemiMixedTypes="0" containsString="0" containsNumber="1" containsInteger="1" minValue="1" maxValue="9"/>
    </cacheField>
    <cacheField name="ShipperID" numFmtId="0">
      <sharedItems containsSemiMixedTypes="0" containsString="0" containsNumber="1" containsInteger="1" minValue="1" maxValue="3"/>
    </cacheField>
    <cacheField name="ShipperName" numFmtId="0">
      <sharedItems/>
    </cacheField>
    <cacheField name="ProductName" numFmtId="0">
      <sharedItems/>
    </cacheField>
    <cacheField name="CategoryID" numFmtId="0">
      <sharedItems containsSemiMixedTypes="0" containsString="0" containsNumber="1" containsInteger="1" minValue="1" maxValue="8"/>
    </cacheField>
    <cacheField name="CategoryName" numFmtId="0">
      <sharedItems count="8">
        <s v="Dairy Products"/>
        <s v="Grains/Cereals"/>
        <s v="Produce"/>
        <s v="Seafood"/>
        <s v="Condiments"/>
        <s v="Confections"/>
        <s v="Beverages"/>
        <s v="Meat/Poultry"/>
      </sharedItems>
    </cacheField>
    <cacheField name="SupplierID" numFmtId="0">
      <sharedItems containsSemiMixedTypes="0" containsString="0" containsNumber="1" containsInteger="1" minValue="1" maxValue="29"/>
    </cacheField>
    <cacheField name="SupplierName" numFmtId="0">
      <sharedItems/>
    </cacheField>
    <cacheField name="Price" numFmtId="4">
      <sharedItems containsSemiMixedTypes="0" containsString="0" containsNumber="1" containsInteger="1" minValue="3" maxValue="264"/>
    </cacheField>
    <cacheField name="SalesValue" numFmtId="4">
      <sharedItems containsSemiMixedTypes="0" containsString="0" containsNumber="1" containsInteger="1" minValue="9" maxValue="13200"/>
    </cacheField>
    <cacheField name="IsFirstLine" numFmtId="1">
      <sharedItems containsSemiMixedTypes="0" containsString="0" containsNumber="1" containsInteger="1" minValue="0" maxValue="1"/>
    </cacheField>
    <cacheField name="Year" numFmtId="1">
      <sharedItems containsSemiMixedTypes="0" containsString="0" containsNumber="1" containsInteger="1" minValue="1996" maxValue="1997" count="2">
        <n v="1996"/>
        <n v="1997"/>
      </sharedItems>
    </cacheField>
    <cacheField name="Month" numFmtId="166">
      <sharedItems containsSemiMixedTypes="0" containsNonDate="0" containsDate="1" containsString="0" minDate="1996-07-01T00:00:00" maxDate="1997-02-02T00:00:00" count="8">
        <d v="1996-07-01T00:00:00"/>
        <d v="1996-08-01T00:00:00"/>
        <d v="1996-09-01T00:00:00"/>
        <d v="1996-10-01T00:00:00"/>
        <d v="1996-11-01T00:00:00"/>
        <d v="1996-12-01T00:00:00"/>
        <d v="1997-01-01T00:00:00"/>
        <d v="1997-02-01T00:00:00"/>
      </sharedItems>
      <fieldGroup par="24"/>
    </cacheField>
    <cacheField name="QtyBand" numFmtId="166">
      <sharedItems count="6">
        <s v="11–20"/>
        <s v="0–10"/>
        <s v="31–40"/>
        <s v="21–30"/>
        <s v="41–50"/>
        <s v="51+"/>
      </sharedItems>
    </cacheField>
    <cacheField name="Μήνες (Month)" numFmtId="0" databaseField="0">
      <fieldGroup base="20">
        <rangePr groupBy="months" startDate="1996-07-01T00:00:00" endDate="1997-02-02T00:00:00"/>
        <groupItems count="14">
          <s v="&lt;1/7/1996"/>
          <s v="Ιαν"/>
          <s v="Φεβ"/>
          <s v="Μαρ"/>
          <s v="Απρ"/>
          <s v="Μαϊ"/>
          <s v="Ιουν"/>
          <s v="Ιουλ"/>
          <s v="Αυγ"/>
          <s v="Σεπ"/>
          <s v="Οκτ"/>
          <s v="Νοε"/>
          <s v="Δεκ"/>
          <s v="&gt;2/2/1997"/>
        </groupItems>
      </fieldGroup>
    </cacheField>
    <cacheField name="Τρίμηνα (Month)" numFmtId="0" databaseField="0">
      <fieldGroup base="20">
        <rangePr groupBy="quarters" startDate="1996-07-01T00:00:00" endDate="1997-02-02T00:00:00"/>
        <groupItems count="6">
          <s v="&lt;1/7/1996"/>
          <s v="Τριμ.1"/>
          <s v="Τριμ.2"/>
          <s v="Τριμ.3"/>
          <s v="Τριμ.4"/>
          <s v="&gt;2/2/1997"/>
        </groupItems>
      </fieldGroup>
    </cacheField>
    <cacheField name="Έτη (Month)" numFmtId="0" databaseField="0">
      <fieldGroup base="20">
        <rangePr groupBy="years" startDate="1996-07-01T00:00:00" endDate="1997-02-02T00:00:00"/>
        <groupItems count="4">
          <s v="&lt;1/7/1996"/>
          <s v="1996"/>
          <s v="1997"/>
          <s v="&gt;2/2/1997"/>
        </groupItems>
      </fieldGroup>
    </cacheField>
    <cacheField name="Μήνες (OrderDate)" numFmtId="0" databaseField="0">
      <fieldGroup base="4">
        <rangePr groupBy="months" startDate="1996-07-04T00:00:00" endDate="1997-02-13T00:00:00"/>
        <groupItems count="14">
          <s v="&lt;4/7/1996"/>
          <s v="Ιαν"/>
          <s v="Φεβ"/>
          <s v="Μαρ"/>
          <s v="Απρ"/>
          <s v="Μαϊ"/>
          <s v="Ιουν"/>
          <s v="Ιουλ"/>
          <s v="Αυγ"/>
          <s v="Σεπ"/>
          <s v="Οκτ"/>
          <s v="Νοε"/>
          <s v="Δεκ"/>
          <s v="&gt;13/2/1997"/>
        </groupItems>
      </fieldGroup>
    </cacheField>
    <cacheField name="Τρίμηνα (OrderDate)" numFmtId="0" databaseField="0">
      <fieldGroup base="4">
        <rangePr groupBy="quarters" startDate="1996-07-04T00:00:00" endDate="1997-02-13T00:00:00"/>
        <groupItems count="6">
          <s v="&lt;4/7/1996"/>
          <s v="Τριμ.1"/>
          <s v="Τριμ.2"/>
          <s v="Τριμ.3"/>
          <s v="Τριμ.4"/>
          <s v="&gt;13/2/1997"/>
        </groupItems>
      </fieldGroup>
    </cacheField>
    <cacheField name="Έτη (OrderDate)" numFmtId="0" databaseField="0">
      <fieldGroup base="4">
        <rangePr groupBy="years" startDate="1996-07-04T00:00:00" endDate="1997-02-13T00:00:00"/>
        <groupItems count="4">
          <s v="&lt;4/7/1996"/>
          <s v="1996"/>
          <s v="1997"/>
          <s v="&gt;13/2/1997"/>
        </groupItems>
      </fieldGroup>
    </cacheField>
  </cacheFields>
  <extLst>
    <ext xmlns:x14="http://schemas.microsoft.com/office/spreadsheetml/2009/9/main" uri="{725AE2AE-9491-48be-B2B4-4EB974FC3084}">
      <x14:pivotCacheDefinition pivotCacheId="14816733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8">
  <r>
    <n v="1"/>
    <n v="10248"/>
    <n v="11"/>
    <n v="12"/>
    <x v="0"/>
    <n v="90"/>
    <s v="Wilman Kala"/>
    <x v="0"/>
    <n v="5"/>
    <n v="3"/>
    <s v="Federal Shipping"/>
    <s v="Queso Cabrales"/>
    <n v="4"/>
    <x v="0"/>
    <n v="5"/>
    <s v="Cooperativa de Quesos 'Las Cabras'"/>
    <n v="21"/>
    <n v="252"/>
    <n v="1"/>
    <x v="0"/>
    <x v="0"/>
    <x v="0"/>
  </r>
  <r>
    <n v="2"/>
    <n v="10248"/>
    <n v="42"/>
    <n v="10"/>
    <x v="0"/>
    <n v="90"/>
    <s v="Wilman Kala"/>
    <x v="0"/>
    <n v="5"/>
    <n v="3"/>
    <s v="Federal Shipping"/>
    <s v="Singaporean Hokkien Fried Mee"/>
    <n v="5"/>
    <x v="1"/>
    <n v="20"/>
    <s v="Leka Trading"/>
    <n v="14"/>
    <n v="140"/>
    <n v="0"/>
    <x v="0"/>
    <x v="0"/>
    <x v="1"/>
  </r>
  <r>
    <n v="3"/>
    <n v="10248"/>
    <n v="72"/>
    <n v="5"/>
    <x v="0"/>
    <n v="90"/>
    <s v="Wilman Kala"/>
    <x v="0"/>
    <n v="5"/>
    <n v="3"/>
    <s v="Federal Shipping"/>
    <s v="Mozzarella di Giovanni"/>
    <n v="4"/>
    <x v="0"/>
    <n v="14"/>
    <s v="Formaggi Fortini s.r.l."/>
    <n v="35"/>
    <n v="175"/>
    <n v="0"/>
    <x v="0"/>
    <x v="0"/>
    <x v="1"/>
  </r>
  <r>
    <n v="4"/>
    <n v="10249"/>
    <n v="14"/>
    <n v="9"/>
    <x v="1"/>
    <n v="81"/>
    <s v="Tradicao Hipermercados"/>
    <x v="1"/>
    <n v="6"/>
    <n v="1"/>
    <s v="Speedy Express"/>
    <s v="Tofu"/>
    <n v="7"/>
    <x v="2"/>
    <n v="6"/>
    <s v="Mayumi's"/>
    <n v="23"/>
    <n v="207"/>
    <n v="1"/>
    <x v="0"/>
    <x v="0"/>
    <x v="1"/>
  </r>
  <r>
    <n v="5"/>
    <n v="10249"/>
    <n v="51"/>
    <n v="40"/>
    <x v="1"/>
    <n v="81"/>
    <s v="Tradicao Hipermercados"/>
    <x v="1"/>
    <n v="6"/>
    <n v="1"/>
    <s v="Speedy Express"/>
    <s v="Manjimup Dried Apples"/>
    <n v="7"/>
    <x v="2"/>
    <n v="24"/>
    <s v="G'day, Mate"/>
    <n v="53"/>
    <n v="2120"/>
    <n v="0"/>
    <x v="0"/>
    <x v="0"/>
    <x v="2"/>
  </r>
  <r>
    <n v="6"/>
    <n v="10250"/>
    <n v="41"/>
    <n v="10"/>
    <x v="2"/>
    <n v="34"/>
    <s v="Hanari Carnes"/>
    <x v="1"/>
    <n v="4"/>
    <n v="2"/>
    <s v="United Package"/>
    <s v="Jack's New England Clam Chowder"/>
    <n v="8"/>
    <x v="3"/>
    <n v="19"/>
    <s v="New England Seafood Cannery"/>
    <n v="10"/>
    <n v="100"/>
    <n v="1"/>
    <x v="0"/>
    <x v="0"/>
    <x v="1"/>
  </r>
  <r>
    <n v="7"/>
    <n v="10250"/>
    <n v="51"/>
    <n v="35"/>
    <x v="2"/>
    <n v="34"/>
    <s v="Hanari Carnes"/>
    <x v="1"/>
    <n v="4"/>
    <n v="2"/>
    <s v="United Package"/>
    <s v="Manjimup Dried Apples"/>
    <n v="7"/>
    <x v="2"/>
    <n v="24"/>
    <s v="G'day, Mate"/>
    <n v="53"/>
    <n v="1855"/>
    <n v="0"/>
    <x v="0"/>
    <x v="0"/>
    <x v="2"/>
  </r>
  <r>
    <n v="8"/>
    <n v="10250"/>
    <n v="65"/>
    <n v="15"/>
    <x v="2"/>
    <n v="34"/>
    <s v="Hanari Carnes"/>
    <x v="1"/>
    <n v="4"/>
    <n v="2"/>
    <s v="United Package"/>
    <s v="Louisiana Fiery Hot Pepper Sauce"/>
    <n v="2"/>
    <x v="4"/>
    <n v="2"/>
    <s v="New Orleans Cajun Delights"/>
    <n v="21"/>
    <n v="315"/>
    <n v="0"/>
    <x v="0"/>
    <x v="0"/>
    <x v="0"/>
  </r>
  <r>
    <n v="9"/>
    <n v="10251"/>
    <n v="22"/>
    <n v="6"/>
    <x v="2"/>
    <n v="84"/>
    <s v="Victuailles en stock"/>
    <x v="2"/>
    <n v="3"/>
    <n v="1"/>
    <s v="Speedy Express"/>
    <s v="Gustaf's Knackebrod"/>
    <n v="5"/>
    <x v="1"/>
    <n v="9"/>
    <s v="PB Knackebrod AB"/>
    <n v="21"/>
    <n v="126"/>
    <n v="1"/>
    <x v="0"/>
    <x v="0"/>
    <x v="1"/>
  </r>
  <r>
    <n v="10"/>
    <n v="10251"/>
    <n v="57"/>
    <n v="15"/>
    <x v="2"/>
    <n v="84"/>
    <s v="Victuailles en stock"/>
    <x v="2"/>
    <n v="3"/>
    <n v="1"/>
    <s v="Speedy Express"/>
    <s v="Ravioli Angelo"/>
    <n v="5"/>
    <x v="1"/>
    <n v="26"/>
    <s v="Pasta Buttini s.r.l."/>
    <n v="20"/>
    <n v="300"/>
    <n v="0"/>
    <x v="0"/>
    <x v="0"/>
    <x v="0"/>
  </r>
  <r>
    <n v="11"/>
    <n v="10251"/>
    <n v="65"/>
    <n v="20"/>
    <x v="2"/>
    <n v="84"/>
    <s v="Victuailles en stock"/>
    <x v="2"/>
    <n v="3"/>
    <n v="1"/>
    <s v="Speedy Express"/>
    <s v="Louisiana Fiery Hot Pepper Sauce"/>
    <n v="2"/>
    <x v="4"/>
    <n v="2"/>
    <s v="New Orleans Cajun Delights"/>
    <n v="21"/>
    <n v="420"/>
    <n v="0"/>
    <x v="0"/>
    <x v="0"/>
    <x v="0"/>
  </r>
  <r>
    <n v="12"/>
    <n v="10252"/>
    <n v="20"/>
    <n v="40"/>
    <x v="3"/>
    <n v="76"/>
    <s v="Supremes delices"/>
    <x v="3"/>
    <n v="4"/>
    <n v="2"/>
    <s v="United Package"/>
    <s v="Sir Rodney's Marmalade"/>
    <n v="3"/>
    <x v="5"/>
    <n v="8"/>
    <s v="Specialty Biscuits, Ltd."/>
    <n v="81"/>
    <n v="3240"/>
    <n v="1"/>
    <x v="0"/>
    <x v="0"/>
    <x v="2"/>
  </r>
  <r>
    <n v="13"/>
    <n v="10252"/>
    <n v="33"/>
    <n v="25"/>
    <x v="3"/>
    <n v="76"/>
    <s v="Supremes delices"/>
    <x v="3"/>
    <n v="4"/>
    <n v="2"/>
    <s v="United Package"/>
    <s v="Geitost"/>
    <n v="4"/>
    <x v="0"/>
    <n v="15"/>
    <s v="Norske Meierier"/>
    <n v="3"/>
    <n v="75"/>
    <n v="0"/>
    <x v="0"/>
    <x v="0"/>
    <x v="3"/>
  </r>
  <r>
    <n v="14"/>
    <n v="10252"/>
    <n v="60"/>
    <n v="40"/>
    <x v="3"/>
    <n v="76"/>
    <s v="Supremes delices"/>
    <x v="3"/>
    <n v="4"/>
    <n v="2"/>
    <s v="United Package"/>
    <s v="Camembert Pierrot"/>
    <n v="4"/>
    <x v="0"/>
    <n v="28"/>
    <s v="Gai paturage"/>
    <n v="34"/>
    <n v="1360"/>
    <n v="0"/>
    <x v="0"/>
    <x v="0"/>
    <x v="2"/>
  </r>
  <r>
    <n v="15"/>
    <n v="10253"/>
    <n v="31"/>
    <n v="20"/>
    <x v="4"/>
    <n v="34"/>
    <s v="Hanari Carnes"/>
    <x v="1"/>
    <n v="3"/>
    <n v="2"/>
    <s v="United Package"/>
    <s v="Gorgonzola Telino"/>
    <n v="4"/>
    <x v="0"/>
    <n v="14"/>
    <s v="Formaggi Fortini s.r.l."/>
    <n v="13"/>
    <n v="260"/>
    <n v="1"/>
    <x v="0"/>
    <x v="0"/>
    <x v="0"/>
  </r>
  <r>
    <n v="16"/>
    <n v="10253"/>
    <n v="39"/>
    <n v="42"/>
    <x v="4"/>
    <n v="34"/>
    <s v="Hanari Carnes"/>
    <x v="1"/>
    <n v="3"/>
    <n v="2"/>
    <s v="United Package"/>
    <s v="Chartreuse verte"/>
    <n v="1"/>
    <x v="6"/>
    <n v="18"/>
    <s v="Aux joyeux ecclesiastiques"/>
    <n v="18"/>
    <n v="756"/>
    <n v="0"/>
    <x v="0"/>
    <x v="0"/>
    <x v="4"/>
  </r>
  <r>
    <n v="17"/>
    <n v="10253"/>
    <n v="49"/>
    <n v="40"/>
    <x v="4"/>
    <n v="34"/>
    <s v="Hanari Carnes"/>
    <x v="1"/>
    <n v="3"/>
    <n v="2"/>
    <s v="United Package"/>
    <s v="Maxilaku"/>
    <n v="3"/>
    <x v="5"/>
    <n v="23"/>
    <s v="Karkki Oy"/>
    <n v="20"/>
    <n v="800"/>
    <n v="0"/>
    <x v="0"/>
    <x v="0"/>
    <x v="2"/>
  </r>
  <r>
    <n v="18"/>
    <n v="10254"/>
    <n v="24"/>
    <n v="15"/>
    <x v="5"/>
    <n v="14"/>
    <s v="Chop-suey Chinese"/>
    <x v="4"/>
    <n v="5"/>
    <n v="2"/>
    <s v="United Package"/>
    <s v="Guarana Fantastica"/>
    <n v="1"/>
    <x v="6"/>
    <n v="10"/>
    <s v="Refrescos Americanas LTDA"/>
    <n v="5"/>
    <n v="75"/>
    <n v="1"/>
    <x v="0"/>
    <x v="0"/>
    <x v="0"/>
  </r>
  <r>
    <n v="19"/>
    <n v="10254"/>
    <n v="55"/>
    <n v="21"/>
    <x v="5"/>
    <n v="14"/>
    <s v="Chop-suey Chinese"/>
    <x v="4"/>
    <n v="5"/>
    <n v="2"/>
    <s v="United Package"/>
    <s v="Pate chinois"/>
    <n v="6"/>
    <x v="7"/>
    <n v="25"/>
    <s v="Ma Maison"/>
    <n v="24"/>
    <n v="504"/>
    <n v="0"/>
    <x v="0"/>
    <x v="0"/>
    <x v="3"/>
  </r>
  <r>
    <n v="20"/>
    <n v="10254"/>
    <n v="74"/>
    <n v="21"/>
    <x v="5"/>
    <n v="14"/>
    <s v="Chop-suey Chinese"/>
    <x v="4"/>
    <n v="5"/>
    <n v="2"/>
    <s v="United Package"/>
    <s v="Longlife Tofu"/>
    <n v="7"/>
    <x v="2"/>
    <n v="4"/>
    <s v="Tokyo Traders"/>
    <n v="10"/>
    <n v="210"/>
    <n v="0"/>
    <x v="0"/>
    <x v="0"/>
    <x v="3"/>
  </r>
  <r>
    <n v="21"/>
    <n v="10255"/>
    <n v="2"/>
    <n v="20"/>
    <x v="6"/>
    <n v="68"/>
    <s v="Richter Supermarkt"/>
    <x v="4"/>
    <n v="9"/>
    <n v="3"/>
    <s v="Federal Shipping"/>
    <s v="Chang"/>
    <n v="1"/>
    <x v="6"/>
    <n v="1"/>
    <s v="Exotic Liquid"/>
    <n v="19"/>
    <n v="380"/>
    <n v="1"/>
    <x v="0"/>
    <x v="0"/>
    <x v="0"/>
  </r>
  <r>
    <n v="22"/>
    <n v="10255"/>
    <n v="16"/>
    <n v="35"/>
    <x v="6"/>
    <n v="68"/>
    <s v="Richter Supermarkt"/>
    <x v="4"/>
    <n v="9"/>
    <n v="3"/>
    <s v="Federal Shipping"/>
    <s v="Pavlova"/>
    <n v="3"/>
    <x v="5"/>
    <n v="7"/>
    <s v="Pavlova, Ltd."/>
    <n v="17"/>
    <n v="595"/>
    <n v="0"/>
    <x v="0"/>
    <x v="0"/>
    <x v="2"/>
  </r>
  <r>
    <n v="23"/>
    <n v="10255"/>
    <n v="36"/>
    <n v="25"/>
    <x v="6"/>
    <n v="68"/>
    <s v="Richter Supermarkt"/>
    <x v="4"/>
    <n v="9"/>
    <n v="3"/>
    <s v="Federal Shipping"/>
    <s v="Inlagd Sill"/>
    <n v="8"/>
    <x v="3"/>
    <n v="17"/>
    <s v="Svensk Sjofoda AB"/>
    <n v="19"/>
    <n v="475"/>
    <n v="0"/>
    <x v="0"/>
    <x v="0"/>
    <x v="3"/>
  </r>
  <r>
    <n v="24"/>
    <n v="10255"/>
    <n v="59"/>
    <n v="30"/>
    <x v="6"/>
    <n v="68"/>
    <s v="Richter Supermarkt"/>
    <x v="4"/>
    <n v="9"/>
    <n v="3"/>
    <s v="Federal Shipping"/>
    <s v="Raclette Courdavault"/>
    <n v="4"/>
    <x v="0"/>
    <n v="28"/>
    <s v="Gai paturage"/>
    <n v="55"/>
    <n v="1650"/>
    <n v="0"/>
    <x v="0"/>
    <x v="0"/>
    <x v="3"/>
  </r>
  <r>
    <n v="25"/>
    <n v="10256"/>
    <n v="53"/>
    <n v="15"/>
    <x v="7"/>
    <n v="88"/>
    <s v="Wellington Importadora"/>
    <x v="1"/>
    <n v="3"/>
    <n v="2"/>
    <s v="United Package"/>
    <s v="Perth Pasties"/>
    <n v="6"/>
    <x v="7"/>
    <n v="24"/>
    <s v="G'day, Mate"/>
    <n v="33"/>
    <n v="495"/>
    <n v="1"/>
    <x v="0"/>
    <x v="0"/>
    <x v="0"/>
  </r>
  <r>
    <n v="26"/>
    <n v="10256"/>
    <n v="77"/>
    <n v="12"/>
    <x v="7"/>
    <n v="88"/>
    <s v="Wellington Importadora"/>
    <x v="1"/>
    <n v="3"/>
    <n v="2"/>
    <s v="United Package"/>
    <s v="Original Frankfurter grune So├ƒe"/>
    <n v="2"/>
    <x v="4"/>
    <n v="12"/>
    <s v="Plutzer Lebensmittelgro├ƒmarkte AG"/>
    <n v="13"/>
    <n v="156"/>
    <n v="0"/>
    <x v="0"/>
    <x v="0"/>
    <x v="0"/>
  </r>
  <r>
    <n v="27"/>
    <n v="10257"/>
    <n v="27"/>
    <n v="25"/>
    <x v="8"/>
    <n v="35"/>
    <s v="HILARION-Abastos"/>
    <x v="5"/>
    <n v="4"/>
    <n v="3"/>
    <s v="Federal Shipping"/>
    <s v="Schoggi Schokolade"/>
    <n v="3"/>
    <x v="5"/>
    <n v="11"/>
    <s v="Heli Su├ƒwaren GmbH &amp; Co. KG"/>
    <n v="44"/>
    <n v="1100"/>
    <n v="1"/>
    <x v="0"/>
    <x v="0"/>
    <x v="3"/>
  </r>
  <r>
    <n v="28"/>
    <n v="10257"/>
    <n v="39"/>
    <n v="6"/>
    <x v="8"/>
    <n v="35"/>
    <s v="HILARION-Abastos"/>
    <x v="5"/>
    <n v="4"/>
    <n v="3"/>
    <s v="Federal Shipping"/>
    <s v="Chartreuse verte"/>
    <n v="1"/>
    <x v="6"/>
    <n v="18"/>
    <s v="Aux joyeux ecclesiastiques"/>
    <n v="18"/>
    <n v="108"/>
    <n v="0"/>
    <x v="0"/>
    <x v="0"/>
    <x v="1"/>
  </r>
  <r>
    <n v="29"/>
    <n v="10257"/>
    <n v="77"/>
    <n v="15"/>
    <x v="8"/>
    <n v="35"/>
    <s v="HILARION-Abastos"/>
    <x v="5"/>
    <n v="4"/>
    <n v="3"/>
    <s v="Federal Shipping"/>
    <s v="Original Frankfurter grune So├ƒe"/>
    <n v="2"/>
    <x v="4"/>
    <n v="12"/>
    <s v="Plutzer Lebensmittelgro├ƒmarkte AG"/>
    <n v="13"/>
    <n v="195"/>
    <n v="0"/>
    <x v="0"/>
    <x v="0"/>
    <x v="0"/>
  </r>
  <r>
    <n v="30"/>
    <n v="10258"/>
    <n v="2"/>
    <n v="50"/>
    <x v="9"/>
    <n v="20"/>
    <s v="Ernst Handel"/>
    <x v="6"/>
    <n v="1"/>
    <n v="1"/>
    <s v="Speedy Express"/>
    <s v="Chang"/>
    <n v="1"/>
    <x v="6"/>
    <n v="1"/>
    <s v="Exotic Liquid"/>
    <n v="19"/>
    <n v="950"/>
    <n v="1"/>
    <x v="0"/>
    <x v="0"/>
    <x v="4"/>
  </r>
  <r>
    <n v="31"/>
    <n v="10258"/>
    <n v="5"/>
    <n v="65"/>
    <x v="9"/>
    <n v="20"/>
    <s v="Ernst Handel"/>
    <x v="6"/>
    <n v="1"/>
    <n v="1"/>
    <s v="Speedy Express"/>
    <s v="Chef Anton's Gumbo Mix"/>
    <n v="2"/>
    <x v="4"/>
    <n v="2"/>
    <s v="New Orleans Cajun Delights"/>
    <n v="21"/>
    <n v="1365"/>
    <n v="0"/>
    <x v="0"/>
    <x v="0"/>
    <x v="5"/>
  </r>
  <r>
    <n v="32"/>
    <n v="10258"/>
    <n v="32"/>
    <n v="6"/>
    <x v="9"/>
    <n v="20"/>
    <s v="Ernst Handel"/>
    <x v="6"/>
    <n v="1"/>
    <n v="1"/>
    <s v="Speedy Express"/>
    <s v="Mascarpone Fabioli"/>
    <n v="4"/>
    <x v="0"/>
    <n v="14"/>
    <s v="Formaggi Fortini s.r.l."/>
    <n v="32"/>
    <n v="192"/>
    <n v="0"/>
    <x v="0"/>
    <x v="0"/>
    <x v="1"/>
  </r>
  <r>
    <n v="33"/>
    <n v="10259"/>
    <n v="21"/>
    <n v="10"/>
    <x v="10"/>
    <n v="13"/>
    <s v="Centro comercial Moctezuma"/>
    <x v="7"/>
    <n v="4"/>
    <n v="3"/>
    <s v="Federal Shipping"/>
    <s v="Sir Rodney's Scones"/>
    <n v="3"/>
    <x v="5"/>
    <n v="8"/>
    <s v="Specialty Biscuits, Ltd."/>
    <n v="10"/>
    <n v="100"/>
    <n v="1"/>
    <x v="0"/>
    <x v="0"/>
    <x v="1"/>
  </r>
  <r>
    <n v="34"/>
    <n v="10259"/>
    <n v="37"/>
    <n v="1"/>
    <x v="10"/>
    <n v="13"/>
    <s v="Centro comercial Moctezuma"/>
    <x v="7"/>
    <n v="4"/>
    <n v="3"/>
    <s v="Federal Shipping"/>
    <s v="Gravad lax"/>
    <n v="8"/>
    <x v="3"/>
    <n v="17"/>
    <s v="Svensk Sjofoda AB"/>
    <n v="26"/>
    <n v="26"/>
    <n v="0"/>
    <x v="0"/>
    <x v="0"/>
    <x v="1"/>
  </r>
  <r>
    <n v="35"/>
    <n v="10260"/>
    <n v="41"/>
    <n v="16"/>
    <x v="11"/>
    <n v="55"/>
    <s v="Old World Delicatessen"/>
    <x v="8"/>
    <n v="4"/>
    <n v="1"/>
    <s v="Speedy Express"/>
    <s v="Jack's New England Clam Chowder"/>
    <n v="8"/>
    <x v="3"/>
    <n v="19"/>
    <s v="New England Seafood Cannery"/>
    <n v="10"/>
    <n v="160"/>
    <n v="1"/>
    <x v="0"/>
    <x v="0"/>
    <x v="0"/>
  </r>
  <r>
    <n v="36"/>
    <n v="10260"/>
    <n v="57"/>
    <n v="50"/>
    <x v="11"/>
    <n v="55"/>
    <s v="Old World Delicatessen"/>
    <x v="8"/>
    <n v="4"/>
    <n v="1"/>
    <s v="Speedy Express"/>
    <s v="Ravioli Angelo"/>
    <n v="5"/>
    <x v="1"/>
    <n v="26"/>
    <s v="Pasta Buttini s.r.l."/>
    <n v="20"/>
    <n v="1000"/>
    <n v="0"/>
    <x v="0"/>
    <x v="0"/>
    <x v="4"/>
  </r>
  <r>
    <n v="37"/>
    <n v="10260"/>
    <n v="62"/>
    <n v="15"/>
    <x v="11"/>
    <n v="55"/>
    <s v="Old World Delicatessen"/>
    <x v="8"/>
    <n v="4"/>
    <n v="1"/>
    <s v="Speedy Express"/>
    <s v="Tarte au sucre"/>
    <n v="3"/>
    <x v="5"/>
    <n v="29"/>
    <s v="Forets d'erables"/>
    <n v="49"/>
    <n v="735"/>
    <n v="0"/>
    <x v="0"/>
    <x v="0"/>
    <x v="0"/>
  </r>
  <r>
    <n v="38"/>
    <n v="10260"/>
    <n v="70"/>
    <n v="21"/>
    <x v="11"/>
    <n v="55"/>
    <s v="Old World Delicatessen"/>
    <x v="8"/>
    <n v="4"/>
    <n v="1"/>
    <s v="Speedy Express"/>
    <s v="Outback Lager"/>
    <n v="1"/>
    <x v="6"/>
    <n v="7"/>
    <s v="Pavlova, Ltd."/>
    <n v="15"/>
    <n v="315"/>
    <n v="0"/>
    <x v="0"/>
    <x v="0"/>
    <x v="3"/>
  </r>
  <r>
    <n v="39"/>
    <n v="10261"/>
    <n v="21"/>
    <n v="20"/>
    <x v="11"/>
    <n v="61"/>
    <s v="Que Delicia"/>
    <x v="1"/>
    <n v="4"/>
    <n v="2"/>
    <s v="United Package"/>
    <s v="Sir Rodney's Scones"/>
    <n v="3"/>
    <x v="5"/>
    <n v="8"/>
    <s v="Specialty Biscuits, Ltd."/>
    <n v="10"/>
    <n v="200"/>
    <n v="1"/>
    <x v="0"/>
    <x v="0"/>
    <x v="0"/>
  </r>
  <r>
    <n v="40"/>
    <n v="10261"/>
    <n v="35"/>
    <n v="20"/>
    <x v="11"/>
    <n v="61"/>
    <s v="Que Delicia"/>
    <x v="1"/>
    <n v="4"/>
    <n v="2"/>
    <s v="United Package"/>
    <s v="Steeleye Stout"/>
    <n v="1"/>
    <x v="6"/>
    <n v="16"/>
    <s v="Bigfoot Breweries"/>
    <n v="18"/>
    <n v="360"/>
    <n v="0"/>
    <x v="0"/>
    <x v="0"/>
    <x v="0"/>
  </r>
  <r>
    <n v="41"/>
    <n v="10262"/>
    <n v="5"/>
    <n v="12"/>
    <x v="12"/>
    <n v="65"/>
    <s v="Rattlesnake Canyon Grocery"/>
    <x v="8"/>
    <n v="8"/>
    <n v="3"/>
    <s v="Federal Shipping"/>
    <s v="Chef Anton's Gumbo Mix"/>
    <n v="2"/>
    <x v="4"/>
    <n v="2"/>
    <s v="New Orleans Cajun Delights"/>
    <n v="21"/>
    <n v="252"/>
    <n v="1"/>
    <x v="0"/>
    <x v="0"/>
    <x v="0"/>
  </r>
  <r>
    <n v="42"/>
    <n v="10262"/>
    <n v="7"/>
    <n v="15"/>
    <x v="12"/>
    <n v="65"/>
    <s v="Rattlesnake Canyon Grocery"/>
    <x v="8"/>
    <n v="8"/>
    <n v="3"/>
    <s v="Federal Shipping"/>
    <s v="Uncle Bob's Organic Dried Pears"/>
    <n v="7"/>
    <x v="2"/>
    <n v="3"/>
    <s v="Grandma Kelly's Homestead"/>
    <n v="30"/>
    <n v="450"/>
    <n v="0"/>
    <x v="0"/>
    <x v="0"/>
    <x v="0"/>
  </r>
  <r>
    <n v="43"/>
    <n v="10262"/>
    <n v="56"/>
    <n v="2"/>
    <x v="12"/>
    <n v="65"/>
    <s v="Rattlesnake Canyon Grocery"/>
    <x v="8"/>
    <n v="8"/>
    <n v="3"/>
    <s v="Federal Shipping"/>
    <s v="Gnocchi di nonna Alice"/>
    <n v="5"/>
    <x v="1"/>
    <n v="26"/>
    <s v="Pasta Buttini s.r.l."/>
    <n v="38"/>
    <n v="76"/>
    <n v="0"/>
    <x v="0"/>
    <x v="0"/>
    <x v="1"/>
  </r>
  <r>
    <n v="44"/>
    <n v="10263"/>
    <n v="16"/>
    <n v="60"/>
    <x v="13"/>
    <n v="20"/>
    <s v="Ernst Handel"/>
    <x v="6"/>
    <n v="9"/>
    <n v="3"/>
    <s v="Federal Shipping"/>
    <s v="Pavlova"/>
    <n v="3"/>
    <x v="5"/>
    <n v="7"/>
    <s v="Pavlova, Ltd."/>
    <n v="17"/>
    <n v="1020"/>
    <n v="1"/>
    <x v="0"/>
    <x v="0"/>
    <x v="5"/>
  </r>
  <r>
    <n v="45"/>
    <n v="10263"/>
    <n v="24"/>
    <n v="28"/>
    <x v="13"/>
    <n v="20"/>
    <s v="Ernst Handel"/>
    <x v="6"/>
    <n v="9"/>
    <n v="3"/>
    <s v="Federal Shipping"/>
    <s v="Guarana Fantastica"/>
    <n v="1"/>
    <x v="6"/>
    <n v="10"/>
    <s v="Refrescos Americanas LTDA"/>
    <n v="5"/>
    <n v="140"/>
    <n v="0"/>
    <x v="0"/>
    <x v="0"/>
    <x v="3"/>
  </r>
  <r>
    <n v="46"/>
    <n v="10263"/>
    <n v="30"/>
    <n v="60"/>
    <x v="13"/>
    <n v="20"/>
    <s v="Ernst Handel"/>
    <x v="6"/>
    <n v="9"/>
    <n v="3"/>
    <s v="Federal Shipping"/>
    <s v="Nord-Ost Matjeshering"/>
    <n v="8"/>
    <x v="3"/>
    <n v="13"/>
    <s v="Nord-Ost-Fisch Handelsgesellschaft mbH"/>
    <n v="26"/>
    <n v="1560"/>
    <n v="0"/>
    <x v="0"/>
    <x v="0"/>
    <x v="5"/>
  </r>
  <r>
    <n v="47"/>
    <n v="10263"/>
    <n v="74"/>
    <n v="36"/>
    <x v="13"/>
    <n v="20"/>
    <s v="Ernst Handel"/>
    <x v="6"/>
    <n v="9"/>
    <n v="3"/>
    <s v="Federal Shipping"/>
    <s v="Longlife Tofu"/>
    <n v="7"/>
    <x v="2"/>
    <n v="4"/>
    <s v="Tokyo Traders"/>
    <n v="10"/>
    <n v="360"/>
    <n v="0"/>
    <x v="0"/>
    <x v="0"/>
    <x v="2"/>
  </r>
  <r>
    <n v="48"/>
    <n v="10264"/>
    <n v="2"/>
    <n v="35"/>
    <x v="14"/>
    <n v="24"/>
    <s v="Folk och fa HB"/>
    <x v="9"/>
    <n v="6"/>
    <n v="3"/>
    <s v="Federal Shipping"/>
    <s v="Chang"/>
    <n v="1"/>
    <x v="6"/>
    <n v="1"/>
    <s v="Exotic Liquid"/>
    <n v="19"/>
    <n v="665"/>
    <n v="1"/>
    <x v="0"/>
    <x v="0"/>
    <x v="2"/>
  </r>
  <r>
    <n v="49"/>
    <n v="10264"/>
    <n v="41"/>
    <n v="25"/>
    <x v="14"/>
    <n v="24"/>
    <s v="Folk och fa HB"/>
    <x v="9"/>
    <n v="6"/>
    <n v="3"/>
    <s v="Federal Shipping"/>
    <s v="Jack's New England Clam Chowder"/>
    <n v="8"/>
    <x v="3"/>
    <n v="19"/>
    <s v="New England Seafood Cannery"/>
    <n v="10"/>
    <n v="250"/>
    <n v="0"/>
    <x v="0"/>
    <x v="0"/>
    <x v="3"/>
  </r>
  <r>
    <n v="50"/>
    <n v="10265"/>
    <n v="17"/>
    <n v="30"/>
    <x v="15"/>
    <n v="7"/>
    <s v="Blondel pere et fils"/>
    <x v="2"/>
    <n v="2"/>
    <n v="1"/>
    <s v="Speedy Express"/>
    <s v="Alice Mutton"/>
    <n v="6"/>
    <x v="7"/>
    <n v="7"/>
    <s v="Pavlova, Ltd."/>
    <n v="39"/>
    <n v="1170"/>
    <n v="1"/>
    <x v="0"/>
    <x v="0"/>
    <x v="3"/>
  </r>
  <r>
    <n v="51"/>
    <n v="10265"/>
    <n v="70"/>
    <n v="20"/>
    <x v="15"/>
    <n v="7"/>
    <s v="Blondel pere et fils"/>
    <x v="2"/>
    <n v="2"/>
    <n v="1"/>
    <s v="Speedy Express"/>
    <s v="Outback Lager"/>
    <n v="1"/>
    <x v="6"/>
    <n v="7"/>
    <s v="Pavlova, Ltd."/>
    <n v="15"/>
    <n v="300"/>
    <n v="0"/>
    <x v="0"/>
    <x v="0"/>
    <x v="0"/>
  </r>
  <r>
    <n v="52"/>
    <n v="10266"/>
    <n v="12"/>
    <n v="12"/>
    <x v="16"/>
    <n v="87"/>
    <s v="Wartian Herkku"/>
    <x v="0"/>
    <n v="3"/>
    <n v="3"/>
    <s v="Federal Shipping"/>
    <s v="Queso Manchego La Pastora"/>
    <n v="4"/>
    <x v="0"/>
    <n v="5"/>
    <s v="Cooperativa de Quesos 'Las Cabras'"/>
    <n v="38"/>
    <n v="456"/>
    <n v="1"/>
    <x v="0"/>
    <x v="0"/>
    <x v="0"/>
  </r>
  <r>
    <n v="53"/>
    <n v="10267"/>
    <n v="40"/>
    <n v="50"/>
    <x v="17"/>
    <n v="25"/>
    <s v="Frankenversand"/>
    <x v="10"/>
    <n v="4"/>
    <n v="1"/>
    <s v="Speedy Express"/>
    <s v="Boston Crab Meat"/>
    <n v="8"/>
    <x v="3"/>
    <n v="19"/>
    <s v="New England Seafood Cannery"/>
    <n v="18"/>
    <n v="900"/>
    <n v="1"/>
    <x v="0"/>
    <x v="0"/>
    <x v="4"/>
  </r>
  <r>
    <n v="54"/>
    <n v="10267"/>
    <n v="59"/>
    <n v="70"/>
    <x v="17"/>
    <n v="25"/>
    <s v="Frankenversand"/>
    <x v="10"/>
    <n v="4"/>
    <n v="1"/>
    <s v="Speedy Express"/>
    <s v="Raclette Courdavault"/>
    <n v="4"/>
    <x v="0"/>
    <n v="28"/>
    <s v="Gai paturage"/>
    <n v="55"/>
    <n v="3850"/>
    <n v="0"/>
    <x v="0"/>
    <x v="0"/>
    <x v="5"/>
  </r>
  <r>
    <n v="55"/>
    <n v="10267"/>
    <n v="76"/>
    <n v="15"/>
    <x v="17"/>
    <n v="25"/>
    <s v="Frankenversand"/>
    <x v="10"/>
    <n v="4"/>
    <n v="1"/>
    <s v="Speedy Express"/>
    <s v="Lakkalikoori"/>
    <n v="1"/>
    <x v="6"/>
    <n v="23"/>
    <s v="Karkki Oy"/>
    <n v="18"/>
    <n v="270"/>
    <n v="0"/>
    <x v="0"/>
    <x v="0"/>
    <x v="0"/>
  </r>
  <r>
    <n v="56"/>
    <n v="10268"/>
    <n v="29"/>
    <n v="10"/>
    <x v="18"/>
    <n v="33"/>
    <s v="GROSELLA-Restaurante"/>
    <x v="5"/>
    <n v="8"/>
    <n v="3"/>
    <s v="Federal Shipping"/>
    <s v="Thuringer Rostbratwurst"/>
    <n v="6"/>
    <x v="7"/>
    <n v="12"/>
    <s v="Plutzer Lebensmittelgro├ƒmarkte AG"/>
    <n v="124"/>
    <n v="1240"/>
    <n v="1"/>
    <x v="0"/>
    <x v="0"/>
    <x v="1"/>
  </r>
  <r>
    <n v="57"/>
    <n v="10268"/>
    <n v="72"/>
    <n v="4"/>
    <x v="18"/>
    <n v="33"/>
    <s v="GROSELLA-Restaurante"/>
    <x v="5"/>
    <n v="8"/>
    <n v="3"/>
    <s v="Federal Shipping"/>
    <s v="Mozzarella di Giovanni"/>
    <n v="4"/>
    <x v="0"/>
    <n v="14"/>
    <s v="Formaggi Fortini s.r.l."/>
    <n v="35"/>
    <n v="140"/>
    <n v="0"/>
    <x v="0"/>
    <x v="0"/>
    <x v="1"/>
  </r>
  <r>
    <n v="58"/>
    <n v="10269"/>
    <n v="33"/>
    <n v="60"/>
    <x v="19"/>
    <n v="89"/>
    <s v="White Clover Markets"/>
    <x v="8"/>
    <n v="5"/>
    <n v="1"/>
    <s v="Speedy Express"/>
    <s v="Geitost"/>
    <n v="4"/>
    <x v="0"/>
    <n v="15"/>
    <s v="Norske Meierier"/>
    <n v="3"/>
    <n v="180"/>
    <n v="1"/>
    <x v="0"/>
    <x v="0"/>
    <x v="5"/>
  </r>
  <r>
    <n v="59"/>
    <n v="10269"/>
    <n v="72"/>
    <n v="20"/>
    <x v="19"/>
    <n v="89"/>
    <s v="White Clover Markets"/>
    <x v="8"/>
    <n v="5"/>
    <n v="1"/>
    <s v="Speedy Express"/>
    <s v="Mozzarella di Giovanni"/>
    <n v="4"/>
    <x v="0"/>
    <n v="14"/>
    <s v="Formaggi Fortini s.r.l."/>
    <n v="35"/>
    <n v="700"/>
    <n v="0"/>
    <x v="0"/>
    <x v="0"/>
    <x v="0"/>
  </r>
  <r>
    <n v="60"/>
    <n v="10270"/>
    <n v="36"/>
    <n v="30"/>
    <x v="20"/>
    <n v="87"/>
    <s v="Wartian Herkku"/>
    <x v="0"/>
    <n v="1"/>
    <n v="1"/>
    <s v="Speedy Express"/>
    <s v="Inlagd Sill"/>
    <n v="8"/>
    <x v="3"/>
    <n v="17"/>
    <s v="Svensk Sjofoda AB"/>
    <n v="19"/>
    <n v="570"/>
    <n v="1"/>
    <x v="0"/>
    <x v="1"/>
    <x v="3"/>
  </r>
  <r>
    <n v="61"/>
    <n v="10270"/>
    <n v="43"/>
    <n v="25"/>
    <x v="20"/>
    <n v="87"/>
    <s v="Wartian Herkku"/>
    <x v="0"/>
    <n v="1"/>
    <n v="1"/>
    <s v="Speedy Express"/>
    <s v="Ipoh Coffee"/>
    <n v="1"/>
    <x v="6"/>
    <n v="20"/>
    <s v="Leka Trading"/>
    <n v="46"/>
    <n v="1150"/>
    <n v="0"/>
    <x v="0"/>
    <x v="1"/>
    <x v="3"/>
  </r>
  <r>
    <n v="62"/>
    <n v="10271"/>
    <n v="33"/>
    <n v="24"/>
    <x v="20"/>
    <n v="75"/>
    <s v="Split Rail Beer &amp; Ale"/>
    <x v="8"/>
    <n v="6"/>
    <n v="2"/>
    <s v="United Package"/>
    <s v="Geitost"/>
    <n v="4"/>
    <x v="0"/>
    <n v="15"/>
    <s v="Norske Meierier"/>
    <n v="3"/>
    <n v="72"/>
    <n v="1"/>
    <x v="0"/>
    <x v="1"/>
    <x v="3"/>
  </r>
  <r>
    <n v="63"/>
    <n v="10272"/>
    <n v="20"/>
    <n v="6"/>
    <x v="21"/>
    <n v="65"/>
    <s v="Rattlesnake Canyon Grocery"/>
    <x v="8"/>
    <n v="6"/>
    <n v="2"/>
    <s v="United Package"/>
    <s v="Sir Rodney's Marmalade"/>
    <n v="3"/>
    <x v="5"/>
    <n v="8"/>
    <s v="Specialty Biscuits, Ltd."/>
    <n v="81"/>
    <n v="486"/>
    <n v="1"/>
    <x v="0"/>
    <x v="1"/>
    <x v="1"/>
  </r>
  <r>
    <n v="64"/>
    <n v="10272"/>
    <n v="31"/>
    <n v="40"/>
    <x v="21"/>
    <n v="65"/>
    <s v="Rattlesnake Canyon Grocery"/>
    <x v="8"/>
    <n v="6"/>
    <n v="2"/>
    <s v="United Package"/>
    <s v="Gorgonzola Telino"/>
    <n v="4"/>
    <x v="0"/>
    <n v="14"/>
    <s v="Formaggi Fortini s.r.l."/>
    <n v="13"/>
    <n v="520"/>
    <n v="0"/>
    <x v="0"/>
    <x v="1"/>
    <x v="2"/>
  </r>
  <r>
    <n v="65"/>
    <n v="10272"/>
    <n v="72"/>
    <n v="24"/>
    <x v="21"/>
    <n v="65"/>
    <s v="Rattlesnake Canyon Grocery"/>
    <x v="8"/>
    <n v="6"/>
    <n v="2"/>
    <s v="United Package"/>
    <s v="Mozzarella di Giovanni"/>
    <n v="4"/>
    <x v="0"/>
    <n v="14"/>
    <s v="Formaggi Fortini s.r.l."/>
    <n v="35"/>
    <n v="840"/>
    <n v="0"/>
    <x v="0"/>
    <x v="1"/>
    <x v="3"/>
  </r>
  <r>
    <n v="66"/>
    <n v="10273"/>
    <n v="10"/>
    <n v="24"/>
    <x v="22"/>
    <n v="63"/>
    <s v="QUICK-Stop"/>
    <x v="10"/>
    <n v="3"/>
    <n v="3"/>
    <s v="Federal Shipping"/>
    <s v="Ikura"/>
    <n v="8"/>
    <x v="3"/>
    <n v="4"/>
    <s v="Tokyo Traders"/>
    <n v="31"/>
    <n v="744"/>
    <n v="1"/>
    <x v="0"/>
    <x v="1"/>
    <x v="3"/>
  </r>
  <r>
    <n v="67"/>
    <n v="10273"/>
    <n v="31"/>
    <n v="15"/>
    <x v="22"/>
    <n v="63"/>
    <s v="QUICK-Stop"/>
    <x v="10"/>
    <n v="3"/>
    <n v="3"/>
    <s v="Federal Shipping"/>
    <s v="Gorgonzola Telino"/>
    <n v="4"/>
    <x v="0"/>
    <n v="14"/>
    <s v="Formaggi Fortini s.r.l."/>
    <n v="13"/>
    <n v="195"/>
    <n v="0"/>
    <x v="0"/>
    <x v="1"/>
    <x v="0"/>
  </r>
  <r>
    <n v="68"/>
    <n v="10273"/>
    <n v="33"/>
    <n v="20"/>
    <x v="22"/>
    <n v="63"/>
    <s v="QUICK-Stop"/>
    <x v="10"/>
    <n v="3"/>
    <n v="3"/>
    <s v="Federal Shipping"/>
    <s v="Geitost"/>
    <n v="4"/>
    <x v="0"/>
    <n v="15"/>
    <s v="Norske Meierier"/>
    <n v="3"/>
    <n v="60"/>
    <n v="0"/>
    <x v="0"/>
    <x v="1"/>
    <x v="0"/>
  </r>
  <r>
    <n v="69"/>
    <n v="10273"/>
    <n v="40"/>
    <n v="60"/>
    <x v="22"/>
    <n v="63"/>
    <s v="QUICK-Stop"/>
    <x v="10"/>
    <n v="3"/>
    <n v="3"/>
    <s v="Federal Shipping"/>
    <s v="Boston Crab Meat"/>
    <n v="8"/>
    <x v="3"/>
    <n v="19"/>
    <s v="New England Seafood Cannery"/>
    <n v="18"/>
    <n v="1080"/>
    <n v="0"/>
    <x v="0"/>
    <x v="1"/>
    <x v="5"/>
  </r>
  <r>
    <n v="70"/>
    <n v="10273"/>
    <n v="76"/>
    <n v="33"/>
    <x v="22"/>
    <n v="63"/>
    <s v="QUICK-Stop"/>
    <x v="10"/>
    <n v="3"/>
    <n v="3"/>
    <s v="Federal Shipping"/>
    <s v="Lakkalikoori"/>
    <n v="1"/>
    <x v="6"/>
    <n v="23"/>
    <s v="Karkki Oy"/>
    <n v="18"/>
    <n v="594"/>
    <n v="0"/>
    <x v="0"/>
    <x v="1"/>
    <x v="2"/>
  </r>
  <r>
    <n v="71"/>
    <n v="10274"/>
    <n v="71"/>
    <n v="20"/>
    <x v="23"/>
    <n v="85"/>
    <s v="Vins et alcools Chevalier"/>
    <x v="2"/>
    <n v="6"/>
    <n v="1"/>
    <s v="Speedy Express"/>
    <s v="Fl├©temysost"/>
    <n v="4"/>
    <x v="0"/>
    <n v="15"/>
    <s v="Norske Meierier"/>
    <n v="22"/>
    <n v="440"/>
    <n v="1"/>
    <x v="0"/>
    <x v="1"/>
    <x v="0"/>
  </r>
  <r>
    <n v="72"/>
    <n v="10274"/>
    <n v="72"/>
    <n v="7"/>
    <x v="23"/>
    <n v="85"/>
    <s v="Vins et alcools Chevalier"/>
    <x v="2"/>
    <n v="6"/>
    <n v="1"/>
    <s v="Speedy Express"/>
    <s v="Mozzarella di Giovanni"/>
    <n v="4"/>
    <x v="0"/>
    <n v="14"/>
    <s v="Formaggi Fortini s.r.l."/>
    <n v="35"/>
    <n v="245"/>
    <n v="0"/>
    <x v="0"/>
    <x v="1"/>
    <x v="1"/>
  </r>
  <r>
    <n v="73"/>
    <n v="10275"/>
    <n v="24"/>
    <n v="12"/>
    <x v="24"/>
    <n v="49"/>
    <s v="Magazzini Alimentari Riuniti"/>
    <x v="11"/>
    <n v="1"/>
    <n v="1"/>
    <s v="Speedy Express"/>
    <s v="Guarana Fantastica"/>
    <n v="1"/>
    <x v="6"/>
    <n v="10"/>
    <s v="Refrescos Americanas LTDA"/>
    <n v="5"/>
    <n v="60"/>
    <n v="1"/>
    <x v="0"/>
    <x v="1"/>
    <x v="0"/>
  </r>
  <r>
    <n v="74"/>
    <n v="10275"/>
    <n v="59"/>
    <n v="6"/>
    <x v="24"/>
    <n v="49"/>
    <s v="Magazzini Alimentari Riuniti"/>
    <x v="11"/>
    <n v="1"/>
    <n v="1"/>
    <s v="Speedy Express"/>
    <s v="Raclette Courdavault"/>
    <n v="4"/>
    <x v="0"/>
    <n v="28"/>
    <s v="Gai paturage"/>
    <n v="55"/>
    <n v="330"/>
    <n v="0"/>
    <x v="0"/>
    <x v="1"/>
    <x v="1"/>
  </r>
  <r>
    <n v="75"/>
    <n v="10276"/>
    <n v="10"/>
    <n v="15"/>
    <x v="25"/>
    <n v="80"/>
    <s v="Tortuga Restaurante"/>
    <x v="7"/>
    <n v="8"/>
    <n v="3"/>
    <s v="Federal Shipping"/>
    <s v="Ikura"/>
    <n v="8"/>
    <x v="3"/>
    <n v="4"/>
    <s v="Tokyo Traders"/>
    <n v="31"/>
    <n v="465"/>
    <n v="1"/>
    <x v="0"/>
    <x v="1"/>
    <x v="0"/>
  </r>
  <r>
    <n v="76"/>
    <n v="10276"/>
    <n v="13"/>
    <n v="10"/>
    <x v="25"/>
    <n v="80"/>
    <s v="Tortuga Restaurante"/>
    <x v="7"/>
    <n v="8"/>
    <n v="3"/>
    <s v="Federal Shipping"/>
    <s v="Konbu"/>
    <n v="8"/>
    <x v="3"/>
    <n v="6"/>
    <s v="Mayumi's"/>
    <n v="6"/>
    <n v="60"/>
    <n v="0"/>
    <x v="0"/>
    <x v="1"/>
    <x v="1"/>
  </r>
  <r>
    <n v="77"/>
    <n v="10277"/>
    <n v="28"/>
    <n v="20"/>
    <x v="26"/>
    <n v="52"/>
    <s v="Morgenstern Gesundkost"/>
    <x v="10"/>
    <n v="2"/>
    <n v="3"/>
    <s v="Federal Shipping"/>
    <s v="Rossle Sauerkraut"/>
    <n v="7"/>
    <x v="2"/>
    <n v="12"/>
    <s v="Plutzer Lebensmittelgro├ƒmarkte AG"/>
    <n v="46"/>
    <n v="920"/>
    <n v="1"/>
    <x v="0"/>
    <x v="1"/>
    <x v="0"/>
  </r>
  <r>
    <n v="78"/>
    <n v="10277"/>
    <n v="62"/>
    <n v="12"/>
    <x v="26"/>
    <n v="52"/>
    <s v="Morgenstern Gesundkost"/>
    <x v="10"/>
    <n v="2"/>
    <n v="3"/>
    <s v="Federal Shipping"/>
    <s v="Tarte au sucre"/>
    <n v="3"/>
    <x v="5"/>
    <n v="29"/>
    <s v="Forets d'erables"/>
    <n v="49"/>
    <n v="588"/>
    <n v="0"/>
    <x v="0"/>
    <x v="1"/>
    <x v="0"/>
  </r>
  <r>
    <n v="79"/>
    <n v="10278"/>
    <n v="44"/>
    <n v="16"/>
    <x v="27"/>
    <n v="5"/>
    <s v="Berglunds snabbkop"/>
    <x v="9"/>
    <n v="8"/>
    <n v="2"/>
    <s v="United Package"/>
    <s v="Gula Malacca"/>
    <n v="2"/>
    <x v="4"/>
    <n v="20"/>
    <s v="Leka Trading"/>
    <n v="19"/>
    <n v="304"/>
    <n v="1"/>
    <x v="0"/>
    <x v="1"/>
    <x v="0"/>
  </r>
  <r>
    <n v="80"/>
    <n v="10278"/>
    <n v="59"/>
    <n v="15"/>
    <x v="27"/>
    <n v="5"/>
    <s v="Berglunds snabbkop"/>
    <x v="9"/>
    <n v="8"/>
    <n v="2"/>
    <s v="United Package"/>
    <s v="Raclette Courdavault"/>
    <n v="4"/>
    <x v="0"/>
    <n v="28"/>
    <s v="Gai paturage"/>
    <n v="55"/>
    <n v="825"/>
    <n v="0"/>
    <x v="0"/>
    <x v="1"/>
    <x v="0"/>
  </r>
  <r>
    <n v="81"/>
    <n v="10278"/>
    <n v="63"/>
    <n v="8"/>
    <x v="27"/>
    <n v="5"/>
    <s v="Berglunds snabbkop"/>
    <x v="9"/>
    <n v="8"/>
    <n v="2"/>
    <s v="United Package"/>
    <s v="Vegie-spread"/>
    <n v="2"/>
    <x v="4"/>
    <n v="7"/>
    <s v="Pavlova, Ltd."/>
    <n v="44"/>
    <n v="352"/>
    <n v="0"/>
    <x v="0"/>
    <x v="1"/>
    <x v="1"/>
  </r>
  <r>
    <n v="82"/>
    <n v="10278"/>
    <n v="73"/>
    <n v="25"/>
    <x v="27"/>
    <n v="5"/>
    <s v="Berglunds snabbkop"/>
    <x v="9"/>
    <n v="8"/>
    <n v="2"/>
    <s v="United Package"/>
    <s v="Rod Kaviar"/>
    <n v="8"/>
    <x v="3"/>
    <n v="17"/>
    <s v="Svensk Sjofoda AB"/>
    <n v="15"/>
    <n v="375"/>
    <n v="0"/>
    <x v="0"/>
    <x v="1"/>
    <x v="3"/>
  </r>
  <r>
    <n v="83"/>
    <n v="10279"/>
    <n v="17"/>
    <n v="15"/>
    <x v="28"/>
    <n v="44"/>
    <s v="Lehmanns Marktstand"/>
    <x v="10"/>
    <n v="8"/>
    <n v="2"/>
    <s v="United Package"/>
    <s v="Alice Mutton"/>
    <n v="6"/>
    <x v="7"/>
    <n v="7"/>
    <s v="Pavlova, Ltd."/>
    <n v="39"/>
    <n v="585"/>
    <n v="1"/>
    <x v="0"/>
    <x v="1"/>
    <x v="0"/>
  </r>
  <r>
    <n v="84"/>
    <n v="10280"/>
    <n v="24"/>
    <n v="12"/>
    <x v="29"/>
    <n v="5"/>
    <s v="Berglunds snabbkop"/>
    <x v="9"/>
    <n v="2"/>
    <n v="1"/>
    <s v="Speedy Express"/>
    <s v="Guarana Fantastica"/>
    <n v="1"/>
    <x v="6"/>
    <n v="10"/>
    <s v="Refrescos Americanas LTDA"/>
    <n v="5"/>
    <n v="60"/>
    <n v="1"/>
    <x v="0"/>
    <x v="1"/>
    <x v="0"/>
  </r>
  <r>
    <n v="85"/>
    <n v="10280"/>
    <n v="55"/>
    <n v="20"/>
    <x v="29"/>
    <n v="5"/>
    <s v="Berglunds snabbkop"/>
    <x v="9"/>
    <n v="2"/>
    <n v="1"/>
    <s v="Speedy Express"/>
    <s v="Pate chinois"/>
    <n v="6"/>
    <x v="7"/>
    <n v="25"/>
    <s v="Ma Maison"/>
    <n v="24"/>
    <n v="480"/>
    <n v="0"/>
    <x v="0"/>
    <x v="1"/>
    <x v="0"/>
  </r>
  <r>
    <n v="86"/>
    <n v="10280"/>
    <n v="75"/>
    <n v="30"/>
    <x v="29"/>
    <n v="5"/>
    <s v="Berglunds snabbkop"/>
    <x v="9"/>
    <n v="2"/>
    <n v="1"/>
    <s v="Speedy Express"/>
    <s v="Rhonbrau Klosterbier"/>
    <n v="1"/>
    <x v="6"/>
    <n v="12"/>
    <s v="Plutzer Lebensmittelgro├ƒmarkte AG"/>
    <n v="8"/>
    <n v="240"/>
    <n v="0"/>
    <x v="0"/>
    <x v="1"/>
    <x v="3"/>
  </r>
  <r>
    <n v="87"/>
    <n v="10281"/>
    <n v="19"/>
    <n v="1"/>
    <x v="29"/>
    <n v="69"/>
    <s v="Romero y tomillo"/>
    <x v="12"/>
    <n v="4"/>
    <n v="1"/>
    <s v="Speedy Express"/>
    <s v="Teatime Chocolate Biscuits"/>
    <n v="3"/>
    <x v="5"/>
    <n v="8"/>
    <s v="Specialty Biscuits, Ltd."/>
    <n v="9"/>
    <n v="9"/>
    <n v="1"/>
    <x v="0"/>
    <x v="1"/>
    <x v="1"/>
  </r>
  <r>
    <n v="88"/>
    <n v="10281"/>
    <n v="24"/>
    <n v="6"/>
    <x v="29"/>
    <n v="69"/>
    <s v="Romero y tomillo"/>
    <x v="12"/>
    <n v="4"/>
    <n v="1"/>
    <s v="Speedy Express"/>
    <s v="Guarana Fantastica"/>
    <n v="1"/>
    <x v="6"/>
    <n v="10"/>
    <s v="Refrescos Americanas LTDA"/>
    <n v="5"/>
    <n v="30"/>
    <n v="0"/>
    <x v="0"/>
    <x v="1"/>
    <x v="1"/>
  </r>
  <r>
    <n v="89"/>
    <n v="10281"/>
    <n v="35"/>
    <n v="4"/>
    <x v="29"/>
    <n v="69"/>
    <s v="Romero y tomillo"/>
    <x v="12"/>
    <n v="4"/>
    <n v="1"/>
    <s v="Speedy Express"/>
    <s v="Steeleye Stout"/>
    <n v="1"/>
    <x v="6"/>
    <n v="16"/>
    <s v="Bigfoot Breweries"/>
    <n v="18"/>
    <n v="72"/>
    <n v="0"/>
    <x v="0"/>
    <x v="1"/>
    <x v="1"/>
  </r>
  <r>
    <n v="90"/>
    <n v="10282"/>
    <n v="30"/>
    <n v="6"/>
    <x v="30"/>
    <n v="69"/>
    <s v="Romero y tomillo"/>
    <x v="12"/>
    <n v="4"/>
    <n v="1"/>
    <s v="Speedy Express"/>
    <s v="Nord-Ost Matjeshering"/>
    <n v="8"/>
    <x v="3"/>
    <n v="13"/>
    <s v="Nord-Ost-Fisch Handelsgesellschaft mbH"/>
    <n v="26"/>
    <n v="156"/>
    <n v="1"/>
    <x v="0"/>
    <x v="1"/>
    <x v="1"/>
  </r>
  <r>
    <n v="91"/>
    <n v="10282"/>
    <n v="57"/>
    <n v="2"/>
    <x v="30"/>
    <n v="69"/>
    <s v="Romero y tomillo"/>
    <x v="12"/>
    <n v="4"/>
    <n v="1"/>
    <s v="Speedy Express"/>
    <s v="Ravioli Angelo"/>
    <n v="5"/>
    <x v="1"/>
    <n v="26"/>
    <s v="Pasta Buttini s.r.l."/>
    <n v="20"/>
    <n v="40"/>
    <n v="0"/>
    <x v="0"/>
    <x v="1"/>
    <x v="1"/>
  </r>
  <r>
    <n v="92"/>
    <n v="10283"/>
    <n v="15"/>
    <n v="20"/>
    <x v="31"/>
    <n v="46"/>
    <s v="LILA-Supermercado"/>
    <x v="5"/>
    <n v="3"/>
    <n v="3"/>
    <s v="Federal Shipping"/>
    <s v="Genen Shouyu"/>
    <n v="2"/>
    <x v="4"/>
    <n v="6"/>
    <s v="Mayumi's"/>
    <n v="16"/>
    <n v="320"/>
    <n v="1"/>
    <x v="0"/>
    <x v="1"/>
    <x v="0"/>
  </r>
  <r>
    <n v="93"/>
    <n v="10283"/>
    <n v="19"/>
    <n v="18"/>
    <x v="31"/>
    <n v="46"/>
    <s v="LILA-Supermercado"/>
    <x v="5"/>
    <n v="3"/>
    <n v="3"/>
    <s v="Federal Shipping"/>
    <s v="Teatime Chocolate Biscuits"/>
    <n v="3"/>
    <x v="5"/>
    <n v="8"/>
    <s v="Specialty Biscuits, Ltd."/>
    <n v="9"/>
    <n v="162"/>
    <n v="0"/>
    <x v="0"/>
    <x v="1"/>
    <x v="0"/>
  </r>
  <r>
    <n v="94"/>
    <n v="10283"/>
    <n v="60"/>
    <n v="35"/>
    <x v="31"/>
    <n v="46"/>
    <s v="LILA-Supermercado"/>
    <x v="5"/>
    <n v="3"/>
    <n v="3"/>
    <s v="Federal Shipping"/>
    <s v="Camembert Pierrot"/>
    <n v="4"/>
    <x v="0"/>
    <n v="28"/>
    <s v="Gai paturage"/>
    <n v="34"/>
    <n v="1190"/>
    <n v="0"/>
    <x v="0"/>
    <x v="1"/>
    <x v="2"/>
  </r>
  <r>
    <n v="95"/>
    <n v="10283"/>
    <n v="72"/>
    <n v="3"/>
    <x v="31"/>
    <n v="46"/>
    <s v="LILA-Supermercado"/>
    <x v="5"/>
    <n v="3"/>
    <n v="3"/>
    <s v="Federal Shipping"/>
    <s v="Mozzarella di Giovanni"/>
    <n v="4"/>
    <x v="0"/>
    <n v="14"/>
    <s v="Formaggi Fortini s.r.l."/>
    <n v="35"/>
    <n v="105"/>
    <n v="0"/>
    <x v="0"/>
    <x v="1"/>
    <x v="1"/>
  </r>
  <r>
    <n v="96"/>
    <n v="10284"/>
    <n v="27"/>
    <n v="15"/>
    <x v="32"/>
    <n v="44"/>
    <s v="Lehmanns Marktstand"/>
    <x v="10"/>
    <n v="4"/>
    <n v="1"/>
    <s v="Speedy Express"/>
    <s v="Schoggi Schokolade"/>
    <n v="3"/>
    <x v="5"/>
    <n v="11"/>
    <s v="Heli Su├ƒwaren GmbH &amp; Co. KG"/>
    <n v="44"/>
    <n v="660"/>
    <n v="1"/>
    <x v="0"/>
    <x v="1"/>
    <x v="0"/>
  </r>
  <r>
    <n v="97"/>
    <n v="10284"/>
    <n v="44"/>
    <n v="21"/>
    <x v="32"/>
    <n v="44"/>
    <s v="Lehmanns Marktstand"/>
    <x v="10"/>
    <n v="4"/>
    <n v="1"/>
    <s v="Speedy Express"/>
    <s v="Gula Malacca"/>
    <n v="2"/>
    <x v="4"/>
    <n v="20"/>
    <s v="Leka Trading"/>
    <n v="19"/>
    <n v="399"/>
    <n v="0"/>
    <x v="0"/>
    <x v="1"/>
    <x v="3"/>
  </r>
  <r>
    <n v="98"/>
    <n v="10284"/>
    <n v="60"/>
    <n v="20"/>
    <x v="32"/>
    <n v="44"/>
    <s v="Lehmanns Marktstand"/>
    <x v="10"/>
    <n v="4"/>
    <n v="1"/>
    <s v="Speedy Express"/>
    <s v="Camembert Pierrot"/>
    <n v="4"/>
    <x v="0"/>
    <n v="28"/>
    <s v="Gai paturage"/>
    <n v="34"/>
    <n v="680"/>
    <n v="0"/>
    <x v="0"/>
    <x v="1"/>
    <x v="0"/>
  </r>
  <r>
    <n v="99"/>
    <n v="10284"/>
    <n v="67"/>
    <n v="5"/>
    <x v="32"/>
    <n v="44"/>
    <s v="Lehmanns Marktstand"/>
    <x v="10"/>
    <n v="4"/>
    <n v="1"/>
    <s v="Speedy Express"/>
    <s v="Laughing Lumberjack Lager"/>
    <n v="1"/>
    <x v="6"/>
    <n v="16"/>
    <s v="Bigfoot Breweries"/>
    <n v="14"/>
    <n v="70"/>
    <n v="0"/>
    <x v="0"/>
    <x v="1"/>
    <x v="1"/>
  </r>
  <r>
    <n v="100"/>
    <n v="10285"/>
    <n v="1"/>
    <n v="45"/>
    <x v="33"/>
    <n v="63"/>
    <s v="QUICK-Stop"/>
    <x v="10"/>
    <n v="1"/>
    <n v="2"/>
    <s v="United Package"/>
    <s v="Chais"/>
    <n v="1"/>
    <x v="6"/>
    <n v="1"/>
    <s v="Exotic Liquid"/>
    <n v="18"/>
    <n v="810"/>
    <n v="1"/>
    <x v="0"/>
    <x v="1"/>
    <x v="4"/>
  </r>
  <r>
    <n v="101"/>
    <n v="10285"/>
    <n v="40"/>
    <n v="40"/>
    <x v="33"/>
    <n v="63"/>
    <s v="QUICK-Stop"/>
    <x v="10"/>
    <n v="1"/>
    <n v="2"/>
    <s v="United Package"/>
    <s v="Boston Crab Meat"/>
    <n v="8"/>
    <x v="3"/>
    <n v="19"/>
    <s v="New England Seafood Cannery"/>
    <n v="18"/>
    <n v="720"/>
    <n v="0"/>
    <x v="0"/>
    <x v="1"/>
    <x v="2"/>
  </r>
  <r>
    <n v="102"/>
    <n v="10285"/>
    <n v="53"/>
    <n v="36"/>
    <x v="33"/>
    <n v="63"/>
    <s v="QUICK-Stop"/>
    <x v="10"/>
    <n v="1"/>
    <n v="2"/>
    <s v="United Package"/>
    <s v="Perth Pasties"/>
    <n v="6"/>
    <x v="7"/>
    <n v="24"/>
    <s v="G'day, Mate"/>
    <n v="33"/>
    <n v="1188"/>
    <n v="0"/>
    <x v="0"/>
    <x v="1"/>
    <x v="2"/>
  </r>
  <r>
    <n v="103"/>
    <n v="10286"/>
    <n v="35"/>
    <n v="100"/>
    <x v="34"/>
    <n v="63"/>
    <s v="QUICK-Stop"/>
    <x v="10"/>
    <n v="8"/>
    <n v="3"/>
    <s v="Federal Shipping"/>
    <s v="Steeleye Stout"/>
    <n v="1"/>
    <x v="6"/>
    <n v="16"/>
    <s v="Bigfoot Breweries"/>
    <n v="18"/>
    <n v="1800"/>
    <n v="1"/>
    <x v="0"/>
    <x v="1"/>
    <x v="5"/>
  </r>
  <r>
    <n v="104"/>
    <n v="10286"/>
    <n v="62"/>
    <n v="40"/>
    <x v="34"/>
    <n v="63"/>
    <s v="QUICK-Stop"/>
    <x v="10"/>
    <n v="8"/>
    <n v="3"/>
    <s v="Federal Shipping"/>
    <s v="Tarte au sucre"/>
    <n v="3"/>
    <x v="5"/>
    <n v="29"/>
    <s v="Forets d'erables"/>
    <n v="49"/>
    <n v="1960"/>
    <n v="0"/>
    <x v="0"/>
    <x v="1"/>
    <x v="2"/>
  </r>
  <r>
    <n v="105"/>
    <n v="10287"/>
    <n v="16"/>
    <n v="40"/>
    <x v="35"/>
    <n v="67"/>
    <s v="Ricardo Adocicados"/>
    <x v="1"/>
    <n v="8"/>
    <n v="3"/>
    <s v="Federal Shipping"/>
    <s v="Pavlova"/>
    <n v="3"/>
    <x v="5"/>
    <n v="7"/>
    <s v="Pavlova, Ltd."/>
    <n v="17"/>
    <n v="680"/>
    <n v="1"/>
    <x v="0"/>
    <x v="1"/>
    <x v="2"/>
  </r>
  <r>
    <n v="106"/>
    <n v="10287"/>
    <n v="34"/>
    <n v="20"/>
    <x v="35"/>
    <n v="67"/>
    <s v="Ricardo Adocicados"/>
    <x v="1"/>
    <n v="8"/>
    <n v="3"/>
    <s v="Federal Shipping"/>
    <s v="Sasquatch Ale"/>
    <n v="1"/>
    <x v="6"/>
    <n v="16"/>
    <s v="Bigfoot Breweries"/>
    <n v="14"/>
    <n v="280"/>
    <n v="0"/>
    <x v="0"/>
    <x v="1"/>
    <x v="0"/>
  </r>
  <r>
    <n v="107"/>
    <n v="10287"/>
    <n v="46"/>
    <n v="15"/>
    <x v="35"/>
    <n v="67"/>
    <s v="Ricardo Adocicados"/>
    <x v="1"/>
    <n v="8"/>
    <n v="3"/>
    <s v="Federal Shipping"/>
    <s v="Spegesild"/>
    <n v="8"/>
    <x v="3"/>
    <n v="21"/>
    <s v="Lyngbysild"/>
    <n v="12"/>
    <n v="180"/>
    <n v="0"/>
    <x v="0"/>
    <x v="1"/>
    <x v="0"/>
  </r>
  <r>
    <n v="108"/>
    <n v="10288"/>
    <n v="54"/>
    <n v="10"/>
    <x v="36"/>
    <n v="66"/>
    <s v="Reggiani Caseifici"/>
    <x v="11"/>
    <n v="4"/>
    <n v="1"/>
    <s v="Speedy Express"/>
    <s v="Tourtiere"/>
    <n v="6"/>
    <x v="7"/>
    <n v="25"/>
    <s v="Ma Maison"/>
    <n v="7"/>
    <n v="70"/>
    <n v="1"/>
    <x v="0"/>
    <x v="1"/>
    <x v="1"/>
  </r>
  <r>
    <n v="109"/>
    <n v="10288"/>
    <n v="68"/>
    <n v="3"/>
    <x v="36"/>
    <n v="66"/>
    <s v="Reggiani Caseifici"/>
    <x v="11"/>
    <n v="4"/>
    <n v="1"/>
    <s v="Speedy Express"/>
    <s v="Scottish Longbreads"/>
    <n v="3"/>
    <x v="5"/>
    <n v="8"/>
    <s v="Specialty Biscuits, Ltd."/>
    <n v="13"/>
    <n v="39"/>
    <n v="0"/>
    <x v="0"/>
    <x v="1"/>
    <x v="1"/>
  </r>
  <r>
    <n v="110"/>
    <n v="10289"/>
    <n v="3"/>
    <n v="30"/>
    <x v="37"/>
    <n v="11"/>
    <s v="B''s Beverages"/>
    <x v="13"/>
    <n v="7"/>
    <n v="3"/>
    <s v="Federal Shipping"/>
    <s v="Aniseed Syrup"/>
    <n v="2"/>
    <x v="4"/>
    <n v="1"/>
    <s v="Exotic Liquid"/>
    <n v="10"/>
    <n v="300"/>
    <n v="1"/>
    <x v="0"/>
    <x v="1"/>
    <x v="3"/>
  </r>
  <r>
    <n v="111"/>
    <n v="10289"/>
    <n v="64"/>
    <n v="9"/>
    <x v="37"/>
    <n v="11"/>
    <s v="B''s Beverages"/>
    <x v="13"/>
    <n v="7"/>
    <n v="3"/>
    <s v="Federal Shipping"/>
    <s v="Wimmers gute Semmelknodel"/>
    <n v="5"/>
    <x v="1"/>
    <n v="12"/>
    <s v="Plutzer Lebensmittelgro├ƒmarkte AG"/>
    <n v="33"/>
    <n v="297"/>
    <n v="0"/>
    <x v="0"/>
    <x v="1"/>
    <x v="1"/>
  </r>
  <r>
    <n v="112"/>
    <n v="10290"/>
    <n v="5"/>
    <n v="20"/>
    <x v="38"/>
    <n v="15"/>
    <s v="Comercio Mineiro"/>
    <x v="1"/>
    <n v="8"/>
    <n v="1"/>
    <s v="Speedy Express"/>
    <s v="Chef Anton's Gumbo Mix"/>
    <n v="2"/>
    <x v="4"/>
    <n v="2"/>
    <s v="New Orleans Cajun Delights"/>
    <n v="21"/>
    <n v="420"/>
    <n v="1"/>
    <x v="0"/>
    <x v="1"/>
    <x v="0"/>
  </r>
  <r>
    <n v="113"/>
    <n v="10290"/>
    <n v="29"/>
    <n v="15"/>
    <x v="38"/>
    <n v="15"/>
    <s v="Comercio Mineiro"/>
    <x v="1"/>
    <n v="8"/>
    <n v="1"/>
    <s v="Speedy Express"/>
    <s v="Thuringer Rostbratwurst"/>
    <n v="6"/>
    <x v="7"/>
    <n v="12"/>
    <s v="Plutzer Lebensmittelgro├ƒmarkte AG"/>
    <n v="124"/>
    <n v="1860"/>
    <n v="0"/>
    <x v="0"/>
    <x v="1"/>
    <x v="0"/>
  </r>
  <r>
    <n v="114"/>
    <n v="10290"/>
    <n v="49"/>
    <n v="15"/>
    <x v="38"/>
    <n v="15"/>
    <s v="Comercio Mineiro"/>
    <x v="1"/>
    <n v="8"/>
    <n v="1"/>
    <s v="Speedy Express"/>
    <s v="Maxilaku"/>
    <n v="3"/>
    <x v="5"/>
    <n v="23"/>
    <s v="Karkki Oy"/>
    <n v="20"/>
    <n v="300"/>
    <n v="0"/>
    <x v="0"/>
    <x v="1"/>
    <x v="0"/>
  </r>
  <r>
    <n v="115"/>
    <n v="10290"/>
    <n v="77"/>
    <n v="10"/>
    <x v="38"/>
    <n v="15"/>
    <s v="Comercio Mineiro"/>
    <x v="1"/>
    <n v="8"/>
    <n v="1"/>
    <s v="Speedy Express"/>
    <s v="Original Frankfurter grune So├ƒe"/>
    <n v="2"/>
    <x v="4"/>
    <n v="12"/>
    <s v="Plutzer Lebensmittelgro├ƒmarkte AG"/>
    <n v="13"/>
    <n v="130"/>
    <n v="0"/>
    <x v="0"/>
    <x v="1"/>
    <x v="1"/>
  </r>
  <r>
    <n v="116"/>
    <n v="10291"/>
    <n v="13"/>
    <n v="20"/>
    <x v="38"/>
    <n v="61"/>
    <s v="Que Delicia"/>
    <x v="1"/>
    <n v="6"/>
    <n v="2"/>
    <s v="United Package"/>
    <s v="Konbu"/>
    <n v="8"/>
    <x v="3"/>
    <n v="6"/>
    <s v="Mayumi's"/>
    <n v="6"/>
    <n v="120"/>
    <n v="1"/>
    <x v="0"/>
    <x v="1"/>
    <x v="0"/>
  </r>
  <r>
    <n v="117"/>
    <n v="10291"/>
    <n v="44"/>
    <n v="24"/>
    <x v="38"/>
    <n v="61"/>
    <s v="Que Delicia"/>
    <x v="1"/>
    <n v="6"/>
    <n v="2"/>
    <s v="United Package"/>
    <s v="Gula Malacca"/>
    <n v="2"/>
    <x v="4"/>
    <n v="20"/>
    <s v="Leka Trading"/>
    <n v="19"/>
    <n v="456"/>
    <n v="0"/>
    <x v="0"/>
    <x v="1"/>
    <x v="3"/>
  </r>
  <r>
    <n v="118"/>
    <n v="10291"/>
    <n v="51"/>
    <n v="2"/>
    <x v="38"/>
    <n v="61"/>
    <s v="Que Delicia"/>
    <x v="1"/>
    <n v="6"/>
    <n v="2"/>
    <s v="United Package"/>
    <s v="Manjimup Dried Apples"/>
    <n v="7"/>
    <x v="2"/>
    <n v="24"/>
    <s v="G'day, Mate"/>
    <n v="53"/>
    <n v="106"/>
    <n v="0"/>
    <x v="0"/>
    <x v="1"/>
    <x v="1"/>
  </r>
  <r>
    <n v="119"/>
    <n v="10292"/>
    <n v="20"/>
    <n v="20"/>
    <x v="39"/>
    <n v="81"/>
    <s v="Tradicao Hipermercados"/>
    <x v="1"/>
    <n v="1"/>
    <n v="2"/>
    <s v="United Package"/>
    <s v="Sir Rodney's Marmalade"/>
    <n v="3"/>
    <x v="5"/>
    <n v="8"/>
    <s v="Specialty Biscuits, Ltd."/>
    <n v="81"/>
    <n v="1620"/>
    <n v="1"/>
    <x v="0"/>
    <x v="1"/>
    <x v="0"/>
  </r>
  <r>
    <n v="120"/>
    <n v="10293"/>
    <n v="18"/>
    <n v="12"/>
    <x v="40"/>
    <n v="80"/>
    <s v="Tortuga Restaurante"/>
    <x v="7"/>
    <n v="1"/>
    <n v="3"/>
    <s v="Federal Shipping"/>
    <s v="Carnarvon Tigers"/>
    <n v="8"/>
    <x v="3"/>
    <n v="7"/>
    <s v="Pavlova, Ltd."/>
    <n v="63"/>
    <n v="756"/>
    <n v="1"/>
    <x v="0"/>
    <x v="1"/>
    <x v="0"/>
  </r>
  <r>
    <n v="121"/>
    <n v="10293"/>
    <n v="24"/>
    <n v="10"/>
    <x v="40"/>
    <n v="80"/>
    <s v="Tortuga Restaurante"/>
    <x v="7"/>
    <n v="1"/>
    <n v="3"/>
    <s v="Federal Shipping"/>
    <s v="Guarana Fantastica"/>
    <n v="1"/>
    <x v="6"/>
    <n v="10"/>
    <s v="Refrescos Americanas LTDA"/>
    <n v="5"/>
    <n v="50"/>
    <n v="0"/>
    <x v="0"/>
    <x v="1"/>
    <x v="1"/>
  </r>
  <r>
    <n v="122"/>
    <n v="10293"/>
    <n v="63"/>
    <n v="5"/>
    <x v="40"/>
    <n v="80"/>
    <s v="Tortuga Restaurante"/>
    <x v="7"/>
    <n v="1"/>
    <n v="3"/>
    <s v="Federal Shipping"/>
    <s v="Vegie-spread"/>
    <n v="2"/>
    <x v="4"/>
    <n v="7"/>
    <s v="Pavlova, Ltd."/>
    <n v="44"/>
    <n v="220"/>
    <n v="0"/>
    <x v="0"/>
    <x v="1"/>
    <x v="1"/>
  </r>
  <r>
    <n v="123"/>
    <n v="10293"/>
    <n v="75"/>
    <n v="6"/>
    <x v="40"/>
    <n v="80"/>
    <s v="Tortuga Restaurante"/>
    <x v="7"/>
    <n v="1"/>
    <n v="3"/>
    <s v="Federal Shipping"/>
    <s v="Rhonbrau Klosterbier"/>
    <n v="1"/>
    <x v="6"/>
    <n v="12"/>
    <s v="Plutzer Lebensmittelgro├ƒmarkte AG"/>
    <n v="8"/>
    <n v="48"/>
    <n v="0"/>
    <x v="0"/>
    <x v="1"/>
    <x v="1"/>
  </r>
  <r>
    <n v="124"/>
    <n v="10294"/>
    <n v="1"/>
    <n v="18"/>
    <x v="41"/>
    <n v="65"/>
    <s v="Rattlesnake Canyon Grocery"/>
    <x v="8"/>
    <n v="4"/>
    <n v="2"/>
    <s v="United Package"/>
    <s v="Chais"/>
    <n v="1"/>
    <x v="6"/>
    <n v="1"/>
    <s v="Exotic Liquid"/>
    <n v="18"/>
    <n v="324"/>
    <n v="1"/>
    <x v="0"/>
    <x v="1"/>
    <x v="0"/>
  </r>
  <r>
    <n v="125"/>
    <n v="10294"/>
    <n v="17"/>
    <n v="15"/>
    <x v="41"/>
    <n v="65"/>
    <s v="Rattlesnake Canyon Grocery"/>
    <x v="8"/>
    <n v="4"/>
    <n v="2"/>
    <s v="United Package"/>
    <s v="Alice Mutton"/>
    <n v="6"/>
    <x v="7"/>
    <n v="7"/>
    <s v="Pavlova, Ltd."/>
    <n v="39"/>
    <n v="585"/>
    <n v="0"/>
    <x v="0"/>
    <x v="1"/>
    <x v="0"/>
  </r>
  <r>
    <n v="126"/>
    <n v="10294"/>
    <n v="43"/>
    <n v="15"/>
    <x v="41"/>
    <n v="65"/>
    <s v="Rattlesnake Canyon Grocery"/>
    <x v="8"/>
    <n v="4"/>
    <n v="2"/>
    <s v="United Package"/>
    <s v="Ipoh Coffee"/>
    <n v="1"/>
    <x v="6"/>
    <n v="20"/>
    <s v="Leka Trading"/>
    <n v="46"/>
    <n v="690"/>
    <n v="0"/>
    <x v="0"/>
    <x v="1"/>
    <x v="0"/>
  </r>
  <r>
    <n v="127"/>
    <n v="10294"/>
    <n v="60"/>
    <n v="21"/>
    <x v="41"/>
    <n v="65"/>
    <s v="Rattlesnake Canyon Grocery"/>
    <x v="8"/>
    <n v="4"/>
    <n v="2"/>
    <s v="United Package"/>
    <s v="Camembert Pierrot"/>
    <n v="4"/>
    <x v="0"/>
    <n v="28"/>
    <s v="Gai paturage"/>
    <n v="34"/>
    <n v="714"/>
    <n v="0"/>
    <x v="0"/>
    <x v="1"/>
    <x v="3"/>
  </r>
  <r>
    <n v="128"/>
    <n v="10294"/>
    <n v="75"/>
    <n v="6"/>
    <x v="41"/>
    <n v="65"/>
    <s v="Rattlesnake Canyon Grocery"/>
    <x v="8"/>
    <n v="4"/>
    <n v="2"/>
    <s v="United Package"/>
    <s v="Rhonbrau Klosterbier"/>
    <n v="1"/>
    <x v="6"/>
    <n v="12"/>
    <s v="Plutzer Lebensmittelgro├ƒmarkte AG"/>
    <n v="8"/>
    <n v="48"/>
    <n v="0"/>
    <x v="0"/>
    <x v="1"/>
    <x v="1"/>
  </r>
  <r>
    <n v="129"/>
    <n v="10295"/>
    <n v="56"/>
    <n v="4"/>
    <x v="42"/>
    <n v="85"/>
    <s v="Vins et alcools Chevalier"/>
    <x v="2"/>
    <n v="2"/>
    <n v="2"/>
    <s v="United Package"/>
    <s v="Gnocchi di nonna Alice"/>
    <n v="5"/>
    <x v="1"/>
    <n v="26"/>
    <s v="Pasta Buttini s.r.l."/>
    <n v="38"/>
    <n v="152"/>
    <n v="1"/>
    <x v="0"/>
    <x v="2"/>
    <x v="1"/>
  </r>
  <r>
    <n v="130"/>
    <n v="10296"/>
    <n v="11"/>
    <n v="12"/>
    <x v="43"/>
    <n v="46"/>
    <s v="LILA-Supermercado"/>
    <x v="5"/>
    <n v="6"/>
    <n v="1"/>
    <s v="Speedy Express"/>
    <s v="Queso Cabrales"/>
    <n v="4"/>
    <x v="0"/>
    <n v="5"/>
    <s v="Cooperativa de Quesos 'Las Cabras'"/>
    <n v="21"/>
    <n v="252"/>
    <n v="1"/>
    <x v="0"/>
    <x v="2"/>
    <x v="0"/>
  </r>
  <r>
    <n v="131"/>
    <n v="10296"/>
    <n v="16"/>
    <n v="30"/>
    <x v="43"/>
    <n v="46"/>
    <s v="LILA-Supermercado"/>
    <x v="5"/>
    <n v="6"/>
    <n v="1"/>
    <s v="Speedy Express"/>
    <s v="Pavlova"/>
    <n v="3"/>
    <x v="5"/>
    <n v="7"/>
    <s v="Pavlova, Ltd."/>
    <n v="17"/>
    <n v="510"/>
    <n v="0"/>
    <x v="0"/>
    <x v="2"/>
    <x v="3"/>
  </r>
  <r>
    <n v="132"/>
    <n v="10296"/>
    <n v="69"/>
    <n v="15"/>
    <x v="43"/>
    <n v="46"/>
    <s v="LILA-Supermercado"/>
    <x v="5"/>
    <n v="6"/>
    <n v="1"/>
    <s v="Speedy Express"/>
    <s v="Gudbrandsdalsost"/>
    <n v="4"/>
    <x v="0"/>
    <n v="15"/>
    <s v="Norske Meierier"/>
    <n v="36"/>
    <n v="540"/>
    <n v="0"/>
    <x v="0"/>
    <x v="2"/>
    <x v="0"/>
  </r>
  <r>
    <n v="133"/>
    <n v="10297"/>
    <n v="39"/>
    <n v="60"/>
    <x v="44"/>
    <n v="7"/>
    <s v="Blondel pere et fils"/>
    <x v="2"/>
    <n v="5"/>
    <n v="2"/>
    <s v="United Package"/>
    <s v="Chartreuse verte"/>
    <n v="1"/>
    <x v="6"/>
    <n v="18"/>
    <s v="Aux joyeux ecclesiastiques"/>
    <n v="18"/>
    <n v="1080"/>
    <n v="1"/>
    <x v="0"/>
    <x v="2"/>
    <x v="5"/>
  </r>
  <r>
    <n v="134"/>
    <n v="10297"/>
    <n v="72"/>
    <n v="20"/>
    <x v="44"/>
    <n v="7"/>
    <s v="Blondel pere et fils"/>
    <x v="2"/>
    <n v="5"/>
    <n v="2"/>
    <s v="United Package"/>
    <s v="Mozzarella di Giovanni"/>
    <n v="4"/>
    <x v="0"/>
    <n v="14"/>
    <s v="Formaggi Fortini s.r.l."/>
    <n v="35"/>
    <n v="700"/>
    <n v="0"/>
    <x v="0"/>
    <x v="2"/>
    <x v="0"/>
  </r>
  <r>
    <n v="135"/>
    <n v="10298"/>
    <n v="2"/>
    <n v="40"/>
    <x v="45"/>
    <n v="37"/>
    <s v="Hungry Owl All-Night Grocers"/>
    <x v="14"/>
    <n v="6"/>
    <n v="2"/>
    <s v="United Package"/>
    <s v="Chang"/>
    <n v="1"/>
    <x v="6"/>
    <n v="1"/>
    <s v="Exotic Liquid"/>
    <n v="19"/>
    <n v="760"/>
    <n v="1"/>
    <x v="0"/>
    <x v="2"/>
    <x v="2"/>
  </r>
  <r>
    <n v="136"/>
    <n v="10298"/>
    <n v="36"/>
    <n v="40"/>
    <x v="45"/>
    <n v="37"/>
    <s v="Hungry Owl All-Night Grocers"/>
    <x v="14"/>
    <n v="6"/>
    <n v="2"/>
    <s v="United Package"/>
    <s v="Inlagd Sill"/>
    <n v="8"/>
    <x v="3"/>
    <n v="17"/>
    <s v="Svensk Sjofoda AB"/>
    <n v="19"/>
    <n v="760"/>
    <n v="0"/>
    <x v="0"/>
    <x v="2"/>
    <x v="2"/>
  </r>
  <r>
    <n v="137"/>
    <n v="10298"/>
    <n v="59"/>
    <n v="30"/>
    <x v="45"/>
    <n v="37"/>
    <s v="Hungry Owl All-Night Grocers"/>
    <x v="14"/>
    <n v="6"/>
    <n v="2"/>
    <s v="United Package"/>
    <s v="Raclette Courdavault"/>
    <n v="4"/>
    <x v="0"/>
    <n v="28"/>
    <s v="Gai paturage"/>
    <n v="55"/>
    <n v="1650"/>
    <n v="0"/>
    <x v="0"/>
    <x v="2"/>
    <x v="3"/>
  </r>
  <r>
    <n v="138"/>
    <n v="10298"/>
    <n v="62"/>
    <n v="15"/>
    <x v="45"/>
    <n v="37"/>
    <s v="Hungry Owl All-Night Grocers"/>
    <x v="14"/>
    <n v="6"/>
    <n v="2"/>
    <s v="United Package"/>
    <s v="Tarte au sucre"/>
    <n v="3"/>
    <x v="5"/>
    <n v="29"/>
    <s v="Forets d'erables"/>
    <n v="49"/>
    <n v="735"/>
    <n v="0"/>
    <x v="0"/>
    <x v="2"/>
    <x v="0"/>
  </r>
  <r>
    <n v="139"/>
    <n v="10299"/>
    <n v="19"/>
    <n v="15"/>
    <x v="46"/>
    <n v="67"/>
    <s v="Ricardo Adocicados"/>
    <x v="1"/>
    <n v="4"/>
    <n v="2"/>
    <s v="United Package"/>
    <s v="Teatime Chocolate Biscuits"/>
    <n v="3"/>
    <x v="5"/>
    <n v="8"/>
    <s v="Specialty Biscuits, Ltd."/>
    <n v="9"/>
    <n v="135"/>
    <n v="1"/>
    <x v="0"/>
    <x v="2"/>
    <x v="0"/>
  </r>
  <r>
    <n v="140"/>
    <n v="10299"/>
    <n v="70"/>
    <n v="20"/>
    <x v="46"/>
    <n v="67"/>
    <s v="Ricardo Adocicados"/>
    <x v="1"/>
    <n v="4"/>
    <n v="2"/>
    <s v="United Package"/>
    <s v="Outback Lager"/>
    <n v="1"/>
    <x v="6"/>
    <n v="7"/>
    <s v="Pavlova, Ltd."/>
    <n v="15"/>
    <n v="300"/>
    <n v="0"/>
    <x v="0"/>
    <x v="2"/>
    <x v="0"/>
  </r>
  <r>
    <n v="141"/>
    <n v="10300"/>
    <n v="66"/>
    <n v="30"/>
    <x v="47"/>
    <n v="49"/>
    <s v="Magazzini Alimentari Riuniti"/>
    <x v="11"/>
    <n v="2"/>
    <n v="2"/>
    <s v="United Package"/>
    <s v="Louisiana Hot Spiced Okra"/>
    <n v="2"/>
    <x v="4"/>
    <n v="2"/>
    <s v="New Orleans Cajun Delights"/>
    <n v="17"/>
    <n v="510"/>
    <n v="1"/>
    <x v="0"/>
    <x v="2"/>
    <x v="3"/>
  </r>
  <r>
    <n v="142"/>
    <n v="10300"/>
    <n v="68"/>
    <n v="20"/>
    <x v="47"/>
    <n v="49"/>
    <s v="Magazzini Alimentari Riuniti"/>
    <x v="11"/>
    <n v="2"/>
    <n v="2"/>
    <s v="United Package"/>
    <s v="Scottish Longbreads"/>
    <n v="3"/>
    <x v="5"/>
    <n v="8"/>
    <s v="Specialty Biscuits, Ltd."/>
    <n v="13"/>
    <n v="260"/>
    <n v="0"/>
    <x v="0"/>
    <x v="2"/>
    <x v="0"/>
  </r>
  <r>
    <n v="143"/>
    <n v="10301"/>
    <n v="40"/>
    <n v="10"/>
    <x v="47"/>
    <n v="86"/>
    <s v="Die Wandernde Kuh"/>
    <x v="10"/>
    <n v="8"/>
    <n v="2"/>
    <s v="United Package"/>
    <s v="Boston Crab Meat"/>
    <n v="8"/>
    <x v="3"/>
    <n v="19"/>
    <s v="New England Seafood Cannery"/>
    <n v="18"/>
    <n v="180"/>
    <n v="1"/>
    <x v="0"/>
    <x v="2"/>
    <x v="1"/>
  </r>
  <r>
    <n v="144"/>
    <n v="10301"/>
    <n v="56"/>
    <n v="20"/>
    <x v="47"/>
    <n v="86"/>
    <s v="Die Wandernde Kuh"/>
    <x v="10"/>
    <n v="8"/>
    <n v="2"/>
    <s v="United Package"/>
    <s v="Gnocchi di nonna Alice"/>
    <n v="5"/>
    <x v="1"/>
    <n v="26"/>
    <s v="Pasta Buttini s.r.l."/>
    <n v="38"/>
    <n v="760"/>
    <n v="0"/>
    <x v="0"/>
    <x v="2"/>
    <x v="0"/>
  </r>
  <r>
    <n v="145"/>
    <n v="10302"/>
    <n v="17"/>
    <n v="40"/>
    <x v="48"/>
    <n v="76"/>
    <s v="Supremes delices"/>
    <x v="3"/>
    <n v="4"/>
    <n v="2"/>
    <s v="United Package"/>
    <s v="Alice Mutton"/>
    <n v="6"/>
    <x v="7"/>
    <n v="7"/>
    <s v="Pavlova, Ltd."/>
    <n v="39"/>
    <n v="1560"/>
    <n v="1"/>
    <x v="0"/>
    <x v="2"/>
    <x v="2"/>
  </r>
  <r>
    <n v="146"/>
    <n v="10302"/>
    <n v="28"/>
    <n v="28"/>
    <x v="48"/>
    <n v="76"/>
    <s v="Supremes delices"/>
    <x v="3"/>
    <n v="4"/>
    <n v="2"/>
    <s v="United Package"/>
    <s v="Rossle Sauerkraut"/>
    <n v="7"/>
    <x v="2"/>
    <n v="12"/>
    <s v="Plutzer Lebensmittelgro├ƒmarkte AG"/>
    <n v="46"/>
    <n v="1288"/>
    <n v="0"/>
    <x v="0"/>
    <x v="2"/>
    <x v="3"/>
  </r>
  <r>
    <n v="147"/>
    <n v="10302"/>
    <n v="43"/>
    <n v="12"/>
    <x v="48"/>
    <n v="76"/>
    <s v="Supremes delices"/>
    <x v="3"/>
    <n v="4"/>
    <n v="2"/>
    <s v="United Package"/>
    <s v="Ipoh Coffee"/>
    <n v="1"/>
    <x v="6"/>
    <n v="20"/>
    <s v="Leka Trading"/>
    <n v="46"/>
    <n v="552"/>
    <n v="0"/>
    <x v="0"/>
    <x v="2"/>
    <x v="0"/>
  </r>
  <r>
    <n v="148"/>
    <n v="10303"/>
    <n v="40"/>
    <n v="40"/>
    <x v="49"/>
    <n v="30"/>
    <s v="Godos Cocina Tipica"/>
    <x v="12"/>
    <n v="7"/>
    <n v="2"/>
    <s v="United Package"/>
    <s v="Boston Crab Meat"/>
    <n v="8"/>
    <x v="3"/>
    <n v="19"/>
    <s v="New England Seafood Cannery"/>
    <n v="18"/>
    <n v="720"/>
    <n v="1"/>
    <x v="0"/>
    <x v="2"/>
    <x v="2"/>
  </r>
  <r>
    <n v="149"/>
    <n v="10303"/>
    <n v="65"/>
    <n v="30"/>
    <x v="49"/>
    <n v="30"/>
    <s v="Godos Cocina Tipica"/>
    <x v="12"/>
    <n v="7"/>
    <n v="2"/>
    <s v="United Package"/>
    <s v="Louisiana Fiery Hot Pepper Sauce"/>
    <n v="2"/>
    <x v="4"/>
    <n v="2"/>
    <s v="New Orleans Cajun Delights"/>
    <n v="21"/>
    <n v="630"/>
    <n v="0"/>
    <x v="0"/>
    <x v="2"/>
    <x v="3"/>
  </r>
  <r>
    <n v="150"/>
    <n v="10303"/>
    <n v="68"/>
    <n v="15"/>
    <x v="49"/>
    <n v="30"/>
    <s v="Godos Cocina Tipica"/>
    <x v="12"/>
    <n v="7"/>
    <n v="2"/>
    <s v="United Package"/>
    <s v="Scottish Longbreads"/>
    <n v="3"/>
    <x v="5"/>
    <n v="8"/>
    <s v="Specialty Biscuits, Ltd."/>
    <n v="13"/>
    <n v="195"/>
    <n v="0"/>
    <x v="0"/>
    <x v="2"/>
    <x v="0"/>
  </r>
  <r>
    <n v="151"/>
    <n v="10304"/>
    <n v="49"/>
    <n v="30"/>
    <x v="50"/>
    <n v="80"/>
    <s v="Tortuga Restaurante"/>
    <x v="7"/>
    <n v="1"/>
    <n v="2"/>
    <s v="United Package"/>
    <s v="Maxilaku"/>
    <n v="3"/>
    <x v="5"/>
    <n v="23"/>
    <s v="Karkki Oy"/>
    <n v="20"/>
    <n v="600"/>
    <n v="1"/>
    <x v="0"/>
    <x v="2"/>
    <x v="3"/>
  </r>
  <r>
    <n v="152"/>
    <n v="10304"/>
    <n v="59"/>
    <n v="10"/>
    <x v="50"/>
    <n v="80"/>
    <s v="Tortuga Restaurante"/>
    <x v="7"/>
    <n v="1"/>
    <n v="2"/>
    <s v="United Package"/>
    <s v="Raclette Courdavault"/>
    <n v="4"/>
    <x v="0"/>
    <n v="28"/>
    <s v="Gai paturage"/>
    <n v="55"/>
    <n v="550"/>
    <n v="0"/>
    <x v="0"/>
    <x v="2"/>
    <x v="1"/>
  </r>
  <r>
    <n v="153"/>
    <n v="10304"/>
    <n v="71"/>
    <n v="2"/>
    <x v="50"/>
    <n v="80"/>
    <s v="Tortuga Restaurante"/>
    <x v="7"/>
    <n v="1"/>
    <n v="2"/>
    <s v="United Package"/>
    <s v="Fl├©temysost"/>
    <n v="4"/>
    <x v="0"/>
    <n v="15"/>
    <s v="Norske Meierier"/>
    <n v="22"/>
    <n v="44"/>
    <n v="0"/>
    <x v="0"/>
    <x v="2"/>
    <x v="1"/>
  </r>
  <r>
    <n v="154"/>
    <n v="10305"/>
    <n v="18"/>
    <n v="25"/>
    <x v="51"/>
    <n v="55"/>
    <s v="Old World Delicatessen"/>
    <x v="8"/>
    <n v="8"/>
    <n v="3"/>
    <s v="Federal Shipping"/>
    <s v="Carnarvon Tigers"/>
    <n v="8"/>
    <x v="3"/>
    <n v="7"/>
    <s v="Pavlova, Ltd."/>
    <n v="63"/>
    <n v="1575"/>
    <n v="1"/>
    <x v="0"/>
    <x v="2"/>
    <x v="3"/>
  </r>
  <r>
    <n v="155"/>
    <n v="10305"/>
    <n v="29"/>
    <n v="25"/>
    <x v="51"/>
    <n v="55"/>
    <s v="Old World Delicatessen"/>
    <x v="8"/>
    <n v="8"/>
    <n v="3"/>
    <s v="Federal Shipping"/>
    <s v="Thuringer Rostbratwurst"/>
    <n v="6"/>
    <x v="7"/>
    <n v="12"/>
    <s v="Plutzer Lebensmittelgro├ƒmarkte AG"/>
    <n v="124"/>
    <n v="3100"/>
    <n v="0"/>
    <x v="0"/>
    <x v="2"/>
    <x v="3"/>
  </r>
  <r>
    <n v="156"/>
    <n v="10305"/>
    <n v="39"/>
    <n v="30"/>
    <x v="51"/>
    <n v="55"/>
    <s v="Old World Delicatessen"/>
    <x v="8"/>
    <n v="8"/>
    <n v="3"/>
    <s v="Federal Shipping"/>
    <s v="Chartreuse verte"/>
    <n v="1"/>
    <x v="6"/>
    <n v="18"/>
    <s v="Aux joyeux ecclesiastiques"/>
    <n v="18"/>
    <n v="540"/>
    <n v="0"/>
    <x v="0"/>
    <x v="2"/>
    <x v="3"/>
  </r>
  <r>
    <n v="157"/>
    <n v="10306"/>
    <n v="30"/>
    <n v="10"/>
    <x v="52"/>
    <n v="69"/>
    <s v="Romero y tomillo"/>
    <x v="12"/>
    <n v="1"/>
    <n v="3"/>
    <s v="Federal Shipping"/>
    <s v="Nord-Ost Matjeshering"/>
    <n v="8"/>
    <x v="3"/>
    <n v="13"/>
    <s v="Nord-Ost-Fisch Handelsgesellschaft mbH"/>
    <n v="26"/>
    <n v="260"/>
    <n v="1"/>
    <x v="0"/>
    <x v="2"/>
    <x v="1"/>
  </r>
  <r>
    <n v="158"/>
    <n v="10306"/>
    <n v="53"/>
    <n v="10"/>
    <x v="52"/>
    <n v="69"/>
    <s v="Romero y tomillo"/>
    <x v="12"/>
    <n v="1"/>
    <n v="3"/>
    <s v="Federal Shipping"/>
    <s v="Perth Pasties"/>
    <n v="6"/>
    <x v="7"/>
    <n v="24"/>
    <s v="G'day, Mate"/>
    <n v="33"/>
    <n v="330"/>
    <n v="0"/>
    <x v="0"/>
    <x v="2"/>
    <x v="1"/>
  </r>
  <r>
    <n v="159"/>
    <n v="10306"/>
    <n v="54"/>
    <n v="5"/>
    <x v="52"/>
    <n v="69"/>
    <s v="Romero y tomillo"/>
    <x v="12"/>
    <n v="1"/>
    <n v="3"/>
    <s v="Federal Shipping"/>
    <s v="Tourtiere"/>
    <n v="6"/>
    <x v="7"/>
    <n v="25"/>
    <s v="Ma Maison"/>
    <n v="7"/>
    <n v="35"/>
    <n v="0"/>
    <x v="0"/>
    <x v="2"/>
    <x v="1"/>
  </r>
  <r>
    <n v="160"/>
    <n v="10307"/>
    <n v="62"/>
    <n v="10"/>
    <x v="53"/>
    <n v="48"/>
    <s v="Lonesome Pine Restaurant"/>
    <x v="8"/>
    <n v="2"/>
    <n v="2"/>
    <s v="United Package"/>
    <s v="Tarte au sucre"/>
    <n v="3"/>
    <x v="5"/>
    <n v="29"/>
    <s v="Forets d'erables"/>
    <n v="49"/>
    <n v="490"/>
    <n v="1"/>
    <x v="0"/>
    <x v="2"/>
    <x v="1"/>
  </r>
  <r>
    <n v="161"/>
    <n v="10307"/>
    <n v="68"/>
    <n v="3"/>
    <x v="53"/>
    <n v="48"/>
    <s v="Lonesome Pine Restaurant"/>
    <x v="8"/>
    <n v="2"/>
    <n v="2"/>
    <s v="United Package"/>
    <s v="Scottish Longbreads"/>
    <n v="3"/>
    <x v="5"/>
    <n v="8"/>
    <s v="Specialty Biscuits, Ltd."/>
    <n v="13"/>
    <n v="39"/>
    <n v="0"/>
    <x v="0"/>
    <x v="2"/>
    <x v="1"/>
  </r>
  <r>
    <n v="162"/>
    <n v="10308"/>
    <n v="69"/>
    <n v="1"/>
    <x v="54"/>
    <n v="2"/>
    <s v="Ana Trujillo Emparedados y helados"/>
    <x v="7"/>
    <n v="7"/>
    <n v="3"/>
    <s v="Federal Shipping"/>
    <s v="Gudbrandsdalsost"/>
    <n v="4"/>
    <x v="0"/>
    <n v="15"/>
    <s v="Norske Meierier"/>
    <n v="36"/>
    <n v="36"/>
    <n v="1"/>
    <x v="0"/>
    <x v="2"/>
    <x v="1"/>
  </r>
  <r>
    <n v="163"/>
    <n v="10308"/>
    <n v="70"/>
    <n v="5"/>
    <x v="54"/>
    <n v="2"/>
    <s v="Ana Trujillo Emparedados y helados"/>
    <x v="7"/>
    <n v="7"/>
    <n v="3"/>
    <s v="Federal Shipping"/>
    <s v="Outback Lager"/>
    <n v="1"/>
    <x v="6"/>
    <n v="7"/>
    <s v="Pavlova, Ltd."/>
    <n v="15"/>
    <n v="75"/>
    <n v="0"/>
    <x v="0"/>
    <x v="2"/>
    <x v="1"/>
  </r>
  <r>
    <n v="164"/>
    <n v="10309"/>
    <n v="4"/>
    <n v="20"/>
    <x v="55"/>
    <n v="37"/>
    <s v="Hungry Owl All-Night Grocers"/>
    <x v="14"/>
    <n v="3"/>
    <n v="1"/>
    <s v="Speedy Express"/>
    <s v="Chef Anton's Cajun Seasoning"/>
    <n v="2"/>
    <x v="4"/>
    <n v="2"/>
    <s v="New Orleans Cajun Delights"/>
    <n v="22"/>
    <n v="440"/>
    <n v="1"/>
    <x v="0"/>
    <x v="2"/>
    <x v="0"/>
  </r>
  <r>
    <n v="165"/>
    <n v="10309"/>
    <n v="6"/>
    <n v="30"/>
    <x v="55"/>
    <n v="37"/>
    <s v="Hungry Owl All-Night Grocers"/>
    <x v="14"/>
    <n v="3"/>
    <n v="1"/>
    <s v="Speedy Express"/>
    <s v="Grandma's Boysenberry Spread"/>
    <n v="2"/>
    <x v="4"/>
    <n v="3"/>
    <s v="Grandma Kelly's Homestead"/>
    <n v="25"/>
    <n v="750"/>
    <n v="0"/>
    <x v="0"/>
    <x v="2"/>
    <x v="3"/>
  </r>
  <r>
    <n v="166"/>
    <n v="10309"/>
    <n v="42"/>
    <n v="2"/>
    <x v="55"/>
    <n v="37"/>
    <s v="Hungry Owl All-Night Grocers"/>
    <x v="14"/>
    <n v="3"/>
    <n v="1"/>
    <s v="Speedy Express"/>
    <s v="Singaporean Hokkien Fried Mee"/>
    <n v="5"/>
    <x v="1"/>
    <n v="20"/>
    <s v="Leka Trading"/>
    <n v="14"/>
    <n v="28"/>
    <n v="0"/>
    <x v="0"/>
    <x v="2"/>
    <x v="1"/>
  </r>
  <r>
    <n v="167"/>
    <n v="10309"/>
    <n v="43"/>
    <n v="20"/>
    <x v="55"/>
    <n v="37"/>
    <s v="Hungry Owl All-Night Grocers"/>
    <x v="14"/>
    <n v="3"/>
    <n v="1"/>
    <s v="Speedy Express"/>
    <s v="Ipoh Coffee"/>
    <n v="1"/>
    <x v="6"/>
    <n v="20"/>
    <s v="Leka Trading"/>
    <n v="46"/>
    <n v="920"/>
    <n v="0"/>
    <x v="0"/>
    <x v="2"/>
    <x v="0"/>
  </r>
  <r>
    <n v="168"/>
    <n v="10309"/>
    <n v="71"/>
    <n v="3"/>
    <x v="55"/>
    <n v="37"/>
    <s v="Hungry Owl All-Night Grocers"/>
    <x v="14"/>
    <n v="3"/>
    <n v="1"/>
    <s v="Speedy Express"/>
    <s v="Fl├©temysost"/>
    <n v="4"/>
    <x v="0"/>
    <n v="15"/>
    <s v="Norske Meierier"/>
    <n v="22"/>
    <n v="66"/>
    <n v="0"/>
    <x v="0"/>
    <x v="2"/>
    <x v="1"/>
  </r>
  <r>
    <n v="169"/>
    <n v="10310"/>
    <n v="16"/>
    <n v="10"/>
    <x v="56"/>
    <n v="77"/>
    <s v="The Big Cheese"/>
    <x v="8"/>
    <n v="8"/>
    <n v="2"/>
    <s v="United Package"/>
    <s v="Pavlova"/>
    <n v="3"/>
    <x v="5"/>
    <n v="7"/>
    <s v="Pavlova, Ltd."/>
    <n v="17"/>
    <n v="170"/>
    <n v="1"/>
    <x v="0"/>
    <x v="2"/>
    <x v="1"/>
  </r>
  <r>
    <n v="170"/>
    <n v="10310"/>
    <n v="62"/>
    <n v="5"/>
    <x v="56"/>
    <n v="77"/>
    <s v="The Big Cheese"/>
    <x v="8"/>
    <n v="8"/>
    <n v="2"/>
    <s v="United Package"/>
    <s v="Tarte au sucre"/>
    <n v="3"/>
    <x v="5"/>
    <n v="29"/>
    <s v="Forets d'erables"/>
    <n v="49"/>
    <n v="245"/>
    <n v="0"/>
    <x v="0"/>
    <x v="2"/>
    <x v="1"/>
  </r>
  <r>
    <n v="171"/>
    <n v="10311"/>
    <n v="42"/>
    <n v="6"/>
    <x v="56"/>
    <n v="18"/>
    <s v="Du monde entier"/>
    <x v="2"/>
    <n v="1"/>
    <n v="3"/>
    <s v="Federal Shipping"/>
    <s v="Singaporean Hokkien Fried Mee"/>
    <n v="5"/>
    <x v="1"/>
    <n v="20"/>
    <s v="Leka Trading"/>
    <n v="14"/>
    <n v="84"/>
    <n v="1"/>
    <x v="0"/>
    <x v="2"/>
    <x v="1"/>
  </r>
  <r>
    <n v="172"/>
    <n v="10311"/>
    <n v="69"/>
    <n v="7"/>
    <x v="56"/>
    <n v="18"/>
    <s v="Du monde entier"/>
    <x v="2"/>
    <n v="1"/>
    <n v="3"/>
    <s v="Federal Shipping"/>
    <s v="Gudbrandsdalsost"/>
    <n v="4"/>
    <x v="0"/>
    <n v="15"/>
    <s v="Norske Meierier"/>
    <n v="36"/>
    <n v="252"/>
    <n v="0"/>
    <x v="0"/>
    <x v="2"/>
    <x v="1"/>
  </r>
  <r>
    <n v="173"/>
    <n v="10312"/>
    <n v="28"/>
    <n v="4"/>
    <x v="57"/>
    <n v="86"/>
    <s v="Die Wandernde Kuh"/>
    <x v="10"/>
    <n v="2"/>
    <n v="2"/>
    <s v="United Package"/>
    <s v="Rossle Sauerkraut"/>
    <n v="7"/>
    <x v="2"/>
    <n v="12"/>
    <s v="Plutzer Lebensmittelgro├ƒmarkte AG"/>
    <n v="46"/>
    <n v="184"/>
    <n v="1"/>
    <x v="0"/>
    <x v="2"/>
    <x v="1"/>
  </r>
  <r>
    <n v="174"/>
    <n v="10312"/>
    <n v="43"/>
    <n v="24"/>
    <x v="57"/>
    <n v="86"/>
    <s v="Die Wandernde Kuh"/>
    <x v="10"/>
    <n v="2"/>
    <n v="2"/>
    <s v="United Package"/>
    <s v="Ipoh Coffee"/>
    <n v="1"/>
    <x v="6"/>
    <n v="20"/>
    <s v="Leka Trading"/>
    <n v="46"/>
    <n v="1104"/>
    <n v="0"/>
    <x v="0"/>
    <x v="2"/>
    <x v="3"/>
  </r>
  <r>
    <n v="175"/>
    <n v="10312"/>
    <n v="53"/>
    <n v="20"/>
    <x v="57"/>
    <n v="86"/>
    <s v="Die Wandernde Kuh"/>
    <x v="10"/>
    <n v="2"/>
    <n v="2"/>
    <s v="United Package"/>
    <s v="Perth Pasties"/>
    <n v="6"/>
    <x v="7"/>
    <n v="24"/>
    <s v="G'day, Mate"/>
    <n v="33"/>
    <n v="660"/>
    <n v="0"/>
    <x v="0"/>
    <x v="2"/>
    <x v="0"/>
  </r>
  <r>
    <n v="176"/>
    <n v="10312"/>
    <n v="75"/>
    <n v="10"/>
    <x v="57"/>
    <n v="86"/>
    <s v="Die Wandernde Kuh"/>
    <x v="10"/>
    <n v="2"/>
    <n v="2"/>
    <s v="United Package"/>
    <s v="Rhonbrau Klosterbier"/>
    <n v="1"/>
    <x v="6"/>
    <n v="12"/>
    <s v="Plutzer Lebensmittelgro├ƒmarkte AG"/>
    <n v="8"/>
    <n v="80"/>
    <n v="0"/>
    <x v="0"/>
    <x v="2"/>
    <x v="1"/>
  </r>
  <r>
    <n v="177"/>
    <n v="10313"/>
    <n v="36"/>
    <n v="12"/>
    <x v="58"/>
    <n v="63"/>
    <s v="QUICK-Stop"/>
    <x v="10"/>
    <n v="2"/>
    <n v="2"/>
    <s v="United Package"/>
    <s v="Inlagd Sill"/>
    <n v="8"/>
    <x v="3"/>
    <n v="17"/>
    <s v="Svensk Sjofoda AB"/>
    <n v="19"/>
    <n v="228"/>
    <n v="1"/>
    <x v="0"/>
    <x v="2"/>
    <x v="0"/>
  </r>
  <r>
    <n v="178"/>
    <n v="10314"/>
    <n v="32"/>
    <n v="40"/>
    <x v="59"/>
    <n v="65"/>
    <s v="Rattlesnake Canyon Grocery"/>
    <x v="8"/>
    <n v="1"/>
    <n v="2"/>
    <s v="United Package"/>
    <s v="Mascarpone Fabioli"/>
    <n v="4"/>
    <x v="0"/>
    <n v="14"/>
    <s v="Formaggi Fortini s.r.l."/>
    <n v="32"/>
    <n v="1280"/>
    <n v="1"/>
    <x v="0"/>
    <x v="2"/>
    <x v="2"/>
  </r>
  <r>
    <n v="179"/>
    <n v="10314"/>
    <n v="58"/>
    <n v="30"/>
    <x v="59"/>
    <n v="65"/>
    <s v="Rattlesnake Canyon Grocery"/>
    <x v="8"/>
    <n v="1"/>
    <n v="2"/>
    <s v="United Package"/>
    <s v="Escargots de Bourgogne"/>
    <n v="8"/>
    <x v="3"/>
    <n v="27"/>
    <s v="Escargots Nouveaux"/>
    <n v="13"/>
    <n v="390"/>
    <n v="0"/>
    <x v="0"/>
    <x v="2"/>
    <x v="3"/>
  </r>
  <r>
    <n v="180"/>
    <n v="10314"/>
    <n v="62"/>
    <n v="25"/>
    <x v="59"/>
    <n v="65"/>
    <s v="Rattlesnake Canyon Grocery"/>
    <x v="8"/>
    <n v="1"/>
    <n v="2"/>
    <s v="United Package"/>
    <s v="Tarte au sucre"/>
    <n v="3"/>
    <x v="5"/>
    <n v="29"/>
    <s v="Forets d'erables"/>
    <n v="49"/>
    <n v="1225"/>
    <n v="0"/>
    <x v="0"/>
    <x v="2"/>
    <x v="3"/>
  </r>
  <r>
    <n v="181"/>
    <n v="10315"/>
    <n v="34"/>
    <n v="14"/>
    <x v="60"/>
    <n v="38"/>
    <s v="Island Trading"/>
    <x v="13"/>
    <n v="4"/>
    <n v="2"/>
    <s v="United Package"/>
    <s v="Sasquatch Ale"/>
    <n v="1"/>
    <x v="6"/>
    <n v="16"/>
    <s v="Bigfoot Breweries"/>
    <n v="14"/>
    <n v="196"/>
    <n v="1"/>
    <x v="0"/>
    <x v="2"/>
    <x v="0"/>
  </r>
  <r>
    <n v="182"/>
    <n v="10315"/>
    <n v="70"/>
    <n v="30"/>
    <x v="60"/>
    <n v="38"/>
    <s v="Island Trading"/>
    <x v="13"/>
    <n v="4"/>
    <n v="2"/>
    <s v="United Package"/>
    <s v="Outback Lager"/>
    <n v="1"/>
    <x v="6"/>
    <n v="7"/>
    <s v="Pavlova, Ltd."/>
    <n v="15"/>
    <n v="450"/>
    <n v="0"/>
    <x v="0"/>
    <x v="2"/>
    <x v="3"/>
  </r>
  <r>
    <n v="183"/>
    <n v="10316"/>
    <n v="41"/>
    <n v="10"/>
    <x v="61"/>
    <n v="65"/>
    <s v="Rattlesnake Canyon Grocery"/>
    <x v="8"/>
    <n v="1"/>
    <n v="3"/>
    <s v="Federal Shipping"/>
    <s v="Jack's New England Clam Chowder"/>
    <n v="8"/>
    <x v="3"/>
    <n v="19"/>
    <s v="New England Seafood Cannery"/>
    <n v="10"/>
    <n v="100"/>
    <n v="1"/>
    <x v="0"/>
    <x v="2"/>
    <x v="1"/>
  </r>
  <r>
    <n v="184"/>
    <n v="10316"/>
    <n v="62"/>
    <n v="70"/>
    <x v="61"/>
    <n v="65"/>
    <s v="Rattlesnake Canyon Grocery"/>
    <x v="8"/>
    <n v="1"/>
    <n v="3"/>
    <s v="Federal Shipping"/>
    <s v="Tarte au sucre"/>
    <n v="3"/>
    <x v="5"/>
    <n v="29"/>
    <s v="Forets d'erables"/>
    <n v="49"/>
    <n v="3430"/>
    <n v="0"/>
    <x v="0"/>
    <x v="2"/>
    <x v="5"/>
  </r>
  <r>
    <n v="185"/>
    <n v="10317"/>
    <n v="1"/>
    <n v="20"/>
    <x v="62"/>
    <n v="48"/>
    <s v="Lonesome Pine Restaurant"/>
    <x v="8"/>
    <n v="6"/>
    <n v="1"/>
    <s v="Speedy Express"/>
    <s v="Chais"/>
    <n v="1"/>
    <x v="6"/>
    <n v="1"/>
    <s v="Exotic Liquid"/>
    <n v="18"/>
    <n v="360"/>
    <n v="1"/>
    <x v="0"/>
    <x v="2"/>
    <x v="0"/>
  </r>
  <r>
    <n v="186"/>
    <n v="10318"/>
    <n v="41"/>
    <n v="20"/>
    <x v="63"/>
    <n v="38"/>
    <s v="Island Trading"/>
    <x v="13"/>
    <n v="8"/>
    <n v="2"/>
    <s v="United Package"/>
    <s v="Jack's New England Clam Chowder"/>
    <n v="8"/>
    <x v="3"/>
    <n v="19"/>
    <s v="New England Seafood Cannery"/>
    <n v="10"/>
    <n v="200"/>
    <n v="1"/>
    <x v="0"/>
    <x v="3"/>
    <x v="0"/>
  </r>
  <r>
    <n v="187"/>
    <n v="10318"/>
    <n v="76"/>
    <n v="6"/>
    <x v="63"/>
    <n v="38"/>
    <s v="Island Trading"/>
    <x v="13"/>
    <n v="8"/>
    <n v="2"/>
    <s v="United Package"/>
    <s v="Lakkalikoori"/>
    <n v="1"/>
    <x v="6"/>
    <n v="23"/>
    <s v="Karkki Oy"/>
    <n v="18"/>
    <n v="108"/>
    <n v="0"/>
    <x v="0"/>
    <x v="3"/>
    <x v="1"/>
  </r>
  <r>
    <n v="188"/>
    <n v="10319"/>
    <n v="17"/>
    <n v="8"/>
    <x v="64"/>
    <n v="80"/>
    <s v="Tortuga Restaurante"/>
    <x v="7"/>
    <n v="7"/>
    <n v="3"/>
    <s v="Federal Shipping"/>
    <s v="Alice Mutton"/>
    <n v="6"/>
    <x v="7"/>
    <n v="7"/>
    <s v="Pavlova, Ltd."/>
    <n v="39"/>
    <n v="312"/>
    <n v="1"/>
    <x v="0"/>
    <x v="3"/>
    <x v="1"/>
  </r>
  <r>
    <n v="189"/>
    <n v="10319"/>
    <n v="28"/>
    <n v="14"/>
    <x v="64"/>
    <n v="80"/>
    <s v="Tortuga Restaurante"/>
    <x v="7"/>
    <n v="7"/>
    <n v="3"/>
    <s v="Federal Shipping"/>
    <s v="Rossle Sauerkraut"/>
    <n v="7"/>
    <x v="2"/>
    <n v="12"/>
    <s v="Plutzer Lebensmittelgro├ƒmarkte AG"/>
    <n v="46"/>
    <n v="644"/>
    <n v="0"/>
    <x v="0"/>
    <x v="3"/>
    <x v="0"/>
  </r>
  <r>
    <n v="190"/>
    <n v="10319"/>
    <n v="76"/>
    <n v="30"/>
    <x v="64"/>
    <n v="80"/>
    <s v="Tortuga Restaurante"/>
    <x v="7"/>
    <n v="7"/>
    <n v="3"/>
    <s v="Federal Shipping"/>
    <s v="Lakkalikoori"/>
    <n v="1"/>
    <x v="6"/>
    <n v="23"/>
    <s v="Karkki Oy"/>
    <n v="18"/>
    <n v="540"/>
    <n v="0"/>
    <x v="0"/>
    <x v="3"/>
    <x v="3"/>
  </r>
  <r>
    <n v="191"/>
    <n v="10320"/>
    <n v="71"/>
    <n v="30"/>
    <x v="65"/>
    <n v="87"/>
    <s v="Wartian Herkku"/>
    <x v="0"/>
    <n v="5"/>
    <n v="3"/>
    <s v="Federal Shipping"/>
    <s v="Fl├©temysost"/>
    <n v="4"/>
    <x v="0"/>
    <n v="15"/>
    <s v="Norske Meierier"/>
    <n v="22"/>
    <n v="660"/>
    <n v="1"/>
    <x v="0"/>
    <x v="3"/>
    <x v="3"/>
  </r>
  <r>
    <n v="192"/>
    <n v="10321"/>
    <n v="35"/>
    <n v="10"/>
    <x v="65"/>
    <n v="38"/>
    <s v="Island Trading"/>
    <x v="13"/>
    <n v="3"/>
    <n v="2"/>
    <s v="United Package"/>
    <s v="Steeleye Stout"/>
    <n v="1"/>
    <x v="6"/>
    <n v="16"/>
    <s v="Bigfoot Breweries"/>
    <n v="18"/>
    <n v="180"/>
    <n v="1"/>
    <x v="0"/>
    <x v="3"/>
    <x v="1"/>
  </r>
  <r>
    <n v="193"/>
    <n v="10322"/>
    <n v="52"/>
    <n v="20"/>
    <x v="66"/>
    <n v="58"/>
    <s v="Pericles Comidas clasicas"/>
    <x v="7"/>
    <n v="7"/>
    <n v="3"/>
    <s v="Federal Shipping"/>
    <s v="Filo Mix"/>
    <n v="5"/>
    <x v="1"/>
    <n v="24"/>
    <s v="G'day, Mate"/>
    <n v="7"/>
    <n v="140"/>
    <n v="1"/>
    <x v="0"/>
    <x v="3"/>
    <x v="0"/>
  </r>
  <r>
    <n v="194"/>
    <n v="10323"/>
    <n v="15"/>
    <n v="5"/>
    <x v="67"/>
    <n v="39"/>
    <s v="Koniglich Essen"/>
    <x v="10"/>
    <n v="4"/>
    <n v="1"/>
    <s v="Speedy Express"/>
    <s v="Genen Shouyu"/>
    <n v="2"/>
    <x v="4"/>
    <n v="6"/>
    <s v="Mayumi's"/>
    <n v="16"/>
    <n v="80"/>
    <n v="1"/>
    <x v="0"/>
    <x v="3"/>
    <x v="1"/>
  </r>
  <r>
    <n v="195"/>
    <n v="10323"/>
    <n v="25"/>
    <n v="4"/>
    <x v="67"/>
    <n v="39"/>
    <s v="Koniglich Essen"/>
    <x v="10"/>
    <n v="4"/>
    <n v="1"/>
    <s v="Speedy Express"/>
    <s v="NuNuCa Nu├ƒ-Nougat-Creme"/>
    <n v="3"/>
    <x v="5"/>
    <n v="11"/>
    <s v="Heli Su├ƒwaren GmbH &amp; Co. KG"/>
    <n v="14"/>
    <n v="56"/>
    <n v="0"/>
    <x v="0"/>
    <x v="3"/>
    <x v="1"/>
  </r>
  <r>
    <n v="196"/>
    <n v="10323"/>
    <n v="39"/>
    <n v="4"/>
    <x v="67"/>
    <n v="39"/>
    <s v="Koniglich Essen"/>
    <x v="10"/>
    <n v="4"/>
    <n v="1"/>
    <s v="Speedy Express"/>
    <s v="Chartreuse verte"/>
    <n v="1"/>
    <x v="6"/>
    <n v="18"/>
    <s v="Aux joyeux ecclesiastiques"/>
    <n v="18"/>
    <n v="72"/>
    <n v="0"/>
    <x v="0"/>
    <x v="3"/>
    <x v="1"/>
  </r>
  <r>
    <n v="197"/>
    <n v="10324"/>
    <n v="16"/>
    <n v="21"/>
    <x v="68"/>
    <n v="71"/>
    <s v="Save-a-lot Markets"/>
    <x v="8"/>
    <n v="9"/>
    <n v="1"/>
    <s v="Speedy Express"/>
    <s v="Pavlova"/>
    <n v="3"/>
    <x v="5"/>
    <n v="7"/>
    <s v="Pavlova, Ltd."/>
    <n v="17"/>
    <n v="357"/>
    <n v="1"/>
    <x v="0"/>
    <x v="3"/>
    <x v="3"/>
  </r>
  <r>
    <n v="198"/>
    <n v="10324"/>
    <n v="35"/>
    <n v="70"/>
    <x v="68"/>
    <n v="71"/>
    <s v="Save-a-lot Markets"/>
    <x v="8"/>
    <n v="9"/>
    <n v="1"/>
    <s v="Speedy Express"/>
    <s v="Steeleye Stout"/>
    <n v="1"/>
    <x v="6"/>
    <n v="16"/>
    <s v="Bigfoot Breweries"/>
    <n v="18"/>
    <n v="1260"/>
    <n v="0"/>
    <x v="0"/>
    <x v="3"/>
    <x v="5"/>
  </r>
  <r>
    <n v="199"/>
    <n v="10324"/>
    <n v="46"/>
    <n v="30"/>
    <x v="68"/>
    <n v="71"/>
    <s v="Save-a-lot Markets"/>
    <x v="8"/>
    <n v="9"/>
    <n v="1"/>
    <s v="Speedy Express"/>
    <s v="Spegesild"/>
    <n v="8"/>
    <x v="3"/>
    <n v="21"/>
    <s v="Lyngbysild"/>
    <n v="12"/>
    <n v="360"/>
    <n v="0"/>
    <x v="0"/>
    <x v="3"/>
    <x v="3"/>
  </r>
  <r>
    <n v="200"/>
    <n v="10324"/>
    <n v="59"/>
    <n v="40"/>
    <x v="68"/>
    <n v="71"/>
    <s v="Save-a-lot Markets"/>
    <x v="8"/>
    <n v="9"/>
    <n v="1"/>
    <s v="Speedy Express"/>
    <s v="Raclette Courdavault"/>
    <n v="4"/>
    <x v="0"/>
    <n v="28"/>
    <s v="Gai paturage"/>
    <n v="55"/>
    <n v="2200"/>
    <n v="0"/>
    <x v="0"/>
    <x v="3"/>
    <x v="2"/>
  </r>
  <r>
    <n v="201"/>
    <n v="10324"/>
    <n v="63"/>
    <n v="80"/>
    <x v="68"/>
    <n v="71"/>
    <s v="Save-a-lot Markets"/>
    <x v="8"/>
    <n v="9"/>
    <n v="1"/>
    <s v="Speedy Express"/>
    <s v="Vegie-spread"/>
    <n v="2"/>
    <x v="4"/>
    <n v="7"/>
    <s v="Pavlova, Ltd."/>
    <n v="44"/>
    <n v="3520"/>
    <n v="0"/>
    <x v="0"/>
    <x v="3"/>
    <x v="5"/>
  </r>
  <r>
    <n v="202"/>
    <n v="10325"/>
    <n v="6"/>
    <n v="6"/>
    <x v="69"/>
    <n v="39"/>
    <s v="Koniglich Essen"/>
    <x v="10"/>
    <n v="1"/>
    <n v="3"/>
    <s v="Federal Shipping"/>
    <s v="Grandma's Boysenberry Spread"/>
    <n v="2"/>
    <x v="4"/>
    <n v="3"/>
    <s v="Grandma Kelly's Homestead"/>
    <n v="25"/>
    <n v="150"/>
    <n v="1"/>
    <x v="0"/>
    <x v="3"/>
    <x v="1"/>
  </r>
  <r>
    <n v="203"/>
    <n v="10325"/>
    <n v="13"/>
    <n v="12"/>
    <x v="69"/>
    <n v="39"/>
    <s v="Koniglich Essen"/>
    <x v="10"/>
    <n v="1"/>
    <n v="3"/>
    <s v="Federal Shipping"/>
    <s v="Konbu"/>
    <n v="8"/>
    <x v="3"/>
    <n v="6"/>
    <s v="Mayumi's"/>
    <n v="6"/>
    <n v="72"/>
    <n v="0"/>
    <x v="0"/>
    <x v="3"/>
    <x v="0"/>
  </r>
  <r>
    <n v="204"/>
    <n v="10325"/>
    <n v="14"/>
    <n v="9"/>
    <x v="69"/>
    <n v="39"/>
    <s v="Koniglich Essen"/>
    <x v="10"/>
    <n v="1"/>
    <n v="3"/>
    <s v="Federal Shipping"/>
    <s v="Tofu"/>
    <n v="7"/>
    <x v="2"/>
    <n v="6"/>
    <s v="Mayumi's"/>
    <n v="23"/>
    <n v="207"/>
    <n v="0"/>
    <x v="0"/>
    <x v="3"/>
    <x v="1"/>
  </r>
  <r>
    <n v="205"/>
    <n v="10325"/>
    <n v="31"/>
    <n v="4"/>
    <x v="69"/>
    <n v="39"/>
    <s v="Koniglich Essen"/>
    <x v="10"/>
    <n v="1"/>
    <n v="3"/>
    <s v="Federal Shipping"/>
    <s v="Gorgonzola Telino"/>
    <n v="4"/>
    <x v="0"/>
    <n v="14"/>
    <s v="Formaggi Fortini s.r.l."/>
    <n v="13"/>
    <n v="52"/>
    <n v="0"/>
    <x v="0"/>
    <x v="3"/>
    <x v="1"/>
  </r>
  <r>
    <n v="206"/>
    <n v="10325"/>
    <n v="72"/>
    <n v="40"/>
    <x v="69"/>
    <n v="39"/>
    <s v="Koniglich Essen"/>
    <x v="10"/>
    <n v="1"/>
    <n v="3"/>
    <s v="Federal Shipping"/>
    <s v="Mozzarella di Giovanni"/>
    <n v="4"/>
    <x v="0"/>
    <n v="14"/>
    <s v="Formaggi Fortini s.r.l."/>
    <n v="35"/>
    <n v="1400"/>
    <n v="0"/>
    <x v="0"/>
    <x v="3"/>
    <x v="2"/>
  </r>
  <r>
    <n v="207"/>
    <n v="10326"/>
    <n v="4"/>
    <n v="24"/>
    <x v="70"/>
    <n v="8"/>
    <s v="Bolido Comidas preparadas"/>
    <x v="12"/>
    <n v="4"/>
    <n v="2"/>
    <s v="United Package"/>
    <s v="Chef Anton's Cajun Seasoning"/>
    <n v="2"/>
    <x v="4"/>
    <n v="2"/>
    <s v="New Orleans Cajun Delights"/>
    <n v="22"/>
    <n v="528"/>
    <n v="1"/>
    <x v="0"/>
    <x v="3"/>
    <x v="3"/>
  </r>
  <r>
    <n v="208"/>
    <n v="10326"/>
    <n v="57"/>
    <n v="16"/>
    <x v="70"/>
    <n v="8"/>
    <s v="Bolido Comidas preparadas"/>
    <x v="12"/>
    <n v="4"/>
    <n v="2"/>
    <s v="United Package"/>
    <s v="Ravioli Angelo"/>
    <n v="5"/>
    <x v="1"/>
    <n v="26"/>
    <s v="Pasta Buttini s.r.l."/>
    <n v="20"/>
    <n v="320"/>
    <n v="0"/>
    <x v="0"/>
    <x v="3"/>
    <x v="0"/>
  </r>
  <r>
    <n v="209"/>
    <n v="10326"/>
    <n v="75"/>
    <n v="50"/>
    <x v="70"/>
    <n v="8"/>
    <s v="Bolido Comidas preparadas"/>
    <x v="12"/>
    <n v="4"/>
    <n v="2"/>
    <s v="United Package"/>
    <s v="Rhonbrau Klosterbier"/>
    <n v="1"/>
    <x v="6"/>
    <n v="12"/>
    <s v="Plutzer Lebensmittelgro├ƒmarkte AG"/>
    <n v="8"/>
    <n v="400"/>
    <n v="0"/>
    <x v="0"/>
    <x v="3"/>
    <x v="4"/>
  </r>
  <r>
    <n v="210"/>
    <n v="10327"/>
    <n v="2"/>
    <n v="25"/>
    <x v="71"/>
    <n v="24"/>
    <s v="Folk och fa HB"/>
    <x v="9"/>
    <n v="2"/>
    <n v="1"/>
    <s v="Speedy Express"/>
    <s v="Chang"/>
    <n v="1"/>
    <x v="6"/>
    <n v="1"/>
    <s v="Exotic Liquid"/>
    <n v="19"/>
    <n v="475"/>
    <n v="1"/>
    <x v="0"/>
    <x v="3"/>
    <x v="3"/>
  </r>
  <r>
    <n v="211"/>
    <n v="10327"/>
    <n v="11"/>
    <n v="50"/>
    <x v="71"/>
    <n v="24"/>
    <s v="Folk och fa HB"/>
    <x v="9"/>
    <n v="2"/>
    <n v="1"/>
    <s v="Speedy Express"/>
    <s v="Queso Cabrales"/>
    <n v="4"/>
    <x v="0"/>
    <n v="5"/>
    <s v="Cooperativa de Quesos 'Las Cabras'"/>
    <n v="21"/>
    <n v="1050"/>
    <n v="0"/>
    <x v="0"/>
    <x v="3"/>
    <x v="4"/>
  </r>
  <r>
    <n v="212"/>
    <n v="10327"/>
    <n v="30"/>
    <n v="35"/>
    <x v="71"/>
    <n v="24"/>
    <s v="Folk och fa HB"/>
    <x v="9"/>
    <n v="2"/>
    <n v="1"/>
    <s v="Speedy Express"/>
    <s v="Nord-Ost Matjeshering"/>
    <n v="8"/>
    <x v="3"/>
    <n v="13"/>
    <s v="Nord-Ost-Fisch Handelsgesellschaft mbH"/>
    <n v="26"/>
    <n v="910"/>
    <n v="0"/>
    <x v="0"/>
    <x v="3"/>
    <x v="2"/>
  </r>
  <r>
    <n v="213"/>
    <n v="10327"/>
    <n v="58"/>
    <n v="30"/>
    <x v="71"/>
    <n v="24"/>
    <s v="Folk och fa HB"/>
    <x v="9"/>
    <n v="2"/>
    <n v="1"/>
    <s v="Speedy Express"/>
    <s v="Escargots de Bourgogne"/>
    <n v="8"/>
    <x v="3"/>
    <n v="27"/>
    <s v="Escargots Nouveaux"/>
    <n v="13"/>
    <n v="390"/>
    <n v="0"/>
    <x v="0"/>
    <x v="3"/>
    <x v="3"/>
  </r>
  <r>
    <n v="214"/>
    <n v="10328"/>
    <n v="59"/>
    <n v="9"/>
    <x v="72"/>
    <n v="28"/>
    <s v="Furia Bacalhau e Frutos do Mar"/>
    <x v="15"/>
    <n v="4"/>
    <n v="3"/>
    <s v="Federal Shipping"/>
    <s v="Raclette Courdavault"/>
    <n v="4"/>
    <x v="0"/>
    <n v="28"/>
    <s v="Gai paturage"/>
    <n v="55"/>
    <n v="495"/>
    <n v="1"/>
    <x v="0"/>
    <x v="3"/>
    <x v="1"/>
  </r>
  <r>
    <n v="215"/>
    <n v="10328"/>
    <n v="65"/>
    <n v="40"/>
    <x v="72"/>
    <n v="28"/>
    <s v="Furia Bacalhau e Frutos do Mar"/>
    <x v="15"/>
    <n v="4"/>
    <n v="3"/>
    <s v="Federal Shipping"/>
    <s v="Louisiana Fiery Hot Pepper Sauce"/>
    <n v="2"/>
    <x v="4"/>
    <n v="2"/>
    <s v="New Orleans Cajun Delights"/>
    <n v="21"/>
    <n v="840"/>
    <n v="0"/>
    <x v="0"/>
    <x v="3"/>
    <x v="2"/>
  </r>
  <r>
    <n v="216"/>
    <n v="10328"/>
    <n v="68"/>
    <n v="10"/>
    <x v="72"/>
    <n v="28"/>
    <s v="Furia Bacalhau e Frutos do Mar"/>
    <x v="15"/>
    <n v="4"/>
    <n v="3"/>
    <s v="Federal Shipping"/>
    <s v="Scottish Longbreads"/>
    <n v="3"/>
    <x v="5"/>
    <n v="8"/>
    <s v="Specialty Biscuits, Ltd."/>
    <n v="13"/>
    <n v="130"/>
    <n v="0"/>
    <x v="0"/>
    <x v="3"/>
    <x v="1"/>
  </r>
  <r>
    <n v="217"/>
    <n v="10329"/>
    <n v="19"/>
    <n v="10"/>
    <x v="73"/>
    <n v="75"/>
    <s v="Split Rail Beer &amp; Ale"/>
    <x v="8"/>
    <n v="4"/>
    <n v="2"/>
    <s v="United Package"/>
    <s v="Teatime Chocolate Biscuits"/>
    <n v="3"/>
    <x v="5"/>
    <n v="8"/>
    <s v="Specialty Biscuits, Ltd."/>
    <n v="9"/>
    <n v="90"/>
    <n v="1"/>
    <x v="0"/>
    <x v="3"/>
    <x v="1"/>
  </r>
  <r>
    <n v="218"/>
    <n v="10329"/>
    <n v="30"/>
    <n v="8"/>
    <x v="73"/>
    <n v="75"/>
    <s v="Split Rail Beer &amp; Ale"/>
    <x v="8"/>
    <n v="4"/>
    <n v="2"/>
    <s v="United Package"/>
    <s v="Nord-Ost Matjeshering"/>
    <n v="8"/>
    <x v="3"/>
    <n v="13"/>
    <s v="Nord-Ost-Fisch Handelsgesellschaft mbH"/>
    <n v="26"/>
    <n v="208"/>
    <n v="0"/>
    <x v="0"/>
    <x v="3"/>
    <x v="1"/>
  </r>
  <r>
    <n v="219"/>
    <n v="10329"/>
    <n v="38"/>
    <n v="20"/>
    <x v="73"/>
    <n v="75"/>
    <s v="Split Rail Beer &amp; Ale"/>
    <x v="8"/>
    <n v="4"/>
    <n v="2"/>
    <s v="United Package"/>
    <s v="Cote de Blaye"/>
    <n v="1"/>
    <x v="6"/>
    <n v="18"/>
    <s v="Aux joyeux ecclesiastiques"/>
    <n v="264"/>
    <n v="5280"/>
    <n v="0"/>
    <x v="0"/>
    <x v="3"/>
    <x v="0"/>
  </r>
  <r>
    <n v="220"/>
    <n v="10329"/>
    <n v="56"/>
    <n v="12"/>
    <x v="73"/>
    <n v="75"/>
    <s v="Split Rail Beer &amp; Ale"/>
    <x v="8"/>
    <n v="4"/>
    <n v="2"/>
    <s v="United Package"/>
    <s v="Gnocchi di nonna Alice"/>
    <n v="5"/>
    <x v="1"/>
    <n v="26"/>
    <s v="Pasta Buttini s.r.l."/>
    <n v="38"/>
    <n v="456"/>
    <n v="0"/>
    <x v="0"/>
    <x v="3"/>
    <x v="0"/>
  </r>
  <r>
    <n v="221"/>
    <n v="10330"/>
    <n v="26"/>
    <n v="50"/>
    <x v="74"/>
    <n v="46"/>
    <s v="LILA-Supermercado"/>
    <x v="5"/>
    <n v="3"/>
    <n v="1"/>
    <s v="Speedy Express"/>
    <s v="Gumbar Gummibarchen"/>
    <n v="3"/>
    <x v="5"/>
    <n v="11"/>
    <s v="Heli Su├ƒwaren GmbH &amp; Co. KG"/>
    <n v="31"/>
    <n v="1550"/>
    <n v="1"/>
    <x v="0"/>
    <x v="3"/>
    <x v="4"/>
  </r>
  <r>
    <n v="222"/>
    <n v="10330"/>
    <n v="72"/>
    <n v="25"/>
    <x v="74"/>
    <n v="46"/>
    <s v="LILA-Supermercado"/>
    <x v="5"/>
    <n v="3"/>
    <n v="1"/>
    <s v="Speedy Express"/>
    <s v="Mozzarella di Giovanni"/>
    <n v="4"/>
    <x v="0"/>
    <n v="14"/>
    <s v="Formaggi Fortini s.r.l."/>
    <n v="35"/>
    <n v="875"/>
    <n v="0"/>
    <x v="0"/>
    <x v="3"/>
    <x v="3"/>
  </r>
  <r>
    <n v="223"/>
    <n v="10331"/>
    <n v="54"/>
    <n v="15"/>
    <x v="74"/>
    <n v="9"/>
    <s v="Bon app''"/>
    <x v="2"/>
    <n v="9"/>
    <n v="1"/>
    <s v="Speedy Express"/>
    <s v="Tourtiere"/>
    <n v="6"/>
    <x v="7"/>
    <n v="25"/>
    <s v="Ma Maison"/>
    <n v="7"/>
    <n v="105"/>
    <n v="1"/>
    <x v="0"/>
    <x v="3"/>
    <x v="0"/>
  </r>
  <r>
    <n v="224"/>
    <n v="10332"/>
    <n v="18"/>
    <n v="40"/>
    <x v="75"/>
    <n v="51"/>
    <s v="Mere Paillarde"/>
    <x v="16"/>
    <n v="3"/>
    <n v="2"/>
    <s v="United Package"/>
    <s v="Carnarvon Tigers"/>
    <n v="8"/>
    <x v="3"/>
    <n v="7"/>
    <s v="Pavlova, Ltd."/>
    <n v="63"/>
    <n v="2520"/>
    <n v="1"/>
    <x v="0"/>
    <x v="3"/>
    <x v="2"/>
  </r>
  <r>
    <n v="225"/>
    <n v="10332"/>
    <n v="42"/>
    <n v="10"/>
    <x v="75"/>
    <n v="51"/>
    <s v="Mere Paillarde"/>
    <x v="16"/>
    <n v="3"/>
    <n v="2"/>
    <s v="United Package"/>
    <s v="Singaporean Hokkien Fried Mee"/>
    <n v="5"/>
    <x v="1"/>
    <n v="20"/>
    <s v="Leka Trading"/>
    <n v="14"/>
    <n v="140"/>
    <n v="0"/>
    <x v="0"/>
    <x v="3"/>
    <x v="1"/>
  </r>
  <r>
    <n v="226"/>
    <n v="10332"/>
    <n v="47"/>
    <n v="16"/>
    <x v="75"/>
    <n v="51"/>
    <s v="Mere Paillarde"/>
    <x v="16"/>
    <n v="3"/>
    <n v="2"/>
    <s v="United Package"/>
    <s v="Zaanse koeken"/>
    <n v="3"/>
    <x v="5"/>
    <n v="22"/>
    <s v="Zaanse Snoepfabriek"/>
    <n v="10"/>
    <n v="160"/>
    <n v="0"/>
    <x v="0"/>
    <x v="3"/>
    <x v="0"/>
  </r>
  <r>
    <n v="227"/>
    <n v="10333"/>
    <n v="14"/>
    <n v="10"/>
    <x v="76"/>
    <n v="87"/>
    <s v="Wartian Herkku"/>
    <x v="0"/>
    <n v="5"/>
    <n v="3"/>
    <s v="Federal Shipping"/>
    <s v="Tofu"/>
    <n v="7"/>
    <x v="2"/>
    <n v="6"/>
    <s v="Mayumi's"/>
    <n v="23"/>
    <n v="230"/>
    <n v="1"/>
    <x v="0"/>
    <x v="3"/>
    <x v="1"/>
  </r>
  <r>
    <n v="228"/>
    <n v="10333"/>
    <n v="21"/>
    <n v="10"/>
    <x v="76"/>
    <n v="87"/>
    <s v="Wartian Herkku"/>
    <x v="0"/>
    <n v="5"/>
    <n v="3"/>
    <s v="Federal Shipping"/>
    <s v="Sir Rodney's Scones"/>
    <n v="3"/>
    <x v="5"/>
    <n v="8"/>
    <s v="Specialty Biscuits, Ltd."/>
    <n v="10"/>
    <n v="100"/>
    <n v="0"/>
    <x v="0"/>
    <x v="3"/>
    <x v="1"/>
  </r>
  <r>
    <n v="229"/>
    <n v="10333"/>
    <n v="71"/>
    <n v="40"/>
    <x v="76"/>
    <n v="87"/>
    <s v="Wartian Herkku"/>
    <x v="0"/>
    <n v="5"/>
    <n v="3"/>
    <s v="Federal Shipping"/>
    <s v="Fl├©temysost"/>
    <n v="4"/>
    <x v="0"/>
    <n v="15"/>
    <s v="Norske Meierier"/>
    <n v="22"/>
    <n v="880"/>
    <n v="0"/>
    <x v="0"/>
    <x v="3"/>
    <x v="2"/>
  </r>
  <r>
    <n v="230"/>
    <n v="10334"/>
    <n v="52"/>
    <n v="8"/>
    <x v="77"/>
    <n v="84"/>
    <s v="Victuailles en stock"/>
    <x v="2"/>
    <n v="8"/>
    <n v="2"/>
    <s v="United Package"/>
    <s v="Filo Mix"/>
    <n v="5"/>
    <x v="1"/>
    <n v="24"/>
    <s v="G'day, Mate"/>
    <n v="7"/>
    <n v="56"/>
    <n v="1"/>
    <x v="0"/>
    <x v="3"/>
    <x v="1"/>
  </r>
  <r>
    <n v="231"/>
    <n v="10334"/>
    <n v="68"/>
    <n v="10"/>
    <x v="77"/>
    <n v="84"/>
    <s v="Victuailles en stock"/>
    <x v="2"/>
    <n v="8"/>
    <n v="2"/>
    <s v="United Package"/>
    <s v="Scottish Longbreads"/>
    <n v="3"/>
    <x v="5"/>
    <n v="8"/>
    <s v="Specialty Biscuits, Ltd."/>
    <n v="13"/>
    <n v="130"/>
    <n v="0"/>
    <x v="0"/>
    <x v="3"/>
    <x v="1"/>
  </r>
  <r>
    <n v="232"/>
    <n v="10335"/>
    <n v="2"/>
    <n v="7"/>
    <x v="78"/>
    <n v="37"/>
    <s v="Hungry Owl All-Night Grocers"/>
    <x v="14"/>
    <n v="7"/>
    <n v="2"/>
    <s v="United Package"/>
    <s v="Chang"/>
    <n v="1"/>
    <x v="6"/>
    <n v="1"/>
    <s v="Exotic Liquid"/>
    <n v="19"/>
    <n v="133"/>
    <n v="1"/>
    <x v="0"/>
    <x v="3"/>
    <x v="1"/>
  </r>
  <r>
    <n v="233"/>
    <n v="10335"/>
    <n v="31"/>
    <n v="25"/>
    <x v="78"/>
    <n v="37"/>
    <s v="Hungry Owl All-Night Grocers"/>
    <x v="14"/>
    <n v="7"/>
    <n v="2"/>
    <s v="United Package"/>
    <s v="Gorgonzola Telino"/>
    <n v="4"/>
    <x v="0"/>
    <n v="14"/>
    <s v="Formaggi Fortini s.r.l."/>
    <n v="13"/>
    <n v="325"/>
    <n v="0"/>
    <x v="0"/>
    <x v="3"/>
    <x v="3"/>
  </r>
  <r>
    <n v="234"/>
    <n v="10335"/>
    <n v="32"/>
    <n v="6"/>
    <x v="78"/>
    <n v="37"/>
    <s v="Hungry Owl All-Night Grocers"/>
    <x v="14"/>
    <n v="7"/>
    <n v="2"/>
    <s v="United Package"/>
    <s v="Mascarpone Fabioli"/>
    <n v="4"/>
    <x v="0"/>
    <n v="14"/>
    <s v="Formaggi Fortini s.r.l."/>
    <n v="32"/>
    <n v="192"/>
    <n v="0"/>
    <x v="0"/>
    <x v="3"/>
    <x v="1"/>
  </r>
  <r>
    <n v="235"/>
    <n v="10335"/>
    <n v="51"/>
    <n v="48"/>
    <x v="78"/>
    <n v="37"/>
    <s v="Hungry Owl All-Night Grocers"/>
    <x v="14"/>
    <n v="7"/>
    <n v="2"/>
    <s v="United Package"/>
    <s v="Manjimup Dried Apples"/>
    <n v="7"/>
    <x v="2"/>
    <n v="24"/>
    <s v="G'day, Mate"/>
    <n v="53"/>
    <n v="2544"/>
    <n v="0"/>
    <x v="0"/>
    <x v="3"/>
    <x v="4"/>
  </r>
  <r>
    <n v="236"/>
    <n v="10336"/>
    <n v="4"/>
    <n v="18"/>
    <x v="79"/>
    <n v="60"/>
    <s v="Princesa Isabel Vinhoss"/>
    <x v="15"/>
    <n v="7"/>
    <n v="2"/>
    <s v="United Package"/>
    <s v="Chef Anton's Cajun Seasoning"/>
    <n v="2"/>
    <x v="4"/>
    <n v="2"/>
    <s v="New Orleans Cajun Delights"/>
    <n v="22"/>
    <n v="396"/>
    <n v="1"/>
    <x v="0"/>
    <x v="3"/>
    <x v="0"/>
  </r>
  <r>
    <n v="237"/>
    <n v="10337"/>
    <n v="23"/>
    <n v="40"/>
    <x v="80"/>
    <n v="25"/>
    <s v="Frankenversand"/>
    <x v="10"/>
    <n v="4"/>
    <n v="3"/>
    <s v="Federal Shipping"/>
    <s v="Tunnbrod"/>
    <n v="5"/>
    <x v="1"/>
    <n v="9"/>
    <s v="PB Knackebrod AB"/>
    <n v="9"/>
    <n v="360"/>
    <n v="1"/>
    <x v="0"/>
    <x v="3"/>
    <x v="2"/>
  </r>
  <r>
    <n v="238"/>
    <n v="10337"/>
    <n v="26"/>
    <n v="24"/>
    <x v="80"/>
    <n v="25"/>
    <s v="Frankenversand"/>
    <x v="10"/>
    <n v="4"/>
    <n v="3"/>
    <s v="Federal Shipping"/>
    <s v="Gumbar Gummibarchen"/>
    <n v="3"/>
    <x v="5"/>
    <n v="11"/>
    <s v="Heli Su├ƒwaren GmbH &amp; Co. KG"/>
    <n v="31"/>
    <n v="744"/>
    <n v="0"/>
    <x v="0"/>
    <x v="3"/>
    <x v="3"/>
  </r>
  <r>
    <n v="239"/>
    <n v="10337"/>
    <n v="36"/>
    <n v="20"/>
    <x v="80"/>
    <n v="25"/>
    <s v="Frankenversand"/>
    <x v="10"/>
    <n v="4"/>
    <n v="3"/>
    <s v="Federal Shipping"/>
    <s v="Inlagd Sill"/>
    <n v="8"/>
    <x v="3"/>
    <n v="17"/>
    <s v="Svensk Sjofoda AB"/>
    <n v="19"/>
    <n v="380"/>
    <n v="0"/>
    <x v="0"/>
    <x v="3"/>
    <x v="0"/>
  </r>
  <r>
    <n v="240"/>
    <n v="10337"/>
    <n v="37"/>
    <n v="28"/>
    <x v="80"/>
    <n v="25"/>
    <s v="Frankenversand"/>
    <x v="10"/>
    <n v="4"/>
    <n v="3"/>
    <s v="Federal Shipping"/>
    <s v="Gravad lax"/>
    <n v="8"/>
    <x v="3"/>
    <n v="17"/>
    <s v="Svensk Sjofoda AB"/>
    <n v="26"/>
    <n v="728"/>
    <n v="0"/>
    <x v="0"/>
    <x v="3"/>
    <x v="3"/>
  </r>
  <r>
    <n v="241"/>
    <n v="10337"/>
    <n v="72"/>
    <n v="25"/>
    <x v="80"/>
    <n v="25"/>
    <s v="Frankenversand"/>
    <x v="10"/>
    <n v="4"/>
    <n v="3"/>
    <s v="Federal Shipping"/>
    <s v="Mozzarella di Giovanni"/>
    <n v="4"/>
    <x v="0"/>
    <n v="14"/>
    <s v="Formaggi Fortini s.r.l."/>
    <n v="35"/>
    <n v="875"/>
    <n v="0"/>
    <x v="0"/>
    <x v="3"/>
    <x v="3"/>
  </r>
  <r>
    <n v="242"/>
    <n v="10338"/>
    <n v="17"/>
    <n v="20"/>
    <x v="81"/>
    <n v="55"/>
    <s v="Old World Delicatessen"/>
    <x v="8"/>
    <n v="4"/>
    <n v="3"/>
    <s v="Federal Shipping"/>
    <s v="Alice Mutton"/>
    <n v="6"/>
    <x v="7"/>
    <n v="7"/>
    <s v="Pavlova, Ltd."/>
    <n v="39"/>
    <n v="780"/>
    <n v="1"/>
    <x v="0"/>
    <x v="3"/>
    <x v="0"/>
  </r>
  <r>
    <n v="243"/>
    <n v="10338"/>
    <n v="30"/>
    <n v="15"/>
    <x v="81"/>
    <n v="55"/>
    <s v="Old World Delicatessen"/>
    <x v="8"/>
    <n v="4"/>
    <n v="3"/>
    <s v="Federal Shipping"/>
    <s v="Nord-Ost Matjeshering"/>
    <n v="8"/>
    <x v="3"/>
    <n v="13"/>
    <s v="Nord-Ost-Fisch Handelsgesellschaft mbH"/>
    <n v="26"/>
    <n v="390"/>
    <n v="0"/>
    <x v="0"/>
    <x v="3"/>
    <x v="0"/>
  </r>
  <r>
    <n v="244"/>
    <n v="10339"/>
    <n v="4"/>
    <n v="10"/>
    <x v="82"/>
    <n v="51"/>
    <s v="Mere Paillarde"/>
    <x v="16"/>
    <n v="2"/>
    <n v="2"/>
    <s v="United Package"/>
    <s v="Chef Anton's Cajun Seasoning"/>
    <n v="2"/>
    <x v="4"/>
    <n v="2"/>
    <s v="New Orleans Cajun Delights"/>
    <n v="22"/>
    <n v="220"/>
    <n v="1"/>
    <x v="0"/>
    <x v="3"/>
    <x v="1"/>
  </r>
  <r>
    <n v="245"/>
    <n v="10339"/>
    <n v="17"/>
    <n v="70"/>
    <x v="82"/>
    <n v="51"/>
    <s v="Mere Paillarde"/>
    <x v="16"/>
    <n v="2"/>
    <n v="2"/>
    <s v="United Package"/>
    <s v="Alice Mutton"/>
    <n v="6"/>
    <x v="7"/>
    <n v="7"/>
    <s v="Pavlova, Ltd."/>
    <n v="39"/>
    <n v="2730"/>
    <n v="0"/>
    <x v="0"/>
    <x v="3"/>
    <x v="5"/>
  </r>
  <r>
    <n v="246"/>
    <n v="10339"/>
    <n v="62"/>
    <n v="28"/>
    <x v="82"/>
    <n v="51"/>
    <s v="Mere Paillarde"/>
    <x v="16"/>
    <n v="2"/>
    <n v="2"/>
    <s v="United Package"/>
    <s v="Tarte au sucre"/>
    <n v="3"/>
    <x v="5"/>
    <n v="29"/>
    <s v="Forets d'erables"/>
    <n v="49"/>
    <n v="1372"/>
    <n v="0"/>
    <x v="0"/>
    <x v="3"/>
    <x v="3"/>
  </r>
  <r>
    <n v="247"/>
    <n v="10340"/>
    <n v="18"/>
    <n v="20"/>
    <x v="83"/>
    <n v="9"/>
    <s v="Bon app''"/>
    <x v="2"/>
    <n v="1"/>
    <n v="3"/>
    <s v="Federal Shipping"/>
    <s v="Carnarvon Tigers"/>
    <n v="8"/>
    <x v="3"/>
    <n v="7"/>
    <s v="Pavlova, Ltd."/>
    <n v="63"/>
    <n v="1260"/>
    <n v="1"/>
    <x v="0"/>
    <x v="3"/>
    <x v="0"/>
  </r>
  <r>
    <n v="248"/>
    <n v="10340"/>
    <n v="41"/>
    <n v="12"/>
    <x v="83"/>
    <n v="9"/>
    <s v="Bon app''"/>
    <x v="2"/>
    <n v="1"/>
    <n v="3"/>
    <s v="Federal Shipping"/>
    <s v="Jack's New England Clam Chowder"/>
    <n v="8"/>
    <x v="3"/>
    <n v="19"/>
    <s v="New England Seafood Cannery"/>
    <n v="10"/>
    <n v="120"/>
    <n v="0"/>
    <x v="0"/>
    <x v="3"/>
    <x v="0"/>
  </r>
  <r>
    <n v="249"/>
    <n v="10340"/>
    <n v="43"/>
    <n v="40"/>
    <x v="83"/>
    <n v="9"/>
    <s v="Bon app''"/>
    <x v="2"/>
    <n v="1"/>
    <n v="3"/>
    <s v="Federal Shipping"/>
    <s v="Ipoh Coffee"/>
    <n v="1"/>
    <x v="6"/>
    <n v="20"/>
    <s v="Leka Trading"/>
    <n v="46"/>
    <n v="1840"/>
    <n v="0"/>
    <x v="0"/>
    <x v="3"/>
    <x v="2"/>
  </r>
  <r>
    <n v="250"/>
    <n v="10341"/>
    <n v="33"/>
    <n v="8"/>
    <x v="83"/>
    <n v="73"/>
    <s v="Simons bistro"/>
    <x v="17"/>
    <n v="7"/>
    <n v="3"/>
    <s v="Federal Shipping"/>
    <s v="Geitost"/>
    <n v="4"/>
    <x v="0"/>
    <n v="15"/>
    <s v="Norske Meierier"/>
    <n v="3"/>
    <n v="24"/>
    <n v="1"/>
    <x v="0"/>
    <x v="3"/>
    <x v="1"/>
  </r>
  <r>
    <n v="251"/>
    <n v="10341"/>
    <n v="59"/>
    <n v="9"/>
    <x v="83"/>
    <n v="73"/>
    <s v="Simons bistro"/>
    <x v="17"/>
    <n v="7"/>
    <n v="3"/>
    <s v="Federal Shipping"/>
    <s v="Raclette Courdavault"/>
    <n v="4"/>
    <x v="0"/>
    <n v="28"/>
    <s v="Gai paturage"/>
    <n v="55"/>
    <n v="495"/>
    <n v="0"/>
    <x v="0"/>
    <x v="3"/>
    <x v="1"/>
  </r>
  <r>
    <n v="252"/>
    <n v="10342"/>
    <n v="2"/>
    <n v="24"/>
    <x v="84"/>
    <n v="25"/>
    <s v="Frankenversand"/>
    <x v="10"/>
    <n v="4"/>
    <n v="2"/>
    <s v="United Package"/>
    <s v="Chang"/>
    <n v="1"/>
    <x v="6"/>
    <n v="1"/>
    <s v="Exotic Liquid"/>
    <n v="19"/>
    <n v="456"/>
    <n v="1"/>
    <x v="0"/>
    <x v="3"/>
    <x v="3"/>
  </r>
  <r>
    <n v="253"/>
    <n v="10342"/>
    <n v="31"/>
    <n v="56"/>
    <x v="84"/>
    <n v="25"/>
    <s v="Frankenversand"/>
    <x v="10"/>
    <n v="4"/>
    <n v="2"/>
    <s v="United Package"/>
    <s v="Gorgonzola Telino"/>
    <n v="4"/>
    <x v="0"/>
    <n v="14"/>
    <s v="Formaggi Fortini s.r.l."/>
    <n v="13"/>
    <n v="728"/>
    <n v="0"/>
    <x v="0"/>
    <x v="3"/>
    <x v="5"/>
  </r>
  <r>
    <n v="254"/>
    <n v="10342"/>
    <n v="36"/>
    <n v="40"/>
    <x v="84"/>
    <n v="25"/>
    <s v="Frankenversand"/>
    <x v="10"/>
    <n v="4"/>
    <n v="2"/>
    <s v="United Package"/>
    <s v="Inlagd Sill"/>
    <n v="8"/>
    <x v="3"/>
    <n v="17"/>
    <s v="Svensk Sjofoda AB"/>
    <n v="19"/>
    <n v="760"/>
    <n v="0"/>
    <x v="0"/>
    <x v="3"/>
    <x v="2"/>
  </r>
  <r>
    <n v="255"/>
    <n v="10342"/>
    <n v="55"/>
    <n v="40"/>
    <x v="84"/>
    <n v="25"/>
    <s v="Frankenversand"/>
    <x v="10"/>
    <n v="4"/>
    <n v="2"/>
    <s v="United Package"/>
    <s v="Pate chinois"/>
    <n v="6"/>
    <x v="7"/>
    <n v="25"/>
    <s v="Ma Maison"/>
    <n v="24"/>
    <n v="960"/>
    <n v="0"/>
    <x v="0"/>
    <x v="3"/>
    <x v="2"/>
  </r>
  <r>
    <n v="256"/>
    <n v="10343"/>
    <n v="64"/>
    <n v="50"/>
    <x v="85"/>
    <n v="44"/>
    <s v="Lehmanns Marktstand"/>
    <x v="10"/>
    <n v="4"/>
    <n v="1"/>
    <s v="Speedy Express"/>
    <s v="Wimmers gute Semmelknodel"/>
    <n v="5"/>
    <x v="1"/>
    <n v="12"/>
    <s v="Plutzer Lebensmittelgro├ƒmarkte AG"/>
    <n v="33"/>
    <n v="1650"/>
    <n v="1"/>
    <x v="0"/>
    <x v="3"/>
    <x v="4"/>
  </r>
  <r>
    <n v="257"/>
    <n v="10343"/>
    <n v="68"/>
    <n v="4"/>
    <x v="85"/>
    <n v="44"/>
    <s v="Lehmanns Marktstand"/>
    <x v="10"/>
    <n v="4"/>
    <n v="1"/>
    <s v="Speedy Express"/>
    <s v="Scottish Longbreads"/>
    <n v="3"/>
    <x v="5"/>
    <n v="8"/>
    <s v="Specialty Biscuits, Ltd."/>
    <n v="13"/>
    <n v="52"/>
    <n v="0"/>
    <x v="0"/>
    <x v="3"/>
    <x v="1"/>
  </r>
  <r>
    <n v="258"/>
    <n v="10343"/>
    <n v="76"/>
    <n v="15"/>
    <x v="85"/>
    <n v="44"/>
    <s v="Lehmanns Marktstand"/>
    <x v="10"/>
    <n v="4"/>
    <n v="1"/>
    <s v="Speedy Express"/>
    <s v="Lakkalikoori"/>
    <n v="1"/>
    <x v="6"/>
    <n v="23"/>
    <s v="Karkki Oy"/>
    <n v="18"/>
    <n v="270"/>
    <n v="0"/>
    <x v="0"/>
    <x v="3"/>
    <x v="0"/>
  </r>
  <r>
    <n v="259"/>
    <n v="10344"/>
    <n v="4"/>
    <n v="35"/>
    <x v="86"/>
    <n v="89"/>
    <s v="White Clover Markets"/>
    <x v="8"/>
    <n v="4"/>
    <n v="2"/>
    <s v="United Package"/>
    <s v="Chef Anton's Cajun Seasoning"/>
    <n v="2"/>
    <x v="4"/>
    <n v="2"/>
    <s v="New Orleans Cajun Delights"/>
    <n v="22"/>
    <n v="770"/>
    <n v="1"/>
    <x v="0"/>
    <x v="4"/>
    <x v="2"/>
  </r>
  <r>
    <n v="260"/>
    <n v="10344"/>
    <n v="8"/>
    <n v="70"/>
    <x v="86"/>
    <n v="89"/>
    <s v="White Clover Markets"/>
    <x v="8"/>
    <n v="4"/>
    <n v="2"/>
    <s v="United Package"/>
    <s v="Northwoods Cranberry Sauce"/>
    <n v="2"/>
    <x v="4"/>
    <n v="3"/>
    <s v="Grandma Kelly's Homestead"/>
    <n v="40"/>
    <n v="2800"/>
    <n v="0"/>
    <x v="0"/>
    <x v="4"/>
    <x v="5"/>
  </r>
  <r>
    <n v="261"/>
    <n v="10345"/>
    <n v="8"/>
    <n v="70"/>
    <x v="87"/>
    <n v="63"/>
    <s v="QUICK-Stop"/>
    <x v="10"/>
    <n v="2"/>
    <n v="2"/>
    <s v="United Package"/>
    <s v="Northwoods Cranberry Sauce"/>
    <n v="2"/>
    <x v="4"/>
    <n v="3"/>
    <s v="Grandma Kelly's Homestead"/>
    <n v="40"/>
    <n v="2800"/>
    <n v="1"/>
    <x v="0"/>
    <x v="4"/>
    <x v="5"/>
  </r>
  <r>
    <n v="262"/>
    <n v="10345"/>
    <n v="19"/>
    <n v="80"/>
    <x v="87"/>
    <n v="63"/>
    <s v="QUICK-Stop"/>
    <x v="10"/>
    <n v="2"/>
    <n v="2"/>
    <s v="United Package"/>
    <s v="Teatime Chocolate Biscuits"/>
    <n v="3"/>
    <x v="5"/>
    <n v="8"/>
    <s v="Specialty Biscuits, Ltd."/>
    <n v="9"/>
    <n v="720"/>
    <n v="0"/>
    <x v="0"/>
    <x v="4"/>
    <x v="5"/>
  </r>
  <r>
    <n v="263"/>
    <n v="10345"/>
    <n v="42"/>
    <n v="9"/>
    <x v="87"/>
    <n v="63"/>
    <s v="QUICK-Stop"/>
    <x v="10"/>
    <n v="2"/>
    <n v="2"/>
    <s v="United Package"/>
    <s v="Singaporean Hokkien Fried Mee"/>
    <n v="5"/>
    <x v="1"/>
    <n v="20"/>
    <s v="Leka Trading"/>
    <n v="14"/>
    <n v="126"/>
    <n v="0"/>
    <x v="0"/>
    <x v="4"/>
    <x v="1"/>
  </r>
  <r>
    <n v="264"/>
    <n v="10346"/>
    <n v="17"/>
    <n v="36"/>
    <x v="88"/>
    <n v="65"/>
    <s v="Rattlesnake Canyon Grocery"/>
    <x v="8"/>
    <n v="3"/>
    <n v="3"/>
    <s v="Federal Shipping"/>
    <s v="Alice Mutton"/>
    <n v="6"/>
    <x v="7"/>
    <n v="7"/>
    <s v="Pavlova, Ltd."/>
    <n v="39"/>
    <n v="1404"/>
    <n v="1"/>
    <x v="0"/>
    <x v="4"/>
    <x v="2"/>
  </r>
  <r>
    <n v="265"/>
    <n v="10346"/>
    <n v="56"/>
    <n v="20"/>
    <x v="88"/>
    <n v="65"/>
    <s v="Rattlesnake Canyon Grocery"/>
    <x v="8"/>
    <n v="3"/>
    <n v="3"/>
    <s v="Federal Shipping"/>
    <s v="Gnocchi di nonna Alice"/>
    <n v="5"/>
    <x v="1"/>
    <n v="26"/>
    <s v="Pasta Buttini s.r.l."/>
    <n v="38"/>
    <n v="760"/>
    <n v="0"/>
    <x v="0"/>
    <x v="4"/>
    <x v="0"/>
  </r>
  <r>
    <n v="266"/>
    <n v="10347"/>
    <n v="25"/>
    <n v="10"/>
    <x v="89"/>
    <n v="21"/>
    <s v="Familia Arquibaldo"/>
    <x v="1"/>
    <n v="4"/>
    <n v="3"/>
    <s v="Federal Shipping"/>
    <s v="NuNuCa Nu├ƒ-Nougat-Creme"/>
    <n v="3"/>
    <x v="5"/>
    <n v="11"/>
    <s v="Heli Su├ƒwaren GmbH &amp; Co. KG"/>
    <n v="14"/>
    <n v="140"/>
    <n v="1"/>
    <x v="0"/>
    <x v="4"/>
    <x v="1"/>
  </r>
  <r>
    <n v="267"/>
    <n v="10347"/>
    <n v="39"/>
    <n v="50"/>
    <x v="89"/>
    <n v="21"/>
    <s v="Familia Arquibaldo"/>
    <x v="1"/>
    <n v="4"/>
    <n v="3"/>
    <s v="Federal Shipping"/>
    <s v="Chartreuse verte"/>
    <n v="1"/>
    <x v="6"/>
    <n v="18"/>
    <s v="Aux joyeux ecclesiastiques"/>
    <n v="18"/>
    <n v="900"/>
    <n v="0"/>
    <x v="0"/>
    <x v="4"/>
    <x v="4"/>
  </r>
  <r>
    <n v="268"/>
    <n v="10347"/>
    <n v="40"/>
    <n v="4"/>
    <x v="89"/>
    <n v="21"/>
    <s v="Familia Arquibaldo"/>
    <x v="1"/>
    <n v="4"/>
    <n v="3"/>
    <s v="Federal Shipping"/>
    <s v="Boston Crab Meat"/>
    <n v="8"/>
    <x v="3"/>
    <n v="19"/>
    <s v="New England Seafood Cannery"/>
    <n v="18"/>
    <n v="72"/>
    <n v="0"/>
    <x v="0"/>
    <x v="4"/>
    <x v="1"/>
  </r>
  <r>
    <n v="269"/>
    <n v="10347"/>
    <n v="75"/>
    <n v="6"/>
    <x v="89"/>
    <n v="21"/>
    <s v="Familia Arquibaldo"/>
    <x v="1"/>
    <n v="4"/>
    <n v="3"/>
    <s v="Federal Shipping"/>
    <s v="Rhonbrau Klosterbier"/>
    <n v="1"/>
    <x v="6"/>
    <n v="12"/>
    <s v="Plutzer Lebensmittelgro├ƒmarkte AG"/>
    <n v="8"/>
    <n v="48"/>
    <n v="0"/>
    <x v="0"/>
    <x v="4"/>
    <x v="1"/>
  </r>
  <r>
    <n v="270"/>
    <n v="10348"/>
    <n v="1"/>
    <n v="15"/>
    <x v="90"/>
    <n v="86"/>
    <s v="Die Wandernde Kuh"/>
    <x v="10"/>
    <n v="4"/>
    <n v="2"/>
    <s v="United Package"/>
    <s v="Chais"/>
    <n v="1"/>
    <x v="6"/>
    <n v="1"/>
    <s v="Exotic Liquid"/>
    <n v="18"/>
    <n v="270"/>
    <n v="1"/>
    <x v="0"/>
    <x v="4"/>
    <x v="0"/>
  </r>
  <r>
    <n v="271"/>
    <n v="10348"/>
    <n v="23"/>
    <n v="25"/>
    <x v="90"/>
    <n v="86"/>
    <s v="Die Wandernde Kuh"/>
    <x v="10"/>
    <n v="4"/>
    <n v="2"/>
    <s v="United Package"/>
    <s v="Tunnbrod"/>
    <n v="5"/>
    <x v="1"/>
    <n v="9"/>
    <s v="PB Knackebrod AB"/>
    <n v="9"/>
    <n v="225"/>
    <n v="0"/>
    <x v="0"/>
    <x v="4"/>
    <x v="3"/>
  </r>
  <r>
    <n v="272"/>
    <n v="10349"/>
    <n v="54"/>
    <n v="24"/>
    <x v="91"/>
    <n v="75"/>
    <s v="Split Rail Beer &amp; Ale"/>
    <x v="8"/>
    <n v="7"/>
    <n v="1"/>
    <s v="Speedy Express"/>
    <s v="Tourtiere"/>
    <n v="6"/>
    <x v="7"/>
    <n v="25"/>
    <s v="Ma Maison"/>
    <n v="7"/>
    <n v="168"/>
    <n v="1"/>
    <x v="0"/>
    <x v="4"/>
    <x v="3"/>
  </r>
  <r>
    <n v="273"/>
    <n v="10350"/>
    <n v="50"/>
    <n v="15"/>
    <x v="92"/>
    <n v="41"/>
    <s v="La maison d''Asie"/>
    <x v="2"/>
    <n v="6"/>
    <n v="2"/>
    <s v="United Package"/>
    <s v="Valkoinen suklaa"/>
    <n v="3"/>
    <x v="5"/>
    <n v="23"/>
    <s v="Karkki Oy"/>
    <n v="16"/>
    <n v="240"/>
    <n v="1"/>
    <x v="0"/>
    <x v="4"/>
    <x v="0"/>
  </r>
  <r>
    <n v="274"/>
    <n v="10350"/>
    <n v="69"/>
    <n v="18"/>
    <x v="92"/>
    <n v="41"/>
    <s v="La maison d''Asie"/>
    <x v="2"/>
    <n v="6"/>
    <n v="2"/>
    <s v="United Package"/>
    <s v="Gudbrandsdalsost"/>
    <n v="4"/>
    <x v="0"/>
    <n v="15"/>
    <s v="Norske Meierier"/>
    <n v="36"/>
    <n v="648"/>
    <n v="0"/>
    <x v="0"/>
    <x v="4"/>
    <x v="0"/>
  </r>
  <r>
    <n v="275"/>
    <n v="10351"/>
    <n v="38"/>
    <n v="20"/>
    <x v="92"/>
    <n v="20"/>
    <s v="Ernst Handel"/>
    <x v="6"/>
    <n v="1"/>
    <n v="1"/>
    <s v="Speedy Express"/>
    <s v="Cote de Blaye"/>
    <n v="1"/>
    <x v="6"/>
    <n v="18"/>
    <s v="Aux joyeux ecclesiastiques"/>
    <n v="264"/>
    <n v="5280"/>
    <n v="1"/>
    <x v="0"/>
    <x v="4"/>
    <x v="0"/>
  </r>
  <r>
    <n v="276"/>
    <n v="10351"/>
    <n v="41"/>
    <n v="13"/>
    <x v="92"/>
    <n v="20"/>
    <s v="Ernst Handel"/>
    <x v="6"/>
    <n v="1"/>
    <n v="1"/>
    <s v="Speedy Express"/>
    <s v="Jack's New England Clam Chowder"/>
    <n v="8"/>
    <x v="3"/>
    <n v="19"/>
    <s v="New England Seafood Cannery"/>
    <n v="10"/>
    <n v="130"/>
    <n v="0"/>
    <x v="0"/>
    <x v="4"/>
    <x v="0"/>
  </r>
  <r>
    <n v="277"/>
    <n v="10351"/>
    <n v="44"/>
    <n v="77"/>
    <x v="92"/>
    <n v="20"/>
    <s v="Ernst Handel"/>
    <x v="6"/>
    <n v="1"/>
    <n v="1"/>
    <s v="Speedy Express"/>
    <s v="Gula Malacca"/>
    <n v="2"/>
    <x v="4"/>
    <n v="20"/>
    <s v="Leka Trading"/>
    <n v="19"/>
    <n v="1463"/>
    <n v="0"/>
    <x v="0"/>
    <x v="4"/>
    <x v="5"/>
  </r>
  <r>
    <n v="278"/>
    <n v="10351"/>
    <n v="65"/>
    <n v="10"/>
    <x v="92"/>
    <n v="20"/>
    <s v="Ernst Handel"/>
    <x v="6"/>
    <n v="1"/>
    <n v="1"/>
    <s v="Speedy Express"/>
    <s v="Louisiana Fiery Hot Pepper Sauce"/>
    <n v="2"/>
    <x v="4"/>
    <n v="2"/>
    <s v="New Orleans Cajun Delights"/>
    <n v="21"/>
    <n v="210"/>
    <n v="0"/>
    <x v="0"/>
    <x v="4"/>
    <x v="1"/>
  </r>
  <r>
    <n v="279"/>
    <n v="10352"/>
    <n v="24"/>
    <n v="10"/>
    <x v="93"/>
    <n v="28"/>
    <s v="Furia Bacalhau e Frutos do Mar"/>
    <x v="15"/>
    <n v="3"/>
    <n v="3"/>
    <s v="Federal Shipping"/>
    <s v="Guarana Fantastica"/>
    <n v="1"/>
    <x v="6"/>
    <n v="10"/>
    <s v="Refrescos Americanas LTDA"/>
    <n v="5"/>
    <n v="50"/>
    <n v="1"/>
    <x v="0"/>
    <x v="4"/>
    <x v="1"/>
  </r>
  <r>
    <n v="280"/>
    <n v="10352"/>
    <n v="54"/>
    <n v="20"/>
    <x v="93"/>
    <n v="28"/>
    <s v="Furia Bacalhau e Frutos do Mar"/>
    <x v="15"/>
    <n v="3"/>
    <n v="3"/>
    <s v="Federal Shipping"/>
    <s v="Tourtiere"/>
    <n v="6"/>
    <x v="7"/>
    <n v="25"/>
    <s v="Ma Maison"/>
    <n v="7"/>
    <n v="140"/>
    <n v="0"/>
    <x v="0"/>
    <x v="4"/>
    <x v="0"/>
  </r>
  <r>
    <n v="281"/>
    <n v="10353"/>
    <n v="11"/>
    <n v="12"/>
    <x v="94"/>
    <n v="59"/>
    <s v="Piccolo und mehr"/>
    <x v="6"/>
    <n v="7"/>
    <n v="3"/>
    <s v="Federal Shipping"/>
    <s v="Queso Cabrales"/>
    <n v="4"/>
    <x v="0"/>
    <n v="5"/>
    <s v="Cooperativa de Quesos 'Las Cabras'"/>
    <n v="21"/>
    <n v="252"/>
    <n v="1"/>
    <x v="0"/>
    <x v="4"/>
    <x v="0"/>
  </r>
  <r>
    <n v="282"/>
    <n v="10353"/>
    <n v="38"/>
    <n v="50"/>
    <x v="94"/>
    <n v="59"/>
    <s v="Piccolo und mehr"/>
    <x v="6"/>
    <n v="7"/>
    <n v="3"/>
    <s v="Federal Shipping"/>
    <s v="Cote de Blaye"/>
    <n v="1"/>
    <x v="6"/>
    <n v="18"/>
    <s v="Aux joyeux ecclesiastiques"/>
    <n v="264"/>
    <n v="13200"/>
    <n v="0"/>
    <x v="0"/>
    <x v="4"/>
    <x v="4"/>
  </r>
  <r>
    <n v="283"/>
    <n v="10354"/>
    <n v="1"/>
    <n v="12"/>
    <x v="95"/>
    <n v="58"/>
    <s v="Pericles Comidas clasicas"/>
    <x v="7"/>
    <n v="8"/>
    <n v="3"/>
    <s v="Federal Shipping"/>
    <s v="Chais"/>
    <n v="1"/>
    <x v="6"/>
    <n v="1"/>
    <s v="Exotic Liquid"/>
    <n v="18"/>
    <n v="216"/>
    <n v="1"/>
    <x v="0"/>
    <x v="4"/>
    <x v="0"/>
  </r>
  <r>
    <n v="284"/>
    <n v="10354"/>
    <n v="29"/>
    <n v="4"/>
    <x v="95"/>
    <n v="58"/>
    <s v="Pericles Comidas clasicas"/>
    <x v="7"/>
    <n v="8"/>
    <n v="3"/>
    <s v="Federal Shipping"/>
    <s v="Thuringer Rostbratwurst"/>
    <n v="6"/>
    <x v="7"/>
    <n v="12"/>
    <s v="Plutzer Lebensmittelgro├ƒmarkte AG"/>
    <n v="124"/>
    <n v="496"/>
    <n v="0"/>
    <x v="0"/>
    <x v="4"/>
    <x v="1"/>
  </r>
  <r>
    <n v="285"/>
    <n v="10355"/>
    <n v="24"/>
    <n v="25"/>
    <x v="96"/>
    <n v="4"/>
    <s v="Around the Horn"/>
    <x v="13"/>
    <n v="6"/>
    <n v="1"/>
    <s v="Speedy Express"/>
    <s v="Guarana Fantastica"/>
    <n v="1"/>
    <x v="6"/>
    <n v="10"/>
    <s v="Refrescos Americanas LTDA"/>
    <n v="5"/>
    <n v="125"/>
    <n v="1"/>
    <x v="0"/>
    <x v="4"/>
    <x v="3"/>
  </r>
  <r>
    <n v="286"/>
    <n v="10355"/>
    <n v="57"/>
    <n v="25"/>
    <x v="96"/>
    <n v="4"/>
    <s v="Around the Horn"/>
    <x v="13"/>
    <n v="6"/>
    <n v="1"/>
    <s v="Speedy Express"/>
    <s v="Ravioli Angelo"/>
    <n v="5"/>
    <x v="1"/>
    <n v="26"/>
    <s v="Pasta Buttini s.r.l."/>
    <n v="20"/>
    <n v="500"/>
    <n v="0"/>
    <x v="0"/>
    <x v="4"/>
    <x v="3"/>
  </r>
  <r>
    <n v="287"/>
    <n v="10356"/>
    <n v="31"/>
    <n v="30"/>
    <x v="97"/>
    <n v="86"/>
    <s v="Die Wandernde Kuh"/>
    <x v="10"/>
    <n v="6"/>
    <n v="2"/>
    <s v="United Package"/>
    <s v="Gorgonzola Telino"/>
    <n v="4"/>
    <x v="0"/>
    <n v="14"/>
    <s v="Formaggi Fortini s.r.l."/>
    <n v="13"/>
    <n v="390"/>
    <n v="1"/>
    <x v="0"/>
    <x v="4"/>
    <x v="3"/>
  </r>
  <r>
    <n v="288"/>
    <n v="10356"/>
    <n v="55"/>
    <n v="12"/>
    <x v="97"/>
    <n v="86"/>
    <s v="Die Wandernde Kuh"/>
    <x v="10"/>
    <n v="6"/>
    <n v="2"/>
    <s v="United Package"/>
    <s v="Pate chinois"/>
    <n v="6"/>
    <x v="7"/>
    <n v="25"/>
    <s v="Ma Maison"/>
    <n v="24"/>
    <n v="288"/>
    <n v="0"/>
    <x v="0"/>
    <x v="4"/>
    <x v="0"/>
  </r>
  <r>
    <n v="289"/>
    <n v="10356"/>
    <n v="69"/>
    <n v="20"/>
    <x v="97"/>
    <n v="86"/>
    <s v="Die Wandernde Kuh"/>
    <x v="10"/>
    <n v="6"/>
    <n v="2"/>
    <s v="United Package"/>
    <s v="Gudbrandsdalsost"/>
    <n v="4"/>
    <x v="0"/>
    <n v="15"/>
    <s v="Norske Meierier"/>
    <n v="36"/>
    <n v="720"/>
    <n v="0"/>
    <x v="0"/>
    <x v="4"/>
    <x v="0"/>
  </r>
  <r>
    <n v="290"/>
    <n v="10357"/>
    <n v="10"/>
    <n v="30"/>
    <x v="98"/>
    <n v="46"/>
    <s v="LILA-Supermercado"/>
    <x v="5"/>
    <n v="1"/>
    <n v="3"/>
    <s v="Federal Shipping"/>
    <s v="Ikura"/>
    <n v="8"/>
    <x v="3"/>
    <n v="4"/>
    <s v="Tokyo Traders"/>
    <n v="31"/>
    <n v="930"/>
    <n v="1"/>
    <x v="0"/>
    <x v="4"/>
    <x v="3"/>
  </r>
  <r>
    <n v="291"/>
    <n v="10357"/>
    <n v="26"/>
    <n v="16"/>
    <x v="98"/>
    <n v="46"/>
    <s v="LILA-Supermercado"/>
    <x v="5"/>
    <n v="1"/>
    <n v="3"/>
    <s v="Federal Shipping"/>
    <s v="Gumbar Gummibarchen"/>
    <n v="3"/>
    <x v="5"/>
    <n v="11"/>
    <s v="Heli Su├ƒwaren GmbH &amp; Co. KG"/>
    <n v="31"/>
    <n v="496"/>
    <n v="0"/>
    <x v="0"/>
    <x v="4"/>
    <x v="0"/>
  </r>
  <r>
    <n v="292"/>
    <n v="10357"/>
    <n v="60"/>
    <n v="8"/>
    <x v="98"/>
    <n v="46"/>
    <s v="LILA-Supermercado"/>
    <x v="5"/>
    <n v="1"/>
    <n v="3"/>
    <s v="Federal Shipping"/>
    <s v="Camembert Pierrot"/>
    <n v="4"/>
    <x v="0"/>
    <n v="28"/>
    <s v="Gai paturage"/>
    <n v="34"/>
    <n v="272"/>
    <n v="0"/>
    <x v="0"/>
    <x v="4"/>
    <x v="1"/>
  </r>
  <r>
    <n v="293"/>
    <n v="10358"/>
    <n v="24"/>
    <n v="10"/>
    <x v="99"/>
    <n v="41"/>
    <s v="La maison d''Asie"/>
    <x v="2"/>
    <n v="5"/>
    <n v="1"/>
    <s v="Speedy Express"/>
    <s v="Guarana Fantastica"/>
    <n v="1"/>
    <x v="6"/>
    <n v="10"/>
    <s v="Refrescos Americanas LTDA"/>
    <n v="5"/>
    <n v="50"/>
    <n v="1"/>
    <x v="0"/>
    <x v="4"/>
    <x v="1"/>
  </r>
  <r>
    <n v="294"/>
    <n v="10358"/>
    <n v="34"/>
    <n v="10"/>
    <x v="99"/>
    <n v="41"/>
    <s v="La maison d''Asie"/>
    <x v="2"/>
    <n v="5"/>
    <n v="1"/>
    <s v="Speedy Express"/>
    <s v="Sasquatch Ale"/>
    <n v="1"/>
    <x v="6"/>
    <n v="16"/>
    <s v="Bigfoot Breweries"/>
    <n v="14"/>
    <n v="140"/>
    <n v="0"/>
    <x v="0"/>
    <x v="4"/>
    <x v="1"/>
  </r>
  <r>
    <n v="295"/>
    <n v="10358"/>
    <n v="36"/>
    <n v="20"/>
    <x v="99"/>
    <n v="41"/>
    <s v="La maison d''Asie"/>
    <x v="2"/>
    <n v="5"/>
    <n v="1"/>
    <s v="Speedy Express"/>
    <s v="Inlagd Sill"/>
    <n v="8"/>
    <x v="3"/>
    <n v="17"/>
    <s v="Svensk Sjofoda AB"/>
    <n v="19"/>
    <n v="380"/>
    <n v="0"/>
    <x v="0"/>
    <x v="4"/>
    <x v="0"/>
  </r>
  <r>
    <n v="296"/>
    <n v="10359"/>
    <n v="16"/>
    <n v="56"/>
    <x v="100"/>
    <n v="72"/>
    <s v="Seven Seas Imports"/>
    <x v="13"/>
    <n v="5"/>
    <n v="3"/>
    <s v="Federal Shipping"/>
    <s v="Pavlova"/>
    <n v="3"/>
    <x v="5"/>
    <n v="7"/>
    <s v="Pavlova, Ltd."/>
    <n v="17"/>
    <n v="952"/>
    <n v="1"/>
    <x v="0"/>
    <x v="4"/>
    <x v="5"/>
  </r>
  <r>
    <n v="297"/>
    <n v="10359"/>
    <n v="31"/>
    <n v="70"/>
    <x v="100"/>
    <n v="72"/>
    <s v="Seven Seas Imports"/>
    <x v="13"/>
    <n v="5"/>
    <n v="3"/>
    <s v="Federal Shipping"/>
    <s v="Gorgonzola Telino"/>
    <n v="4"/>
    <x v="0"/>
    <n v="14"/>
    <s v="Formaggi Fortini s.r.l."/>
    <n v="13"/>
    <n v="910"/>
    <n v="0"/>
    <x v="0"/>
    <x v="4"/>
    <x v="5"/>
  </r>
  <r>
    <n v="298"/>
    <n v="10359"/>
    <n v="60"/>
    <n v="80"/>
    <x v="100"/>
    <n v="72"/>
    <s v="Seven Seas Imports"/>
    <x v="13"/>
    <n v="5"/>
    <n v="3"/>
    <s v="Federal Shipping"/>
    <s v="Camembert Pierrot"/>
    <n v="4"/>
    <x v="0"/>
    <n v="28"/>
    <s v="Gai paturage"/>
    <n v="34"/>
    <n v="2720"/>
    <n v="0"/>
    <x v="0"/>
    <x v="4"/>
    <x v="5"/>
  </r>
  <r>
    <n v="299"/>
    <n v="10360"/>
    <n v="28"/>
    <n v="30"/>
    <x v="101"/>
    <n v="7"/>
    <s v="Blondel pere et fils"/>
    <x v="2"/>
    <n v="4"/>
    <n v="3"/>
    <s v="Federal Shipping"/>
    <s v="Rossle Sauerkraut"/>
    <n v="7"/>
    <x v="2"/>
    <n v="12"/>
    <s v="Plutzer Lebensmittelgro├ƒmarkte AG"/>
    <n v="46"/>
    <n v="1380"/>
    <n v="1"/>
    <x v="0"/>
    <x v="4"/>
    <x v="3"/>
  </r>
  <r>
    <n v="300"/>
    <n v="10360"/>
    <n v="29"/>
    <n v="35"/>
    <x v="101"/>
    <n v="7"/>
    <s v="Blondel pere et fils"/>
    <x v="2"/>
    <n v="4"/>
    <n v="3"/>
    <s v="Federal Shipping"/>
    <s v="Thuringer Rostbratwurst"/>
    <n v="6"/>
    <x v="7"/>
    <n v="12"/>
    <s v="Plutzer Lebensmittelgro├ƒmarkte AG"/>
    <n v="124"/>
    <n v="4340"/>
    <n v="0"/>
    <x v="0"/>
    <x v="4"/>
    <x v="2"/>
  </r>
  <r>
    <n v="301"/>
    <n v="10360"/>
    <n v="38"/>
    <n v="10"/>
    <x v="101"/>
    <n v="7"/>
    <s v="Blondel pere et fils"/>
    <x v="2"/>
    <n v="4"/>
    <n v="3"/>
    <s v="Federal Shipping"/>
    <s v="Cote de Blaye"/>
    <n v="1"/>
    <x v="6"/>
    <n v="18"/>
    <s v="Aux joyeux ecclesiastiques"/>
    <n v="264"/>
    <n v="2640"/>
    <n v="0"/>
    <x v="0"/>
    <x v="4"/>
    <x v="1"/>
  </r>
  <r>
    <n v="302"/>
    <n v="10360"/>
    <n v="49"/>
    <n v="35"/>
    <x v="101"/>
    <n v="7"/>
    <s v="Blondel pere et fils"/>
    <x v="2"/>
    <n v="4"/>
    <n v="3"/>
    <s v="Federal Shipping"/>
    <s v="Maxilaku"/>
    <n v="3"/>
    <x v="5"/>
    <n v="23"/>
    <s v="Karkki Oy"/>
    <n v="20"/>
    <n v="700"/>
    <n v="0"/>
    <x v="0"/>
    <x v="4"/>
    <x v="2"/>
  </r>
  <r>
    <n v="303"/>
    <n v="10360"/>
    <n v="54"/>
    <n v="28"/>
    <x v="101"/>
    <n v="7"/>
    <s v="Blondel pere et fils"/>
    <x v="2"/>
    <n v="4"/>
    <n v="3"/>
    <s v="Federal Shipping"/>
    <s v="Tourtiere"/>
    <n v="6"/>
    <x v="7"/>
    <n v="25"/>
    <s v="Ma Maison"/>
    <n v="7"/>
    <n v="196"/>
    <n v="0"/>
    <x v="0"/>
    <x v="4"/>
    <x v="3"/>
  </r>
  <r>
    <n v="304"/>
    <n v="10361"/>
    <n v="39"/>
    <n v="54"/>
    <x v="101"/>
    <n v="63"/>
    <s v="QUICK-Stop"/>
    <x v="10"/>
    <n v="1"/>
    <n v="2"/>
    <s v="United Package"/>
    <s v="Chartreuse verte"/>
    <n v="1"/>
    <x v="6"/>
    <n v="18"/>
    <s v="Aux joyeux ecclesiastiques"/>
    <n v="18"/>
    <n v="972"/>
    <n v="1"/>
    <x v="0"/>
    <x v="4"/>
    <x v="5"/>
  </r>
  <r>
    <n v="305"/>
    <n v="10361"/>
    <n v="60"/>
    <n v="55"/>
    <x v="101"/>
    <n v="63"/>
    <s v="QUICK-Stop"/>
    <x v="10"/>
    <n v="1"/>
    <n v="2"/>
    <s v="United Package"/>
    <s v="Camembert Pierrot"/>
    <n v="4"/>
    <x v="0"/>
    <n v="28"/>
    <s v="Gai paturage"/>
    <n v="34"/>
    <n v="1870"/>
    <n v="0"/>
    <x v="0"/>
    <x v="4"/>
    <x v="5"/>
  </r>
  <r>
    <n v="306"/>
    <n v="10362"/>
    <n v="25"/>
    <n v="50"/>
    <x v="102"/>
    <n v="9"/>
    <s v="Bon app''"/>
    <x v="2"/>
    <n v="3"/>
    <n v="1"/>
    <s v="Speedy Express"/>
    <s v="NuNuCa Nu├ƒ-Nougat-Creme"/>
    <n v="3"/>
    <x v="5"/>
    <n v="11"/>
    <s v="Heli Su├ƒwaren GmbH &amp; Co. KG"/>
    <n v="14"/>
    <n v="700"/>
    <n v="1"/>
    <x v="0"/>
    <x v="4"/>
    <x v="4"/>
  </r>
  <r>
    <n v="307"/>
    <n v="10362"/>
    <n v="51"/>
    <n v="20"/>
    <x v="102"/>
    <n v="9"/>
    <s v="Bon app''"/>
    <x v="2"/>
    <n v="3"/>
    <n v="1"/>
    <s v="Speedy Express"/>
    <s v="Manjimup Dried Apples"/>
    <n v="7"/>
    <x v="2"/>
    <n v="24"/>
    <s v="G'day, Mate"/>
    <n v="53"/>
    <n v="1060"/>
    <n v="0"/>
    <x v="0"/>
    <x v="4"/>
    <x v="0"/>
  </r>
  <r>
    <n v="308"/>
    <n v="10362"/>
    <n v="54"/>
    <n v="24"/>
    <x v="102"/>
    <n v="9"/>
    <s v="Bon app''"/>
    <x v="2"/>
    <n v="3"/>
    <n v="1"/>
    <s v="Speedy Express"/>
    <s v="Tourtiere"/>
    <n v="6"/>
    <x v="7"/>
    <n v="25"/>
    <s v="Ma Maison"/>
    <n v="7"/>
    <n v="168"/>
    <n v="0"/>
    <x v="0"/>
    <x v="4"/>
    <x v="3"/>
  </r>
  <r>
    <n v="309"/>
    <n v="10363"/>
    <n v="31"/>
    <n v="20"/>
    <x v="103"/>
    <n v="17"/>
    <s v="Drachenblut Delikatessend"/>
    <x v="10"/>
    <n v="4"/>
    <n v="3"/>
    <s v="Federal Shipping"/>
    <s v="Gorgonzola Telino"/>
    <n v="4"/>
    <x v="0"/>
    <n v="14"/>
    <s v="Formaggi Fortini s.r.l."/>
    <n v="13"/>
    <n v="260"/>
    <n v="1"/>
    <x v="0"/>
    <x v="4"/>
    <x v="0"/>
  </r>
  <r>
    <n v="310"/>
    <n v="10363"/>
    <n v="75"/>
    <n v="12"/>
    <x v="103"/>
    <n v="17"/>
    <s v="Drachenblut Delikatessend"/>
    <x v="10"/>
    <n v="4"/>
    <n v="3"/>
    <s v="Federal Shipping"/>
    <s v="Rhonbrau Klosterbier"/>
    <n v="1"/>
    <x v="6"/>
    <n v="12"/>
    <s v="Plutzer Lebensmittelgro├ƒmarkte AG"/>
    <n v="8"/>
    <n v="96"/>
    <n v="0"/>
    <x v="0"/>
    <x v="4"/>
    <x v="0"/>
  </r>
  <r>
    <n v="311"/>
    <n v="10363"/>
    <n v="76"/>
    <n v="12"/>
    <x v="103"/>
    <n v="17"/>
    <s v="Drachenblut Delikatessend"/>
    <x v="10"/>
    <n v="4"/>
    <n v="3"/>
    <s v="Federal Shipping"/>
    <s v="Lakkalikoori"/>
    <n v="1"/>
    <x v="6"/>
    <n v="23"/>
    <s v="Karkki Oy"/>
    <n v="18"/>
    <n v="216"/>
    <n v="0"/>
    <x v="0"/>
    <x v="4"/>
    <x v="0"/>
  </r>
  <r>
    <n v="312"/>
    <n v="10364"/>
    <n v="69"/>
    <n v="30"/>
    <x v="103"/>
    <n v="19"/>
    <s v="Eastern Connection"/>
    <x v="13"/>
    <n v="1"/>
    <n v="1"/>
    <s v="Speedy Express"/>
    <s v="Gudbrandsdalsost"/>
    <n v="4"/>
    <x v="0"/>
    <n v="15"/>
    <s v="Norske Meierier"/>
    <n v="36"/>
    <n v="1080"/>
    <n v="1"/>
    <x v="0"/>
    <x v="4"/>
    <x v="3"/>
  </r>
  <r>
    <n v="313"/>
    <n v="10364"/>
    <n v="71"/>
    <n v="5"/>
    <x v="103"/>
    <n v="19"/>
    <s v="Eastern Connection"/>
    <x v="13"/>
    <n v="1"/>
    <n v="1"/>
    <s v="Speedy Express"/>
    <s v="Fl├©temysost"/>
    <n v="4"/>
    <x v="0"/>
    <n v="15"/>
    <s v="Norske Meierier"/>
    <n v="22"/>
    <n v="110"/>
    <n v="0"/>
    <x v="0"/>
    <x v="4"/>
    <x v="1"/>
  </r>
  <r>
    <n v="314"/>
    <n v="10365"/>
    <n v="11"/>
    <n v="24"/>
    <x v="104"/>
    <n v="3"/>
    <s v="Antonio Moreno Taqueria"/>
    <x v="7"/>
    <n v="3"/>
    <n v="2"/>
    <s v="United Package"/>
    <s v="Queso Cabrales"/>
    <n v="4"/>
    <x v="0"/>
    <n v="5"/>
    <s v="Cooperativa de Quesos 'Las Cabras'"/>
    <n v="21"/>
    <n v="504"/>
    <n v="1"/>
    <x v="0"/>
    <x v="4"/>
    <x v="3"/>
  </r>
  <r>
    <n v="315"/>
    <n v="10366"/>
    <n v="65"/>
    <n v="5"/>
    <x v="105"/>
    <n v="29"/>
    <s v="Galeria del gastronomo"/>
    <x v="12"/>
    <n v="8"/>
    <n v="2"/>
    <s v="United Package"/>
    <s v="Louisiana Fiery Hot Pepper Sauce"/>
    <n v="2"/>
    <x v="4"/>
    <n v="2"/>
    <s v="New Orleans Cajun Delights"/>
    <n v="21"/>
    <n v="105"/>
    <n v="1"/>
    <x v="0"/>
    <x v="4"/>
    <x v="1"/>
  </r>
  <r>
    <n v="316"/>
    <n v="10366"/>
    <n v="77"/>
    <n v="5"/>
    <x v="105"/>
    <n v="29"/>
    <s v="Galeria del gastronomo"/>
    <x v="12"/>
    <n v="8"/>
    <n v="2"/>
    <s v="United Package"/>
    <s v="Original Frankfurter grune So├ƒe"/>
    <n v="2"/>
    <x v="4"/>
    <n v="12"/>
    <s v="Plutzer Lebensmittelgro├ƒmarkte AG"/>
    <n v="13"/>
    <n v="65"/>
    <n v="0"/>
    <x v="0"/>
    <x v="4"/>
    <x v="1"/>
  </r>
  <r>
    <n v="317"/>
    <n v="10367"/>
    <n v="34"/>
    <n v="36"/>
    <x v="105"/>
    <n v="83"/>
    <s v="Vaffeljernet"/>
    <x v="17"/>
    <n v="7"/>
    <n v="3"/>
    <s v="Federal Shipping"/>
    <s v="Sasquatch Ale"/>
    <n v="1"/>
    <x v="6"/>
    <n v="16"/>
    <s v="Bigfoot Breweries"/>
    <n v="14"/>
    <n v="504"/>
    <n v="1"/>
    <x v="0"/>
    <x v="4"/>
    <x v="2"/>
  </r>
  <r>
    <n v="318"/>
    <n v="10367"/>
    <n v="54"/>
    <n v="18"/>
    <x v="105"/>
    <n v="83"/>
    <s v="Vaffeljernet"/>
    <x v="17"/>
    <n v="7"/>
    <n v="3"/>
    <s v="Federal Shipping"/>
    <s v="Tourtiere"/>
    <n v="6"/>
    <x v="7"/>
    <n v="25"/>
    <s v="Ma Maison"/>
    <n v="7"/>
    <n v="126"/>
    <n v="0"/>
    <x v="0"/>
    <x v="4"/>
    <x v="0"/>
  </r>
  <r>
    <n v="319"/>
    <n v="10367"/>
    <n v="65"/>
    <n v="15"/>
    <x v="105"/>
    <n v="83"/>
    <s v="Vaffeljernet"/>
    <x v="17"/>
    <n v="7"/>
    <n v="3"/>
    <s v="Federal Shipping"/>
    <s v="Louisiana Fiery Hot Pepper Sauce"/>
    <n v="2"/>
    <x v="4"/>
    <n v="2"/>
    <s v="New Orleans Cajun Delights"/>
    <n v="21"/>
    <n v="315"/>
    <n v="0"/>
    <x v="0"/>
    <x v="4"/>
    <x v="0"/>
  </r>
  <r>
    <n v="320"/>
    <n v="10367"/>
    <n v="77"/>
    <n v="7"/>
    <x v="105"/>
    <n v="83"/>
    <s v="Vaffeljernet"/>
    <x v="17"/>
    <n v="7"/>
    <n v="3"/>
    <s v="Federal Shipping"/>
    <s v="Original Frankfurter grune So├ƒe"/>
    <n v="2"/>
    <x v="4"/>
    <n v="12"/>
    <s v="Plutzer Lebensmittelgro├ƒmarkte AG"/>
    <n v="13"/>
    <n v="91"/>
    <n v="0"/>
    <x v="0"/>
    <x v="4"/>
    <x v="1"/>
  </r>
  <r>
    <n v="321"/>
    <n v="10368"/>
    <n v="21"/>
    <n v="5"/>
    <x v="106"/>
    <n v="20"/>
    <s v="Ernst Handel"/>
    <x v="6"/>
    <n v="2"/>
    <n v="2"/>
    <s v="United Package"/>
    <s v="Sir Rodney's Scones"/>
    <n v="3"/>
    <x v="5"/>
    <n v="8"/>
    <s v="Specialty Biscuits, Ltd."/>
    <n v="10"/>
    <n v="50"/>
    <n v="1"/>
    <x v="0"/>
    <x v="4"/>
    <x v="1"/>
  </r>
  <r>
    <n v="322"/>
    <n v="10368"/>
    <n v="28"/>
    <n v="13"/>
    <x v="106"/>
    <n v="20"/>
    <s v="Ernst Handel"/>
    <x v="6"/>
    <n v="2"/>
    <n v="2"/>
    <s v="United Package"/>
    <s v="Rossle Sauerkraut"/>
    <n v="7"/>
    <x v="2"/>
    <n v="12"/>
    <s v="Plutzer Lebensmittelgro├ƒmarkte AG"/>
    <n v="46"/>
    <n v="598"/>
    <n v="0"/>
    <x v="0"/>
    <x v="4"/>
    <x v="0"/>
  </r>
  <r>
    <n v="323"/>
    <n v="10368"/>
    <n v="57"/>
    <n v="25"/>
    <x v="106"/>
    <n v="20"/>
    <s v="Ernst Handel"/>
    <x v="6"/>
    <n v="2"/>
    <n v="2"/>
    <s v="United Package"/>
    <s v="Ravioli Angelo"/>
    <n v="5"/>
    <x v="1"/>
    <n v="26"/>
    <s v="Pasta Buttini s.r.l."/>
    <n v="20"/>
    <n v="500"/>
    <n v="0"/>
    <x v="0"/>
    <x v="4"/>
    <x v="3"/>
  </r>
  <r>
    <n v="324"/>
    <n v="10368"/>
    <n v="64"/>
    <n v="35"/>
    <x v="106"/>
    <n v="20"/>
    <s v="Ernst Handel"/>
    <x v="6"/>
    <n v="2"/>
    <n v="2"/>
    <s v="United Package"/>
    <s v="Wimmers gute Semmelknodel"/>
    <n v="5"/>
    <x v="1"/>
    <n v="12"/>
    <s v="Plutzer Lebensmittelgro├ƒmarkte AG"/>
    <n v="33"/>
    <n v="1155"/>
    <n v="0"/>
    <x v="0"/>
    <x v="4"/>
    <x v="2"/>
  </r>
  <r>
    <n v="325"/>
    <n v="10369"/>
    <n v="29"/>
    <n v="20"/>
    <x v="107"/>
    <n v="75"/>
    <s v="Split Rail Beer &amp; Ale"/>
    <x v="8"/>
    <n v="8"/>
    <n v="2"/>
    <s v="United Package"/>
    <s v="Thuringer Rostbratwurst"/>
    <n v="6"/>
    <x v="7"/>
    <n v="12"/>
    <s v="Plutzer Lebensmittelgro├ƒmarkte AG"/>
    <n v="124"/>
    <n v="2480"/>
    <n v="1"/>
    <x v="0"/>
    <x v="5"/>
    <x v="0"/>
  </r>
  <r>
    <n v="326"/>
    <n v="10369"/>
    <n v="56"/>
    <n v="18"/>
    <x v="107"/>
    <n v="75"/>
    <s v="Split Rail Beer &amp; Ale"/>
    <x v="8"/>
    <n v="8"/>
    <n v="2"/>
    <s v="United Package"/>
    <s v="Gnocchi di nonna Alice"/>
    <n v="5"/>
    <x v="1"/>
    <n v="26"/>
    <s v="Pasta Buttini s.r.l."/>
    <n v="38"/>
    <n v="684"/>
    <n v="0"/>
    <x v="0"/>
    <x v="5"/>
    <x v="0"/>
  </r>
  <r>
    <n v="327"/>
    <n v="10370"/>
    <n v="1"/>
    <n v="15"/>
    <x v="108"/>
    <n v="14"/>
    <s v="Chop-suey Chinese"/>
    <x v="4"/>
    <n v="6"/>
    <n v="2"/>
    <s v="United Package"/>
    <s v="Chais"/>
    <n v="1"/>
    <x v="6"/>
    <n v="1"/>
    <s v="Exotic Liquid"/>
    <n v="18"/>
    <n v="270"/>
    <n v="1"/>
    <x v="0"/>
    <x v="5"/>
    <x v="0"/>
  </r>
  <r>
    <n v="328"/>
    <n v="10370"/>
    <n v="64"/>
    <n v="30"/>
    <x v="108"/>
    <n v="14"/>
    <s v="Chop-suey Chinese"/>
    <x v="4"/>
    <n v="6"/>
    <n v="2"/>
    <s v="United Package"/>
    <s v="Wimmers gute Semmelknodel"/>
    <n v="5"/>
    <x v="1"/>
    <n v="12"/>
    <s v="Plutzer Lebensmittelgro├ƒmarkte AG"/>
    <n v="33"/>
    <n v="990"/>
    <n v="0"/>
    <x v="0"/>
    <x v="5"/>
    <x v="3"/>
  </r>
  <r>
    <n v="329"/>
    <n v="10370"/>
    <n v="74"/>
    <n v="20"/>
    <x v="108"/>
    <n v="14"/>
    <s v="Chop-suey Chinese"/>
    <x v="4"/>
    <n v="6"/>
    <n v="2"/>
    <s v="United Package"/>
    <s v="Longlife Tofu"/>
    <n v="7"/>
    <x v="2"/>
    <n v="4"/>
    <s v="Tokyo Traders"/>
    <n v="10"/>
    <n v="200"/>
    <n v="0"/>
    <x v="0"/>
    <x v="5"/>
    <x v="0"/>
  </r>
  <r>
    <n v="330"/>
    <n v="10371"/>
    <n v="36"/>
    <n v="6"/>
    <x v="108"/>
    <n v="41"/>
    <s v="La maison d''Asie"/>
    <x v="2"/>
    <n v="1"/>
    <n v="1"/>
    <s v="Speedy Express"/>
    <s v="Inlagd Sill"/>
    <n v="8"/>
    <x v="3"/>
    <n v="17"/>
    <s v="Svensk Sjofoda AB"/>
    <n v="19"/>
    <n v="114"/>
    <n v="1"/>
    <x v="0"/>
    <x v="5"/>
    <x v="1"/>
  </r>
  <r>
    <n v="331"/>
    <n v="10372"/>
    <n v="20"/>
    <n v="12"/>
    <x v="109"/>
    <n v="62"/>
    <s v="Queen Cozinha"/>
    <x v="1"/>
    <n v="5"/>
    <n v="2"/>
    <s v="United Package"/>
    <s v="Sir Rodney's Marmalade"/>
    <n v="3"/>
    <x v="5"/>
    <n v="8"/>
    <s v="Specialty Biscuits, Ltd."/>
    <n v="81"/>
    <n v="972"/>
    <n v="1"/>
    <x v="0"/>
    <x v="5"/>
    <x v="0"/>
  </r>
  <r>
    <n v="332"/>
    <n v="10372"/>
    <n v="38"/>
    <n v="40"/>
    <x v="109"/>
    <n v="62"/>
    <s v="Queen Cozinha"/>
    <x v="1"/>
    <n v="5"/>
    <n v="2"/>
    <s v="United Package"/>
    <s v="Cote de Blaye"/>
    <n v="1"/>
    <x v="6"/>
    <n v="18"/>
    <s v="Aux joyeux ecclesiastiques"/>
    <n v="264"/>
    <n v="10560"/>
    <n v="0"/>
    <x v="0"/>
    <x v="5"/>
    <x v="2"/>
  </r>
  <r>
    <n v="333"/>
    <n v="10372"/>
    <n v="60"/>
    <n v="70"/>
    <x v="109"/>
    <n v="62"/>
    <s v="Queen Cozinha"/>
    <x v="1"/>
    <n v="5"/>
    <n v="2"/>
    <s v="United Package"/>
    <s v="Camembert Pierrot"/>
    <n v="4"/>
    <x v="0"/>
    <n v="28"/>
    <s v="Gai paturage"/>
    <n v="34"/>
    <n v="2380"/>
    <n v="0"/>
    <x v="0"/>
    <x v="5"/>
    <x v="5"/>
  </r>
  <r>
    <n v="334"/>
    <n v="10372"/>
    <n v="72"/>
    <n v="42"/>
    <x v="109"/>
    <n v="62"/>
    <s v="Queen Cozinha"/>
    <x v="1"/>
    <n v="5"/>
    <n v="2"/>
    <s v="United Package"/>
    <s v="Mozzarella di Giovanni"/>
    <n v="4"/>
    <x v="0"/>
    <n v="14"/>
    <s v="Formaggi Fortini s.r.l."/>
    <n v="35"/>
    <n v="1470"/>
    <n v="0"/>
    <x v="0"/>
    <x v="5"/>
    <x v="4"/>
  </r>
  <r>
    <n v="335"/>
    <n v="10373"/>
    <n v="58"/>
    <n v="80"/>
    <x v="110"/>
    <n v="37"/>
    <s v="Hungry Owl All-Night Grocers"/>
    <x v="14"/>
    <n v="4"/>
    <n v="3"/>
    <s v="Federal Shipping"/>
    <s v="Escargots de Bourgogne"/>
    <n v="8"/>
    <x v="3"/>
    <n v="27"/>
    <s v="Escargots Nouveaux"/>
    <n v="13"/>
    <n v="1040"/>
    <n v="1"/>
    <x v="0"/>
    <x v="5"/>
    <x v="5"/>
  </r>
  <r>
    <n v="336"/>
    <n v="10373"/>
    <n v="71"/>
    <n v="50"/>
    <x v="110"/>
    <n v="37"/>
    <s v="Hungry Owl All-Night Grocers"/>
    <x v="14"/>
    <n v="4"/>
    <n v="3"/>
    <s v="Federal Shipping"/>
    <s v="Fl├©temysost"/>
    <n v="4"/>
    <x v="0"/>
    <n v="15"/>
    <s v="Norske Meierier"/>
    <n v="22"/>
    <n v="1100"/>
    <n v="0"/>
    <x v="0"/>
    <x v="5"/>
    <x v="4"/>
  </r>
  <r>
    <n v="337"/>
    <n v="10374"/>
    <n v="31"/>
    <n v="30"/>
    <x v="110"/>
    <n v="91"/>
    <s v="Wolski"/>
    <x v="18"/>
    <n v="1"/>
    <n v="3"/>
    <s v="Federal Shipping"/>
    <s v="Gorgonzola Telino"/>
    <n v="4"/>
    <x v="0"/>
    <n v="14"/>
    <s v="Formaggi Fortini s.r.l."/>
    <n v="13"/>
    <n v="390"/>
    <n v="1"/>
    <x v="0"/>
    <x v="5"/>
    <x v="3"/>
  </r>
  <r>
    <n v="338"/>
    <n v="10374"/>
    <n v="58"/>
    <n v="15"/>
    <x v="110"/>
    <n v="91"/>
    <s v="Wolski"/>
    <x v="18"/>
    <n v="1"/>
    <n v="3"/>
    <s v="Federal Shipping"/>
    <s v="Escargots de Bourgogne"/>
    <n v="8"/>
    <x v="3"/>
    <n v="27"/>
    <s v="Escargots Nouveaux"/>
    <n v="13"/>
    <n v="195"/>
    <n v="0"/>
    <x v="0"/>
    <x v="5"/>
    <x v="0"/>
  </r>
  <r>
    <n v="339"/>
    <n v="10375"/>
    <n v="14"/>
    <n v="15"/>
    <x v="111"/>
    <n v="36"/>
    <s v="Hungry Coyote Import Store"/>
    <x v="8"/>
    <n v="3"/>
    <n v="2"/>
    <s v="United Package"/>
    <s v="Tofu"/>
    <n v="7"/>
    <x v="2"/>
    <n v="6"/>
    <s v="Mayumi's"/>
    <n v="23"/>
    <n v="345"/>
    <n v="1"/>
    <x v="0"/>
    <x v="5"/>
    <x v="0"/>
  </r>
  <r>
    <n v="340"/>
    <n v="10375"/>
    <n v="54"/>
    <n v="10"/>
    <x v="111"/>
    <n v="36"/>
    <s v="Hungry Coyote Import Store"/>
    <x v="8"/>
    <n v="3"/>
    <n v="2"/>
    <s v="United Package"/>
    <s v="Tourtiere"/>
    <n v="6"/>
    <x v="7"/>
    <n v="25"/>
    <s v="Ma Maison"/>
    <n v="7"/>
    <n v="70"/>
    <n v="0"/>
    <x v="0"/>
    <x v="5"/>
    <x v="1"/>
  </r>
  <r>
    <n v="341"/>
    <n v="10376"/>
    <n v="31"/>
    <n v="42"/>
    <x v="112"/>
    <n v="51"/>
    <s v="Mere Paillarde"/>
    <x v="16"/>
    <n v="1"/>
    <n v="2"/>
    <s v="United Package"/>
    <s v="Gorgonzola Telino"/>
    <n v="4"/>
    <x v="0"/>
    <n v="14"/>
    <s v="Formaggi Fortini s.r.l."/>
    <n v="13"/>
    <n v="546"/>
    <n v="1"/>
    <x v="0"/>
    <x v="5"/>
    <x v="4"/>
  </r>
  <r>
    <n v="342"/>
    <n v="10377"/>
    <n v="28"/>
    <n v="20"/>
    <x v="112"/>
    <n v="72"/>
    <s v="Seven Seas Imports"/>
    <x v="13"/>
    <n v="1"/>
    <n v="3"/>
    <s v="Federal Shipping"/>
    <s v="Rossle Sauerkraut"/>
    <n v="7"/>
    <x v="2"/>
    <n v="12"/>
    <s v="Plutzer Lebensmittelgro├ƒmarkte AG"/>
    <n v="46"/>
    <n v="920"/>
    <n v="1"/>
    <x v="0"/>
    <x v="5"/>
    <x v="0"/>
  </r>
  <r>
    <n v="343"/>
    <n v="10377"/>
    <n v="39"/>
    <n v="20"/>
    <x v="112"/>
    <n v="72"/>
    <s v="Seven Seas Imports"/>
    <x v="13"/>
    <n v="1"/>
    <n v="3"/>
    <s v="Federal Shipping"/>
    <s v="Chartreuse verte"/>
    <n v="1"/>
    <x v="6"/>
    <n v="18"/>
    <s v="Aux joyeux ecclesiastiques"/>
    <n v="18"/>
    <n v="360"/>
    <n v="0"/>
    <x v="0"/>
    <x v="5"/>
    <x v="0"/>
  </r>
  <r>
    <n v="344"/>
    <n v="10378"/>
    <n v="71"/>
    <n v="6"/>
    <x v="113"/>
    <n v="24"/>
    <s v="Folk och fa HB"/>
    <x v="9"/>
    <n v="5"/>
    <n v="3"/>
    <s v="Federal Shipping"/>
    <s v="Fl├©temysost"/>
    <n v="4"/>
    <x v="0"/>
    <n v="15"/>
    <s v="Norske Meierier"/>
    <n v="22"/>
    <n v="132"/>
    <n v="1"/>
    <x v="0"/>
    <x v="5"/>
    <x v="1"/>
  </r>
  <r>
    <n v="345"/>
    <n v="10379"/>
    <n v="41"/>
    <n v="8"/>
    <x v="114"/>
    <n v="61"/>
    <s v="Que Delicia"/>
    <x v="1"/>
    <n v="2"/>
    <n v="1"/>
    <s v="Speedy Express"/>
    <s v="Jack's New England Clam Chowder"/>
    <n v="8"/>
    <x v="3"/>
    <n v="19"/>
    <s v="New England Seafood Cannery"/>
    <n v="10"/>
    <n v="80"/>
    <n v="1"/>
    <x v="0"/>
    <x v="5"/>
    <x v="1"/>
  </r>
  <r>
    <n v="346"/>
    <n v="10379"/>
    <n v="63"/>
    <n v="16"/>
    <x v="114"/>
    <n v="61"/>
    <s v="Que Delicia"/>
    <x v="1"/>
    <n v="2"/>
    <n v="1"/>
    <s v="Speedy Express"/>
    <s v="Vegie-spread"/>
    <n v="2"/>
    <x v="4"/>
    <n v="7"/>
    <s v="Pavlova, Ltd."/>
    <n v="44"/>
    <n v="704"/>
    <n v="0"/>
    <x v="0"/>
    <x v="5"/>
    <x v="0"/>
  </r>
  <r>
    <n v="347"/>
    <n v="10379"/>
    <n v="65"/>
    <n v="20"/>
    <x v="114"/>
    <n v="61"/>
    <s v="Que Delicia"/>
    <x v="1"/>
    <n v="2"/>
    <n v="1"/>
    <s v="Speedy Express"/>
    <s v="Louisiana Fiery Hot Pepper Sauce"/>
    <n v="2"/>
    <x v="4"/>
    <n v="2"/>
    <s v="New Orleans Cajun Delights"/>
    <n v="21"/>
    <n v="420"/>
    <n v="0"/>
    <x v="0"/>
    <x v="5"/>
    <x v="0"/>
  </r>
  <r>
    <n v="348"/>
    <n v="10380"/>
    <n v="30"/>
    <n v="18"/>
    <x v="115"/>
    <n v="37"/>
    <s v="Hungry Owl All-Night Grocers"/>
    <x v="14"/>
    <n v="8"/>
    <n v="3"/>
    <s v="Federal Shipping"/>
    <s v="Nord-Ost Matjeshering"/>
    <n v="8"/>
    <x v="3"/>
    <n v="13"/>
    <s v="Nord-Ost-Fisch Handelsgesellschaft mbH"/>
    <n v="26"/>
    <n v="468"/>
    <n v="1"/>
    <x v="0"/>
    <x v="5"/>
    <x v="0"/>
  </r>
  <r>
    <n v="349"/>
    <n v="10380"/>
    <n v="53"/>
    <n v="20"/>
    <x v="115"/>
    <n v="37"/>
    <s v="Hungry Owl All-Night Grocers"/>
    <x v="14"/>
    <n v="8"/>
    <n v="3"/>
    <s v="Federal Shipping"/>
    <s v="Perth Pasties"/>
    <n v="6"/>
    <x v="7"/>
    <n v="24"/>
    <s v="G'day, Mate"/>
    <n v="33"/>
    <n v="660"/>
    <n v="0"/>
    <x v="0"/>
    <x v="5"/>
    <x v="0"/>
  </r>
  <r>
    <n v="350"/>
    <n v="10380"/>
    <n v="60"/>
    <n v="6"/>
    <x v="115"/>
    <n v="37"/>
    <s v="Hungry Owl All-Night Grocers"/>
    <x v="14"/>
    <n v="8"/>
    <n v="3"/>
    <s v="Federal Shipping"/>
    <s v="Camembert Pierrot"/>
    <n v="4"/>
    <x v="0"/>
    <n v="28"/>
    <s v="Gai paturage"/>
    <n v="34"/>
    <n v="204"/>
    <n v="0"/>
    <x v="0"/>
    <x v="5"/>
    <x v="1"/>
  </r>
  <r>
    <n v="351"/>
    <n v="10380"/>
    <n v="70"/>
    <n v="30"/>
    <x v="115"/>
    <n v="37"/>
    <s v="Hungry Owl All-Night Grocers"/>
    <x v="14"/>
    <n v="8"/>
    <n v="3"/>
    <s v="Federal Shipping"/>
    <s v="Outback Lager"/>
    <n v="1"/>
    <x v="6"/>
    <n v="7"/>
    <s v="Pavlova, Ltd."/>
    <n v="15"/>
    <n v="450"/>
    <n v="0"/>
    <x v="0"/>
    <x v="5"/>
    <x v="3"/>
  </r>
  <r>
    <n v="352"/>
    <n v="10381"/>
    <n v="74"/>
    <n v="14"/>
    <x v="115"/>
    <n v="46"/>
    <s v="LILA-Supermercado"/>
    <x v="5"/>
    <n v="3"/>
    <n v="3"/>
    <s v="Federal Shipping"/>
    <s v="Longlife Tofu"/>
    <n v="7"/>
    <x v="2"/>
    <n v="4"/>
    <s v="Tokyo Traders"/>
    <n v="10"/>
    <n v="140"/>
    <n v="1"/>
    <x v="0"/>
    <x v="5"/>
    <x v="0"/>
  </r>
  <r>
    <n v="353"/>
    <n v="10382"/>
    <n v="5"/>
    <n v="32"/>
    <x v="116"/>
    <n v="20"/>
    <s v="Ernst Handel"/>
    <x v="6"/>
    <n v="4"/>
    <n v="1"/>
    <s v="Speedy Express"/>
    <s v="Chef Anton's Gumbo Mix"/>
    <n v="2"/>
    <x v="4"/>
    <n v="2"/>
    <s v="New Orleans Cajun Delights"/>
    <n v="21"/>
    <n v="672"/>
    <n v="1"/>
    <x v="0"/>
    <x v="5"/>
    <x v="2"/>
  </r>
  <r>
    <n v="354"/>
    <n v="10382"/>
    <n v="18"/>
    <n v="9"/>
    <x v="116"/>
    <n v="20"/>
    <s v="Ernst Handel"/>
    <x v="6"/>
    <n v="4"/>
    <n v="1"/>
    <s v="Speedy Express"/>
    <s v="Carnarvon Tigers"/>
    <n v="8"/>
    <x v="3"/>
    <n v="7"/>
    <s v="Pavlova, Ltd."/>
    <n v="63"/>
    <n v="567"/>
    <n v="0"/>
    <x v="0"/>
    <x v="5"/>
    <x v="1"/>
  </r>
  <r>
    <n v="355"/>
    <n v="10382"/>
    <n v="29"/>
    <n v="14"/>
    <x v="116"/>
    <n v="20"/>
    <s v="Ernst Handel"/>
    <x v="6"/>
    <n v="4"/>
    <n v="1"/>
    <s v="Speedy Express"/>
    <s v="Thuringer Rostbratwurst"/>
    <n v="6"/>
    <x v="7"/>
    <n v="12"/>
    <s v="Plutzer Lebensmittelgro├ƒmarkte AG"/>
    <n v="124"/>
    <n v="1736"/>
    <n v="0"/>
    <x v="0"/>
    <x v="5"/>
    <x v="0"/>
  </r>
  <r>
    <n v="356"/>
    <n v="10382"/>
    <n v="33"/>
    <n v="60"/>
    <x v="116"/>
    <n v="20"/>
    <s v="Ernst Handel"/>
    <x v="6"/>
    <n v="4"/>
    <n v="1"/>
    <s v="Speedy Express"/>
    <s v="Geitost"/>
    <n v="4"/>
    <x v="0"/>
    <n v="15"/>
    <s v="Norske Meierier"/>
    <n v="3"/>
    <n v="180"/>
    <n v="0"/>
    <x v="0"/>
    <x v="5"/>
    <x v="5"/>
  </r>
  <r>
    <n v="357"/>
    <n v="10382"/>
    <n v="74"/>
    <n v="50"/>
    <x v="116"/>
    <n v="20"/>
    <s v="Ernst Handel"/>
    <x v="6"/>
    <n v="4"/>
    <n v="1"/>
    <s v="Speedy Express"/>
    <s v="Longlife Tofu"/>
    <n v="7"/>
    <x v="2"/>
    <n v="4"/>
    <s v="Tokyo Traders"/>
    <n v="10"/>
    <n v="500"/>
    <n v="0"/>
    <x v="0"/>
    <x v="5"/>
    <x v="4"/>
  </r>
  <r>
    <n v="358"/>
    <n v="10383"/>
    <n v="13"/>
    <n v="20"/>
    <x v="117"/>
    <n v="4"/>
    <s v="Around the Horn"/>
    <x v="13"/>
    <n v="8"/>
    <n v="3"/>
    <s v="Federal Shipping"/>
    <s v="Konbu"/>
    <n v="8"/>
    <x v="3"/>
    <n v="6"/>
    <s v="Mayumi's"/>
    <n v="6"/>
    <n v="120"/>
    <n v="1"/>
    <x v="0"/>
    <x v="5"/>
    <x v="0"/>
  </r>
  <r>
    <n v="359"/>
    <n v="10383"/>
    <n v="50"/>
    <n v="15"/>
    <x v="117"/>
    <n v="4"/>
    <s v="Around the Horn"/>
    <x v="13"/>
    <n v="8"/>
    <n v="3"/>
    <s v="Federal Shipping"/>
    <s v="Valkoinen suklaa"/>
    <n v="3"/>
    <x v="5"/>
    <n v="23"/>
    <s v="Karkki Oy"/>
    <n v="16"/>
    <n v="240"/>
    <n v="0"/>
    <x v="0"/>
    <x v="5"/>
    <x v="0"/>
  </r>
  <r>
    <n v="360"/>
    <n v="10383"/>
    <n v="56"/>
    <n v="20"/>
    <x v="117"/>
    <n v="4"/>
    <s v="Around the Horn"/>
    <x v="13"/>
    <n v="8"/>
    <n v="3"/>
    <s v="Federal Shipping"/>
    <s v="Gnocchi di nonna Alice"/>
    <n v="5"/>
    <x v="1"/>
    <n v="26"/>
    <s v="Pasta Buttini s.r.l."/>
    <n v="38"/>
    <n v="760"/>
    <n v="0"/>
    <x v="0"/>
    <x v="5"/>
    <x v="0"/>
  </r>
  <r>
    <n v="361"/>
    <n v="10384"/>
    <n v="20"/>
    <n v="28"/>
    <x v="117"/>
    <n v="5"/>
    <s v="Berglunds snabbkop"/>
    <x v="9"/>
    <n v="3"/>
    <n v="3"/>
    <s v="Federal Shipping"/>
    <s v="Sir Rodney's Marmalade"/>
    <n v="3"/>
    <x v="5"/>
    <n v="8"/>
    <s v="Specialty Biscuits, Ltd."/>
    <n v="81"/>
    <n v="2268"/>
    <n v="1"/>
    <x v="0"/>
    <x v="5"/>
    <x v="3"/>
  </r>
  <r>
    <n v="362"/>
    <n v="10384"/>
    <n v="60"/>
    <n v="15"/>
    <x v="117"/>
    <n v="5"/>
    <s v="Berglunds snabbkop"/>
    <x v="9"/>
    <n v="3"/>
    <n v="3"/>
    <s v="Federal Shipping"/>
    <s v="Camembert Pierrot"/>
    <n v="4"/>
    <x v="0"/>
    <n v="28"/>
    <s v="Gai paturage"/>
    <n v="34"/>
    <n v="510"/>
    <n v="0"/>
    <x v="0"/>
    <x v="5"/>
    <x v="0"/>
  </r>
  <r>
    <n v="363"/>
    <n v="10385"/>
    <n v="7"/>
    <n v="10"/>
    <x v="118"/>
    <n v="75"/>
    <s v="Split Rail Beer &amp; Ale"/>
    <x v="8"/>
    <n v="1"/>
    <n v="2"/>
    <s v="United Package"/>
    <s v="Uncle Bob's Organic Dried Pears"/>
    <n v="7"/>
    <x v="2"/>
    <n v="3"/>
    <s v="Grandma Kelly's Homestead"/>
    <n v="30"/>
    <n v="300"/>
    <n v="1"/>
    <x v="0"/>
    <x v="5"/>
    <x v="1"/>
  </r>
  <r>
    <n v="364"/>
    <n v="10385"/>
    <n v="60"/>
    <n v="20"/>
    <x v="118"/>
    <n v="75"/>
    <s v="Split Rail Beer &amp; Ale"/>
    <x v="8"/>
    <n v="1"/>
    <n v="2"/>
    <s v="United Package"/>
    <s v="Camembert Pierrot"/>
    <n v="4"/>
    <x v="0"/>
    <n v="28"/>
    <s v="Gai paturage"/>
    <n v="34"/>
    <n v="680"/>
    <n v="0"/>
    <x v="0"/>
    <x v="5"/>
    <x v="0"/>
  </r>
  <r>
    <n v="365"/>
    <n v="10385"/>
    <n v="68"/>
    <n v="8"/>
    <x v="118"/>
    <n v="75"/>
    <s v="Split Rail Beer &amp; Ale"/>
    <x v="8"/>
    <n v="1"/>
    <n v="2"/>
    <s v="United Package"/>
    <s v="Scottish Longbreads"/>
    <n v="3"/>
    <x v="5"/>
    <n v="8"/>
    <s v="Specialty Biscuits, Ltd."/>
    <n v="13"/>
    <n v="104"/>
    <n v="0"/>
    <x v="0"/>
    <x v="5"/>
    <x v="1"/>
  </r>
  <r>
    <n v="366"/>
    <n v="10386"/>
    <n v="24"/>
    <n v="15"/>
    <x v="119"/>
    <n v="21"/>
    <s v="Familia Arquibaldo"/>
    <x v="1"/>
    <n v="9"/>
    <n v="3"/>
    <s v="Federal Shipping"/>
    <s v="Guarana Fantastica"/>
    <n v="1"/>
    <x v="6"/>
    <n v="10"/>
    <s v="Refrescos Americanas LTDA"/>
    <n v="5"/>
    <n v="75"/>
    <n v="1"/>
    <x v="0"/>
    <x v="5"/>
    <x v="0"/>
  </r>
  <r>
    <n v="367"/>
    <n v="10386"/>
    <n v="34"/>
    <n v="10"/>
    <x v="119"/>
    <n v="21"/>
    <s v="Familia Arquibaldo"/>
    <x v="1"/>
    <n v="9"/>
    <n v="3"/>
    <s v="Federal Shipping"/>
    <s v="Sasquatch Ale"/>
    <n v="1"/>
    <x v="6"/>
    <n v="16"/>
    <s v="Bigfoot Breweries"/>
    <n v="14"/>
    <n v="140"/>
    <n v="0"/>
    <x v="0"/>
    <x v="5"/>
    <x v="1"/>
  </r>
  <r>
    <n v="368"/>
    <n v="10387"/>
    <n v="24"/>
    <n v="15"/>
    <x v="119"/>
    <n v="70"/>
    <s v="Sante Gourmet"/>
    <x v="19"/>
    <n v="1"/>
    <n v="2"/>
    <s v="United Package"/>
    <s v="Guarana Fantastica"/>
    <n v="1"/>
    <x v="6"/>
    <n v="10"/>
    <s v="Refrescos Americanas LTDA"/>
    <n v="5"/>
    <n v="75"/>
    <n v="1"/>
    <x v="0"/>
    <x v="5"/>
    <x v="0"/>
  </r>
  <r>
    <n v="369"/>
    <n v="10387"/>
    <n v="28"/>
    <n v="6"/>
    <x v="119"/>
    <n v="70"/>
    <s v="Sante Gourmet"/>
    <x v="19"/>
    <n v="1"/>
    <n v="2"/>
    <s v="United Package"/>
    <s v="Rossle Sauerkraut"/>
    <n v="7"/>
    <x v="2"/>
    <n v="12"/>
    <s v="Plutzer Lebensmittelgro├ƒmarkte AG"/>
    <n v="46"/>
    <n v="276"/>
    <n v="0"/>
    <x v="0"/>
    <x v="5"/>
    <x v="1"/>
  </r>
  <r>
    <n v="370"/>
    <n v="10387"/>
    <n v="59"/>
    <n v="12"/>
    <x v="119"/>
    <n v="70"/>
    <s v="Sante Gourmet"/>
    <x v="19"/>
    <n v="1"/>
    <n v="2"/>
    <s v="United Package"/>
    <s v="Raclette Courdavault"/>
    <n v="4"/>
    <x v="0"/>
    <n v="28"/>
    <s v="Gai paturage"/>
    <n v="55"/>
    <n v="660"/>
    <n v="0"/>
    <x v="0"/>
    <x v="5"/>
    <x v="0"/>
  </r>
  <r>
    <n v="371"/>
    <n v="10387"/>
    <n v="71"/>
    <n v="15"/>
    <x v="119"/>
    <n v="70"/>
    <s v="Sante Gourmet"/>
    <x v="19"/>
    <n v="1"/>
    <n v="2"/>
    <s v="United Package"/>
    <s v="Fl├©temysost"/>
    <n v="4"/>
    <x v="0"/>
    <n v="15"/>
    <s v="Norske Meierier"/>
    <n v="22"/>
    <n v="330"/>
    <n v="0"/>
    <x v="0"/>
    <x v="5"/>
    <x v="0"/>
  </r>
  <r>
    <n v="372"/>
    <n v="10388"/>
    <n v="45"/>
    <n v="15"/>
    <x v="120"/>
    <n v="72"/>
    <s v="Seven Seas Imports"/>
    <x v="13"/>
    <n v="2"/>
    <n v="1"/>
    <s v="Speedy Express"/>
    <s v="R├©gede sild"/>
    <n v="8"/>
    <x v="3"/>
    <n v="21"/>
    <s v="Lyngbysild"/>
    <n v="10"/>
    <n v="150"/>
    <n v="1"/>
    <x v="0"/>
    <x v="5"/>
    <x v="0"/>
  </r>
  <r>
    <n v="373"/>
    <n v="10388"/>
    <n v="52"/>
    <n v="20"/>
    <x v="120"/>
    <n v="72"/>
    <s v="Seven Seas Imports"/>
    <x v="13"/>
    <n v="2"/>
    <n v="1"/>
    <s v="Speedy Express"/>
    <s v="Filo Mix"/>
    <n v="5"/>
    <x v="1"/>
    <n v="24"/>
    <s v="G'day, Mate"/>
    <n v="7"/>
    <n v="140"/>
    <n v="0"/>
    <x v="0"/>
    <x v="5"/>
    <x v="0"/>
  </r>
  <r>
    <n v="374"/>
    <n v="10388"/>
    <n v="53"/>
    <n v="40"/>
    <x v="120"/>
    <n v="72"/>
    <s v="Seven Seas Imports"/>
    <x v="13"/>
    <n v="2"/>
    <n v="1"/>
    <s v="Speedy Express"/>
    <s v="Perth Pasties"/>
    <n v="6"/>
    <x v="7"/>
    <n v="24"/>
    <s v="G'day, Mate"/>
    <n v="33"/>
    <n v="1320"/>
    <n v="0"/>
    <x v="0"/>
    <x v="5"/>
    <x v="2"/>
  </r>
  <r>
    <n v="375"/>
    <n v="10389"/>
    <n v="10"/>
    <n v="16"/>
    <x v="121"/>
    <n v="10"/>
    <s v="Bottom-Dollar Marketse"/>
    <x v="16"/>
    <n v="4"/>
    <n v="2"/>
    <s v="United Package"/>
    <s v="Ikura"/>
    <n v="8"/>
    <x v="3"/>
    <n v="4"/>
    <s v="Tokyo Traders"/>
    <n v="31"/>
    <n v="496"/>
    <n v="1"/>
    <x v="0"/>
    <x v="5"/>
    <x v="0"/>
  </r>
  <r>
    <n v="376"/>
    <n v="10389"/>
    <n v="55"/>
    <n v="15"/>
    <x v="121"/>
    <n v="10"/>
    <s v="Bottom-Dollar Marketse"/>
    <x v="16"/>
    <n v="4"/>
    <n v="2"/>
    <s v="United Package"/>
    <s v="Pate chinois"/>
    <n v="6"/>
    <x v="7"/>
    <n v="25"/>
    <s v="Ma Maison"/>
    <n v="24"/>
    <n v="360"/>
    <n v="0"/>
    <x v="0"/>
    <x v="5"/>
    <x v="0"/>
  </r>
  <r>
    <n v="377"/>
    <n v="10389"/>
    <n v="62"/>
    <n v="20"/>
    <x v="121"/>
    <n v="10"/>
    <s v="Bottom-Dollar Marketse"/>
    <x v="16"/>
    <n v="4"/>
    <n v="2"/>
    <s v="United Package"/>
    <s v="Tarte au sucre"/>
    <n v="3"/>
    <x v="5"/>
    <n v="29"/>
    <s v="Forets d'erables"/>
    <n v="49"/>
    <n v="980"/>
    <n v="0"/>
    <x v="0"/>
    <x v="5"/>
    <x v="0"/>
  </r>
  <r>
    <n v="378"/>
    <n v="10389"/>
    <n v="70"/>
    <n v="30"/>
    <x v="121"/>
    <n v="10"/>
    <s v="Bottom-Dollar Marketse"/>
    <x v="16"/>
    <n v="4"/>
    <n v="2"/>
    <s v="United Package"/>
    <s v="Outback Lager"/>
    <n v="1"/>
    <x v="6"/>
    <n v="7"/>
    <s v="Pavlova, Ltd."/>
    <n v="15"/>
    <n v="450"/>
    <n v="0"/>
    <x v="0"/>
    <x v="5"/>
    <x v="3"/>
  </r>
  <r>
    <n v="379"/>
    <n v="10390"/>
    <n v="31"/>
    <n v="60"/>
    <x v="122"/>
    <n v="20"/>
    <s v="Ernst Handel"/>
    <x v="6"/>
    <n v="6"/>
    <n v="1"/>
    <s v="Speedy Express"/>
    <s v="Gorgonzola Telino"/>
    <n v="4"/>
    <x v="0"/>
    <n v="14"/>
    <s v="Formaggi Fortini s.r.l."/>
    <n v="13"/>
    <n v="780"/>
    <n v="1"/>
    <x v="0"/>
    <x v="5"/>
    <x v="5"/>
  </r>
  <r>
    <n v="380"/>
    <n v="10390"/>
    <n v="35"/>
    <n v="40"/>
    <x v="122"/>
    <n v="20"/>
    <s v="Ernst Handel"/>
    <x v="6"/>
    <n v="6"/>
    <n v="1"/>
    <s v="Speedy Express"/>
    <s v="Steeleye Stout"/>
    <n v="1"/>
    <x v="6"/>
    <n v="16"/>
    <s v="Bigfoot Breweries"/>
    <n v="18"/>
    <n v="720"/>
    <n v="0"/>
    <x v="0"/>
    <x v="5"/>
    <x v="2"/>
  </r>
  <r>
    <n v="381"/>
    <n v="10390"/>
    <n v="46"/>
    <n v="45"/>
    <x v="122"/>
    <n v="20"/>
    <s v="Ernst Handel"/>
    <x v="6"/>
    <n v="6"/>
    <n v="1"/>
    <s v="Speedy Express"/>
    <s v="Spegesild"/>
    <n v="8"/>
    <x v="3"/>
    <n v="21"/>
    <s v="Lyngbysild"/>
    <n v="12"/>
    <n v="540"/>
    <n v="0"/>
    <x v="0"/>
    <x v="5"/>
    <x v="4"/>
  </r>
  <r>
    <n v="382"/>
    <n v="10390"/>
    <n v="72"/>
    <n v="24"/>
    <x v="122"/>
    <n v="20"/>
    <s v="Ernst Handel"/>
    <x v="6"/>
    <n v="6"/>
    <n v="1"/>
    <s v="Speedy Express"/>
    <s v="Mozzarella di Giovanni"/>
    <n v="4"/>
    <x v="0"/>
    <n v="14"/>
    <s v="Formaggi Fortini s.r.l."/>
    <n v="35"/>
    <n v="840"/>
    <n v="0"/>
    <x v="0"/>
    <x v="5"/>
    <x v="3"/>
  </r>
  <r>
    <n v="383"/>
    <n v="10391"/>
    <n v="13"/>
    <n v="18"/>
    <x v="122"/>
    <n v="17"/>
    <s v="Drachenblut Delikatessend"/>
    <x v="10"/>
    <n v="3"/>
    <n v="3"/>
    <s v="Federal Shipping"/>
    <s v="Konbu"/>
    <n v="8"/>
    <x v="3"/>
    <n v="6"/>
    <s v="Mayumi's"/>
    <n v="6"/>
    <n v="108"/>
    <n v="1"/>
    <x v="0"/>
    <x v="5"/>
    <x v="0"/>
  </r>
  <r>
    <n v="384"/>
    <n v="10392"/>
    <n v="69"/>
    <n v="50"/>
    <x v="123"/>
    <n v="59"/>
    <s v="Piccolo und mehr"/>
    <x v="6"/>
    <n v="2"/>
    <n v="3"/>
    <s v="Federal Shipping"/>
    <s v="Gudbrandsdalsost"/>
    <n v="4"/>
    <x v="0"/>
    <n v="15"/>
    <s v="Norske Meierier"/>
    <n v="36"/>
    <n v="1800"/>
    <n v="1"/>
    <x v="0"/>
    <x v="5"/>
    <x v="4"/>
  </r>
  <r>
    <n v="385"/>
    <n v="10393"/>
    <n v="2"/>
    <n v="25"/>
    <x v="124"/>
    <n v="71"/>
    <s v="Save-a-lot Markets"/>
    <x v="8"/>
    <n v="1"/>
    <n v="3"/>
    <s v="Federal Shipping"/>
    <s v="Chang"/>
    <n v="1"/>
    <x v="6"/>
    <n v="1"/>
    <s v="Exotic Liquid"/>
    <n v="19"/>
    <n v="475"/>
    <n v="1"/>
    <x v="0"/>
    <x v="5"/>
    <x v="3"/>
  </r>
  <r>
    <n v="386"/>
    <n v="10393"/>
    <n v="14"/>
    <n v="42"/>
    <x v="124"/>
    <n v="71"/>
    <s v="Save-a-lot Markets"/>
    <x v="8"/>
    <n v="1"/>
    <n v="3"/>
    <s v="Federal Shipping"/>
    <s v="Tofu"/>
    <n v="7"/>
    <x v="2"/>
    <n v="6"/>
    <s v="Mayumi's"/>
    <n v="23"/>
    <n v="966"/>
    <n v="0"/>
    <x v="0"/>
    <x v="5"/>
    <x v="4"/>
  </r>
  <r>
    <n v="387"/>
    <n v="10393"/>
    <n v="25"/>
    <n v="7"/>
    <x v="124"/>
    <n v="71"/>
    <s v="Save-a-lot Markets"/>
    <x v="8"/>
    <n v="1"/>
    <n v="3"/>
    <s v="Federal Shipping"/>
    <s v="NuNuCa Nu├ƒ-Nougat-Creme"/>
    <n v="3"/>
    <x v="5"/>
    <n v="11"/>
    <s v="Heli Su├ƒwaren GmbH &amp; Co. KG"/>
    <n v="14"/>
    <n v="98"/>
    <n v="0"/>
    <x v="0"/>
    <x v="5"/>
    <x v="1"/>
  </r>
  <r>
    <n v="388"/>
    <n v="10393"/>
    <n v="26"/>
    <n v="70"/>
    <x v="124"/>
    <n v="71"/>
    <s v="Save-a-lot Markets"/>
    <x v="8"/>
    <n v="1"/>
    <n v="3"/>
    <s v="Federal Shipping"/>
    <s v="Gumbar Gummibarchen"/>
    <n v="3"/>
    <x v="5"/>
    <n v="11"/>
    <s v="Heli Su├ƒwaren GmbH &amp; Co. KG"/>
    <n v="31"/>
    <n v="2170"/>
    <n v="0"/>
    <x v="0"/>
    <x v="5"/>
    <x v="5"/>
  </r>
  <r>
    <n v="389"/>
    <n v="10393"/>
    <n v="31"/>
    <n v="32"/>
    <x v="124"/>
    <n v="71"/>
    <s v="Save-a-lot Markets"/>
    <x v="8"/>
    <n v="1"/>
    <n v="3"/>
    <s v="Federal Shipping"/>
    <s v="Gorgonzola Telino"/>
    <n v="4"/>
    <x v="0"/>
    <n v="14"/>
    <s v="Formaggi Fortini s.r.l."/>
    <n v="13"/>
    <n v="416"/>
    <n v="0"/>
    <x v="0"/>
    <x v="5"/>
    <x v="2"/>
  </r>
  <r>
    <n v="390"/>
    <n v="10394"/>
    <n v="13"/>
    <n v="10"/>
    <x v="124"/>
    <n v="36"/>
    <s v="Hungry Coyote Import Store"/>
    <x v="8"/>
    <n v="1"/>
    <n v="3"/>
    <s v="Federal Shipping"/>
    <s v="Konbu"/>
    <n v="8"/>
    <x v="3"/>
    <n v="6"/>
    <s v="Mayumi's"/>
    <n v="6"/>
    <n v="60"/>
    <n v="1"/>
    <x v="0"/>
    <x v="5"/>
    <x v="1"/>
  </r>
  <r>
    <n v="391"/>
    <n v="10394"/>
    <n v="62"/>
    <n v="10"/>
    <x v="124"/>
    <n v="36"/>
    <s v="Hungry Coyote Import Store"/>
    <x v="8"/>
    <n v="1"/>
    <n v="3"/>
    <s v="Federal Shipping"/>
    <s v="Tarte au sucre"/>
    <n v="3"/>
    <x v="5"/>
    <n v="29"/>
    <s v="Forets d'erables"/>
    <n v="49"/>
    <n v="490"/>
    <n v="0"/>
    <x v="0"/>
    <x v="5"/>
    <x v="1"/>
  </r>
  <r>
    <n v="392"/>
    <n v="10395"/>
    <n v="46"/>
    <n v="28"/>
    <x v="125"/>
    <n v="35"/>
    <s v="HILARION-Abastos"/>
    <x v="5"/>
    <n v="6"/>
    <n v="1"/>
    <s v="Speedy Express"/>
    <s v="Spegesild"/>
    <n v="8"/>
    <x v="3"/>
    <n v="21"/>
    <s v="Lyngbysild"/>
    <n v="12"/>
    <n v="336"/>
    <n v="1"/>
    <x v="0"/>
    <x v="5"/>
    <x v="3"/>
  </r>
  <r>
    <n v="393"/>
    <n v="10395"/>
    <n v="53"/>
    <n v="70"/>
    <x v="125"/>
    <n v="35"/>
    <s v="HILARION-Abastos"/>
    <x v="5"/>
    <n v="6"/>
    <n v="1"/>
    <s v="Speedy Express"/>
    <s v="Perth Pasties"/>
    <n v="6"/>
    <x v="7"/>
    <n v="24"/>
    <s v="G'day, Mate"/>
    <n v="33"/>
    <n v="2310"/>
    <n v="0"/>
    <x v="0"/>
    <x v="5"/>
    <x v="5"/>
  </r>
  <r>
    <n v="394"/>
    <n v="10395"/>
    <n v="69"/>
    <n v="8"/>
    <x v="125"/>
    <n v="35"/>
    <s v="HILARION-Abastos"/>
    <x v="5"/>
    <n v="6"/>
    <n v="1"/>
    <s v="Speedy Express"/>
    <s v="Gudbrandsdalsost"/>
    <n v="4"/>
    <x v="0"/>
    <n v="15"/>
    <s v="Norske Meierier"/>
    <n v="36"/>
    <n v="288"/>
    <n v="0"/>
    <x v="0"/>
    <x v="5"/>
    <x v="1"/>
  </r>
  <r>
    <n v="395"/>
    <n v="10396"/>
    <n v="23"/>
    <n v="40"/>
    <x v="126"/>
    <n v="25"/>
    <s v="Frankenversand"/>
    <x v="10"/>
    <n v="1"/>
    <n v="3"/>
    <s v="Federal Shipping"/>
    <s v="Tunnbrod"/>
    <n v="5"/>
    <x v="1"/>
    <n v="9"/>
    <s v="PB Knackebrod AB"/>
    <n v="9"/>
    <n v="360"/>
    <n v="1"/>
    <x v="0"/>
    <x v="5"/>
    <x v="2"/>
  </r>
  <r>
    <n v="396"/>
    <n v="10396"/>
    <n v="71"/>
    <n v="60"/>
    <x v="126"/>
    <n v="25"/>
    <s v="Frankenversand"/>
    <x v="10"/>
    <n v="1"/>
    <n v="3"/>
    <s v="Federal Shipping"/>
    <s v="Fl├©temysost"/>
    <n v="4"/>
    <x v="0"/>
    <n v="15"/>
    <s v="Norske Meierier"/>
    <n v="22"/>
    <n v="1320"/>
    <n v="0"/>
    <x v="0"/>
    <x v="5"/>
    <x v="5"/>
  </r>
  <r>
    <n v="397"/>
    <n v="10396"/>
    <n v="72"/>
    <n v="21"/>
    <x v="126"/>
    <n v="25"/>
    <s v="Frankenversand"/>
    <x v="10"/>
    <n v="1"/>
    <n v="3"/>
    <s v="Federal Shipping"/>
    <s v="Mozzarella di Giovanni"/>
    <n v="4"/>
    <x v="0"/>
    <n v="14"/>
    <s v="Formaggi Fortini s.r.l."/>
    <n v="35"/>
    <n v="735"/>
    <n v="0"/>
    <x v="0"/>
    <x v="5"/>
    <x v="3"/>
  </r>
  <r>
    <n v="398"/>
    <n v="10397"/>
    <n v="21"/>
    <n v="10"/>
    <x v="126"/>
    <n v="60"/>
    <s v="Princesa Isabel Vinhoss"/>
    <x v="15"/>
    <n v="5"/>
    <n v="1"/>
    <s v="Speedy Express"/>
    <s v="Sir Rodney's Scones"/>
    <n v="3"/>
    <x v="5"/>
    <n v="8"/>
    <s v="Specialty Biscuits, Ltd."/>
    <n v="10"/>
    <n v="100"/>
    <n v="1"/>
    <x v="0"/>
    <x v="5"/>
    <x v="1"/>
  </r>
  <r>
    <n v="399"/>
    <n v="10397"/>
    <n v="51"/>
    <n v="18"/>
    <x v="126"/>
    <n v="60"/>
    <s v="Princesa Isabel Vinhoss"/>
    <x v="15"/>
    <n v="5"/>
    <n v="1"/>
    <s v="Speedy Express"/>
    <s v="Manjimup Dried Apples"/>
    <n v="7"/>
    <x v="2"/>
    <n v="24"/>
    <s v="G'day, Mate"/>
    <n v="53"/>
    <n v="954"/>
    <n v="0"/>
    <x v="0"/>
    <x v="5"/>
    <x v="0"/>
  </r>
  <r>
    <n v="400"/>
    <n v="10398"/>
    <n v="35"/>
    <n v="30"/>
    <x v="127"/>
    <n v="71"/>
    <s v="Save-a-lot Markets"/>
    <x v="8"/>
    <n v="2"/>
    <n v="3"/>
    <s v="Federal Shipping"/>
    <s v="Steeleye Stout"/>
    <n v="1"/>
    <x v="6"/>
    <n v="16"/>
    <s v="Bigfoot Breweries"/>
    <n v="18"/>
    <n v="540"/>
    <n v="1"/>
    <x v="0"/>
    <x v="5"/>
    <x v="3"/>
  </r>
  <r>
    <n v="401"/>
    <n v="10398"/>
    <n v="55"/>
    <n v="120"/>
    <x v="127"/>
    <n v="71"/>
    <s v="Save-a-lot Markets"/>
    <x v="8"/>
    <n v="2"/>
    <n v="3"/>
    <s v="Federal Shipping"/>
    <s v="Pate chinois"/>
    <n v="6"/>
    <x v="7"/>
    <n v="25"/>
    <s v="Ma Maison"/>
    <n v="24"/>
    <n v="2880"/>
    <n v="0"/>
    <x v="0"/>
    <x v="5"/>
    <x v="5"/>
  </r>
  <r>
    <n v="402"/>
    <n v="10399"/>
    <n v="68"/>
    <n v="60"/>
    <x v="128"/>
    <n v="83"/>
    <s v="Vaffeljernet"/>
    <x v="17"/>
    <n v="8"/>
    <n v="3"/>
    <s v="Federal Shipping"/>
    <s v="Scottish Longbreads"/>
    <n v="3"/>
    <x v="5"/>
    <n v="8"/>
    <s v="Specialty Biscuits, Ltd."/>
    <n v="13"/>
    <n v="780"/>
    <n v="1"/>
    <x v="0"/>
    <x v="5"/>
    <x v="5"/>
  </r>
  <r>
    <n v="403"/>
    <n v="10399"/>
    <n v="71"/>
    <n v="30"/>
    <x v="128"/>
    <n v="83"/>
    <s v="Vaffeljernet"/>
    <x v="17"/>
    <n v="8"/>
    <n v="3"/>
    <s v="Federal Shipping"/>
    <s v="Fl├©temysost"/>
    <n v="4"/>
    <x v="0"/>
    <n v="15"/>
    <s v="Norske Meierier"/>
    <n v="22"/>
    <n v="660"/>
    <n v="0"/>
    <x v="0"/>
    <x v="5"/>
    <x v="3"/>
  </r>
  <r>
    <n v="404"/>
    <n v="10399"/>
    <n v="76"/>
    <n v="35"/>
    <x v="128"/>
    <n v="83"/>
    <s v="Vaffeljernet"/>
    <x v="17"/>
    <n v="8"/>
    <n v="3"/>
    <s v="Federal Shipping"/>
    <s v="Lakkalikoori"/>
    <n v="1"/>
    <x v="6"/>
    <n v="23"/>
    <s v="Karkki Oy"/>
    <n v="18"/>
    <n v="630"/>
    <n v="0"/>
    <x v="0"/>
    <x v="5"/>
    <x v="2"/>
  </r>
  <r>
    <n v="405"/>
    <n v="10399"/>
    <n v="77"/>
    <n v="14"/>
    <x v="128"/>
    <n v="83"/>
    <s v="Vaffeljernet"/>
    <x v="17"/>
    <n v="8"/>
    <n v="3"/>
    <s v="Federal Shipping"/>
    <s v="Original Frankfurter grune So├ƒe"/>
    <n v="2"/>
    <x v="4"/>
    <n v="12"/>
    <s v="Plutzer Lebensmittelgro├ƒmarkte AG"/>
    <n v="13"/>
    <n v="182"/>
    <n v="0"/>
    <x v="0"/>
    <x v="5"/>
    <x v="0"/>
  </r>
  <r>
    <n v="406"/>
    <n v="10400"/>
    <n v="29"/>
    <n v="21"/>
    <x v="129"/>
    <n v="19"/>
    <s v="Eastern Connection"/>
    <x v="13"/>
    <n v="1"/>
    <n v="3"/>
    <s v="Federal Shipping"/>
    <s v="Thuringer Rostbratwurst"/>
    <n v="6"/>
    <x v="7"/>
    <n v="12"/>
    <s v="Plutzer Lebensmittelgro├ƒmarkte AG"/>
    <n v="124"/>
    <n v="2604"/>
    <n v="1"/>
    <x v="1"/>
    <x v="6"/>
    <x v="3"/>
  </r>
  <r>
    <n v="407"/>
    <n v="10400"/>
    <n v="35"/>
    <n v="35"/>
    <x v="129"/>
    <n v="19"/>
    <s v="Eastern Connection"/>
    <x v="13"/>
    <n v="1"/>
    <n v="3"/>
    <s v="Federal Shipping"/>
    <s v="Steeleye Stout"/>
    <n v="1"/>
    <x v="6"/>
    <n v="16"/>
    <s v="Bigfoot Breweries"/>
    <n v="18"/>
    <n v="630"/>
    <n v="0"/>
    <x v="1"/>
    <x v="6"/>
    <x v="2"/>
  </r>
  <r>
    <n v="408"/>
    <n v="10400"/>
    <n v="49"/>
    <n v="30"/>
    <x v="129"/>
    <n v="19"/>
    <s v="Eastern Connection"/>
    <x v="13"/>
    <n v="1"/>
    <n v="3"/>
    <s v="Federal Shipping"/>
    <s v="Maxilaku"/>
    <n v="3"/>
    <x v="5"/>
    <n v="23"/>
    <s v="Karkki Oy"/>
    <n v="20"/>
    <n v="600"/>
    <n v="0"/>
    <x v="1"/>
    <x v="6"/>
    <x v="3"/>
  </r>
  <r>
    <n v="409"/>
    <n v="10401"/>
    <n v="30"/>
    <n v="18"/>
    <x v="129"/>
    <n v="65"/>
    <s v="Rattlesnake Canyon Grocery"/>
    <x v="8"/>
    <n v="1"/>
    <n v="1"/>
    <s v="Speedy Express"/>
    <s v="Nord-Ost Matjeshering"/>
    <n v="8"/>
    <x v="3"/>
    <n v="13"/>
    <s v="Nord-Ost-Fisch Handelsgesellschaft mbH"/>
    <n v="26"/>
    <n v="468"/>
    <n v="1"/>
    <x v="1"/>
    <x v="6"/>
    <x v="0"/>
  </r>
  <r>
    <n v="410"/>
    <n v="10401"/>
    <n v="56"/>
    <n v="70"/>
    <x v="129"/>
    <n v="65"/>
    <s v="Rattlesnake Canyon Grocery"/>
    <x v="8"/>
    <n v="1"/>
    <n v="1"/>
    <s v="Speedy Express"/>
    <s v="Gnocchi di nonna Alice"/>
    <n v="5"/>
    <x v="1"/>
    <n v="26"/>
    <s v="Pasta Buttini s.r.l."/>
    <n v="38"/>
    <n v="2660"/>
    <n v="0"/>
    <x v="1"/>
    <x v="6"/>
    <x v="5"/>
  </r>
  <r>
    <n v="411"/>
    <n v="10401"/>
    <n v="65"/>
    <n v="20"/>
    <x v="129"/>
    <n v="65"/>
    <s v="Rattlesnake Canyon Grocery"/>
    <x v="8"/>
    <n v="1"/>
    <n v="1"/>
    <s v="Speedy Express"/>
    <s v="Louisiana Fiery Hot Pepper Sauce"/>
    <n v="2"/>
    <x v="4"/>
    <n v="2"/>
    <s v="New Orleans Cajun Delights"/>
    <n v="21"/>
    <n v="420"/>
    <n v="0"/>
    <x v="1"/>
    <x v="6"/>
    <x v="0"/>
  </r>
  <r>
    <n v="412"/>
    <n v="10401"/>
    <n v="71"/>
    <n v="60"/>
    <x v="129"/>
    <n v="65"/>
    <s v="Rattlesnake Canyon Grocery"/>
    <x v="8"/>
    <n v="1"/>
    <n v="1"/>
    <s v="Speedy Express"/>
    <s v="Fl├©temysost"/>
    <n v="4"/>
    <x v="0"/>
    <n v="15"/>
    <s v="Norske Meierier"/>
    <n v="22"/>
    <n v="1320"/>
    <n v="0"/>
    <x v="1"/>
    <x v="6"/>
    <x v="5"/>
  </r>
  <r>
    <n v="413"/>
    <n v="10402"/>
    <n v="23"/>
    <n v="60"/>
    <x v="130"/>
    <n v="20"/>
    <s v="Ernst Handel"/>
    <x v="6"/>
    <n v="8"/>
    <n v="2"/>
    <s v="United Package"/>
    <s v="Tunnbrod"/>
    <n v="5"/>
    <x v="1"/>
    <n v="9"/>
    <s v="PB Knackebrod AB"/>
    <n v="9"/>
    <n v="540"/>
    <n v="1"/>
    <x v="1"/>
    <x v="6"/>
    <x v="5"/>
  </r>
  <r>
    <n v="414"/>
    <n v="10402"/>
    <n v="63"/>
    <n v="65"/>
    <x v="130"/>
    <n v="20"/>
    <s v="Ernst Handel"/>
    <x v="6"/>
    <n v="8"/>
    <n v="2"/>
    <s v="United Package"/>
    <s v="Vegie-spread"/>
    <n v="2"/>
    <x v="4"/>
    <n v="7"/>
    <s v="Pavlova, Ltd."/>
    <n v="44"/>
    <n v="2860"/>
    <n v="0"/>
    <x v="1"/>
    <x v="6"/>
    <x v="5"/>
  </r>
  <r>
    <n v="415"/>
    <n v="10403"/>
    <n v="16"/>
    <n v="21"/>
    <x v="131"/>
    <n v="20"/>
    <s v="Ernst Handel"/>
    <x v="6"/>
    <n v="4"/>
    <n v="3"/>
    <s v="Federal Shipping"/>
    <s v="Pavlova"/>
    <n v="3"/>
    <x v="5"/>
    <n v="7"/>
    <s v="Pavlova, Ltd."/>
    <n v="17"/>
    <n v="357"/>
    <n v="1"/>
    <x v="1"/>
    <x v="6"/>
    <x v="3"/>
  </r>
  <r>
    <n v="416"/>
    <n v="10403"/>
    <n v="48"/>
    <n v="70"/>
    <x v="131"/>
    <n v="20"/>
    <s v="Ernst Handel"/>
    <x v="6"/>
    <n v="4"/>
    <n v="3"/>
    <s v="Federal Shipping"/>
    <s v="Chocolade"/>
    <n v="3"/>
    <x v="5"/>
    <n v="22"/>
    <s v="Zaanse Snoepfabriek"/>
    <n v="13"/>
    <n v="910"/>
    <n v="0"/>
    <x v="1"/>
    <x v="6"/>
    <x v="5"/>
  </r>
  <r>
    <n v="417"/>
    <n v="10404"/>
    <n v="26"/>
    <n v="30"/>
    <x v="131"/>
    <n v="49"/>
    <s v="Magazzini Alimentari Riuniti"/>
    <x v="11"/>
    <n v="2"/>
    <n v="1"/>
    <s v="Speedy Express"/>
    <s v="Gumbar Gummibarchen"/>
    <n v="3"/>
    <x v="5"/>
    <n v="11"/>
    <s v="Heli Su├ƒwaren GmbH &amp; Co. KG"/>
    <n v="31"/>
    <n v="930"/>
    <n v="1"/>
    <x v="1"/>
    <x v="6"/>
    <x v="3"/>
  </r>
  <r>
    <n v="418"/>
    <n v="10404"/>
    <n v="42"/>
    <n v="40"/>
    <x v="131"/>
    <n v="49"/>
    <s v="Magazzini Alimentari Riuniti"/>
    <x v="11"/>
    <n v="2"/>
    <n v="1"/>
    <s v="Speedy Express"/>
    <s v="Singaporean Hokkien Fried Mee"/>
    <n v="5"/>
    <x v="1"/>
    <n v="20"/>
    <s v="Leka Trading"/>
    <n v="14"/>
    <n v="560"/>
    <n v="0"/>
    <x v="1"/>
    <x v="6"/>
    <x v="2"/>
  </r>
  <r>
    <n v="419"/>
    <n v="10404"/>
    <n v="49"/>
    <n v="30"/>
    <x v="131"/>
    <n v="49"/>
    <s v="Magazzini Alimentari Riuniti"/>
    <x v="11"/>
    <n v="2"/>
    <n v="1"/>
    <s v="Speedy Express"/>
    <s v="Maxilaku"/>
    <n v="3"/>
    <x v="5"/>
    <n v="23"/>
    <s v="Karkki Oy"/>
    <n v="20"/>
    <n v="600"/>
    <n v="0"/>
    <x v="1"/>
    <x v="6"/>
    <x v="3"/>
  </r>
  <r>
    <n v="420"/>
    <n v="10405"/>
    <n v="3"/>
    <n v="50"/>
    <x v="132"/>
    <n v="47"/>
    <s v="LINO-Delicateses"/>
    <x v="5"/>
    <n v="1"/>
    <n v="1"/>
    <s v="Speedy Express"/>
    <s v="Aniseed Syrup"/>
    <n v="2"/>
    <x v="4"/>
    <n v="1"/>
    <s v="Exotic Liquid"/>
    <n v="10"/>
    <n v="500"/>
    <n v="1"/>
    <x v="1"/>
    <x v="6"/>
    <x v="4"/>
  </r>
  <r>
    <n v="421"/>
    <n v="10406"/>
    <n v="1"/>
    <n v="10"/>
    <x v="133"/>
    <n v="62"/>
    <s v="Queen Cozinha"/>
    <x v="1"/>
    <n v="7"/>
    <n v="1"/>
    <s v="Speedy Express"/>
    <s v="Chais"/>
    <n v="1"/>
    <x v="6"/>
    <n v="1"/>
    <s v="Exotic Liquid"/>
    <n v="18"/>
    <n v="180"/>
    <n v="1"/>
    <x v="1"/>
    <x v="6"/>
    <x v="1"/>
  </r>
  <r>
    <n v="422"/>
    <n v="10406"/>
    <n v="21"/>
    <n v="30"/>
    <x v="133"/>
    <n v="62"/>
    <s v="Queen Cozinha"/>
    <x v="1"/>
    <n v="7"/>
    <n v="1"/>
    <s v="Speedy Express"/>
    <s v="Sir Rodney's Scones"/>
    <n v="3"/>
    <x v="5"/>
    <n v="8"/>
    <s v="Specialty Biscuits, Ltd."/>
    <n v="10"/>
    <n v="300"/>
    <n v="0"/>
    <x v="1"/>
    <x v="6"/>
    <x v="3"/>
  </r>
  <r>
    <n v="423"/>
    <n v="10406"/>
    <n v="28"/>
    <n v="42"/>
    <x v="133"/>
    <n v="62"/>
    <s v="Queen Cozinha"/>
    <x v="1"/>
    <n v="7"/>
    <n v="1"/>
    <s v="Speedy Express"/>
    <s v="Rossle Sauerkraut"/>
    <n v="7"/>
    <x v="2"/>
    <n v="12"/>
    <s v="Plutzer Lebensmittelgro├ƒmarkte AG"/>
    <n v="46"/>
    <n v="1932"/>
    <n v="0"/>
    <x v="1"/>
    <x v="6"/>
    <x v="4"/>
  </r>
  <r>
    <n v="424"/>
    <n v="10406"/>
    <n v="36"/>
    <n v="5"/>
    <x v="133"/>
    <n v="62"/>
    <s v="Queen Cozinha"/>
    <x v="1"/>
    <n v="7"/>
    <n v="1"/>
    <s v="Speedy Express"/>
    <s v="Inlagd Sill"/>
    <n v="8"/>
    <x v="3"/>
    <n v="17"/>
    <s v="Svensk Sjofoda AB"/>
    <n v="19"/>
    <n v="95"/>
    <n v="0"/>
    <x v="1"/>
    <x v="6"/>
    <x v="1"/>
  </r>
  <r>
    <n v="425"/>
    <n v="10406"/>
    <n v="40"/>
    <n v="2"/>
    <x v="133"/>
    <n v="62"/>
    <s v="Queen Cozinha"/>
    <x v="1"/>
    <n v="7"/>
    <n v="1"/>
    <s v="Speedy Express"/>
    <s v="Boston Crab Meat"/>
    <n v="8"/>
    <x v="3"/>
    <n v="19"/>
    <s v="New England Seafood Cannery"/>
    <n v="18"/>
    <n v="36"/>
    <n v="0"/>
    <x v="1"/>
    <x v="6"/>
    <x v="1"/>
  </r>
  <r>
    <n v="426"/>
    <n v="10407"/>
    <n v="11"/>
    <n v="30"/>
    <x v="133"/>
    <n v="56"/>
    <s v="Ottilies Kaseladen"/>
    <x v="10"/>
    <n v="2"/>
    <n v="2"/>
    <s v="United Package"/>
    <s v="Queso Cabrales"/>
    <n v="4"/>
    <x v="0"/>
    <n v="5"/>
    <s v="Cooperativa de Quesos 'Las Cabras'"/>
    <n v="21"/>
    <n v="630"/>
    <n v="1"/>
    <x v="1"/>
    <x v="6"/>
    <x v="3"/>
  </r>
  <r>
    <n v="427"/>
    <n v="10407"/>
    <n v="69"/>
    <n v="15"/>
    <x v="133"/>
    <n v="56"/>
    <s v="Ottilies Kaseladen"/>
    <x v="10"/>
    <n v="2"/>
    <n v="2"/>
    <s v="United Package"/>
    <s v="Gudbrandsdalsost"/>
    <n v="4"/>
    <x v="0"/>
    <n v="15"/>
    <s v="Norske Meierier"/>
    <n v="36"/>
    <n v="540"/>
    <n v="0"/>
    <x v="1"/>
    <x v="6"/>
    <x v="0"/>
  </r>
  <r>
    <n v="428"/>
    <n v="10407"/>
    <n v="71"/>
    <n v="15"/>
    <x v="133"/>
    <n v="56"/>
    <s v="Ottilies Kaseladen"/>
    <x v="10"/>
    <n v="2"/>
    <n v="2"/>
    <s v="United Package"/>
    <s v="Fl├©temysost"/>
    <n v="4"/>
    <x v="0"/>
    <n v="15"/>
    <s v="Norske Meierier"/>
    <n v="22"/>
    <n v="330"/>
    <n v="0"/>
    <x v="1"/>
    <x v="6"/>
    <x v="0"/>
  </r>
  <r>
    <n v="429"/>
    <n v="10408"/>
    <n v="37"/>
    <n v="10"/>
    <x v="134"/>
    <n v="23"/>
    <s v="Folies gourmandes"/>
    <x v="2"/>
    <n v="8"/>
    <n v="1"/>
    <s v="Speedy Express"/>
    <s v="Gravad lax"/>
    <n v="8"/>
    <x v="3"/>
    <n v="17"/>
    <s v="Svensk Sjofoda AB"/>
    <n v="26"/>
    <n v="260"/>
    <n v="1"/>
    <x v="1"/>
    <x v="6"/>
    <x v="1"/>
  </r>
  <r>
    <n v="430"/>
    <n v="10408"/>
    <n v="54"/>
    <n v="6"/>
    <x v="134"/>
    <n v="23"/>
    <s v="Folies gourmandes"/>
    <x v="2"/>
    <n v="8"/>
    <n v="1"/>
    <s v="Speedy Express"/>
    <s v="Tourtiere"/>
    <n v="6"/>
    <x v="7"/>
    <n v="25"/>
    <s v="Ma Maison"/>
    <n v="7"/>
    <n v="42"/>
    <n v="0"/>
    <x v="1"/>
    <x v="6"/>
    <x v="1"/>
  </r>
  <r>
    <n v="431"/>
    <n v="10408"/>
    <n v="62"/>
    <n v="35"/>
    <x v="134"/>
    <n v="23"/>
    <s v="Folies gourmandes"/>
    <x v="2"/>
    <n v="8"/>
    <n v="1"/>
    <s v="Speedy Express"/>
    <s v="Tarte au sucre"/>
    <n v="3"/>
    <x v="5"/>
    <n v="29"/>
    <s v="Forets d'erables"/>
    <n v="49"/>
    <n v="1715"/>
    <n v="0"/>
    <x v="1"/>
    <x v="6"/>
    <x v="2"/>
  </r>
  <r>
    <n v="432"/>
    <n v="10409"/>
    <n v="14"/>
    <n v="12"/>
    <x v="135"/>
    <n v="54"/>
    <s v="Oceano Atlantico Ltda."/>
    <x v="20"/>
    <n v="3"/>
    <n v="1"/>
    <s v="Speedy Express"/>
    <s v="Tofu"/>
    <n v="7"/>
    <x v="2"/>
    <n v="6"/>
    <s v="Mayumi's"/>
    <n v="23"/>
    <n v="276"/>
    <n v="1"/>
    <x v="1"/>
    <x v="6"/>
    <x v="0"/>
  </r>
  <r>
    <n v="433"/>
    <n v="10409"/>
    <n v="21"/>
    <n v="12"/>
    <x v="135"/>
    <n v="54"/>
    <s v="Oceano Atlantico Ltda."/>
    <x v="20"/>
    <n v="3"/>
    <n v="1"/>
    <s v="Speedy Express"/>
    <s v="Sir Rodney's Scones"/>
    <n v="3"/>
    <x v="5"/>
    <n v="8"/>
    <s v="Specialty Biscuits, Ltd."/>
    <n v="10"/>
    <n v="120"/>
    <n v="0"/>
    <x v="1"/>
    <x v="6"/>
    <x v="0"/>
  </r>
  <r>
    <n v="434"/>
    <n v="10410"/>
    <n v="33"/>
    <n v="49"/>
    <x v="136"/>
    <n v="10"/>
    <s v="Bottom-Dollar Marketse"/>
    <x v="16"/>
    <n v="3"/>
    <n v="3"/>
    <s v="Federal Shipping"/>
    <s v="Geitost"/>
    <n v="4"/>
    <x v="0"/>
    <n v="15"/>
    <s v="Norske Meierier"/>
    <n v="3"/>
    <n v="147"/>
    <n v="1"/>
    <x v="1"/>
    <x v="6"/>
    <x v="4"/>
  </r>
  <r>
    <n v="435"/>
    <n v="10410"/>
    <n v="59"/>
    <n v="16"/>
    <x v="136"/>
    <n v="10"/>
    <s v="Bottom-Dollar Marketse"/>
    <x v="16"/>
    <n v="3"/>
    <n v="3"/>
    <s v="Federal Shipping"/>
    <s v="Raclette Courdavault"/>
    <n v="4"/>
    <x v="0"/>
    <n v="28"/>
    <s v="Gai paturage"/>
    <n v="55"/>
    <n v="880"/>
    <n v="0"/>
    <x v="1"/>
    <x v="6"/>
    <x v="0"/>
  </r>
  <r>
    <n v="436"/>
    <n v="10411"/>
    <n v="41"/>
    <n v="25"/>
    <x v="136"/>
    <n v="10"/>
    <s v="Bottom-Dollar Marketse"/>
    <x v="16"/>
    <n v="9"/>
    <n v="3"/>
    <s v="Federal Shipping"/>
    <s v="Jack's New England Clam Chowder"/>
    <n v="8"/>
    <x v="3"/>
    <n v="19"/>
    <s v="New England Seafood Cannery"/>
    <n v="10"/>
    <n v="250"/>
    <n v="1"/>
    <x v="1"/>
    <x v="6"/>
    <x v="3"/>
  </r>
  <r>
    <n v="437"/>
    <n v="10411"/>
    <n v="44"/>
    <n v="40"/>
    <x v="136"/>
    <n v="10"/>
    <s v="Bottom-Dollar Marketse"/>
    <x v="16"/>
    <n v="9"/>
    <n v="3"/>
    <s v="Federal Shipping"/>
    <s v="Gula Malacca"/>
    <n v="2"/>
    <x v="4"/>
    <n v="20"/>
    <s v="Leka Trading"/>
    <n v="19"/>
    <n v="760"/>
    <n v="0"/>
    <x v="1"/>
    <x v="6"/>
    <x v="2"/>
  </r>
  <r>
    <n v="438"/>
    <n v="10411"/>
    <n v="59"/>
    <n v="9"/>
    <x v="136"/>
    <n v="10"/>
    <s v="Bottom-Dollar Marketse"/>
    <x v="16"/>
    <n v="9"/>
    <n v="3"/>
    <s v="Federal Shipping"/>
    <s v="Raclette Courdavault"/>
    <n v="4"/>
    <x v="0"/>
    <n v="28"/>
    <s v="Gai paturage"/>
    <n v="55"/>
    <n v="495"/>
    <n v="0"/>
    <x v="1"/>
    <x v="6"/>
    <x v="1"/>
  </r>
  <r>
    <n v="439"/>
    <n v="10412"/>
    <n v="14"/>
    <n v="20"/>
    <x v="137"/>
    <n v="87"/>
    <s v="Wartian Herkku"/>
    <x v="0"/>
    <n v="8"/>
    <n v="2"/>
    <s v="United Package"/>
    <s v="Tofu"/>
    <n v="7"/>
    <x v="2"/>
    <n v="6"/>
    <s v="Mayumi's"/>
    <n v="23"/>
    <n v="460"/>
    <n v="1"/>
    <x v="1"/>
    <x v="6"/>
    <x v="0"/>
  </r>
  <r>
    <n v="440"/>
    <n v="10413"/>
    <n v="1"/>
    <n v="24"/>
    <x v="138"/>
    <n v="41"/>
    <s v="La maison d''Asie"/>
    <x v="2"/>
    <n v="3"/>
    <n v="2"/>
    <s v="United Package"/>
    <s v="Chais"/>
    <n v="1"/>
    <x v="6"/>
    <n v="1"/>
    <s v="Exotic Liquid"/>
    <n v="18"/>
    <n v="432"/>
    <n v="1"/>
    <x v="1"/>
    <x v="6"/>
    <x v="3"/>
  </r>
  <r>
    <n v="441"/>
    <n v="10413"/>
    <n v="62"/>
    <n v="40"/>
    <x v="138"/>
    <n v="41"/>
    <s v="La maison d''Asie"/>
    <x v="2"/>
    <n v="3"/>
    <n v="2"/>
    <s v="United Package"/>
    <s v="Tarte au sucre"/>
    <n v="3"/>
    <x v="5"/>
    <n v="29"/>
    <s v="Forets d'erables"/>
    <n v="49"/>
    <n v="1960"/>
    <n v="0"/>
    <x v="1"/>
    <x v="6"/>
    <x v="2"/>
  </r>
  <r>
    <n v="442"/>
    <n v="10413"/>
    <n v="76"/>
    <n v="14"/>
    <x v="138"/>
    <n v="41"/>
    <s v="La maison d''Asie"/>
    <x v="2"/>
    <n v="3"/>
    <n v="2"/>
    <s v="United Package"/>
    <s v="Lakkalikoori"/>
    <n v="1"/>
    <x v="6"/>
    <n v="23"/>
    <s v="Karkki Oy"/>
    <n v="18"/>
    <n v="252"/>
    <n v="0"/>
    <x v="1"/>
    <x v="6"/>
    <x v="0"/>
  </r>
  <r>
    <n v="443"/>
    <n v="10414"/>
    <n v="19"/>
    <n v="18"/>
    <x v="138"/>
    <n v="21"/>
    <s v="Familia Arquibaldo"/>
    <x v="1"/>
    <n v="2"/>
    <n v="3"/>
    <s v="Federal Shipping"/>
    <s v="Teatime Chocolate Biscuits"/>
    <n v="3"/>
    <x v="5"/>
    <n v="8"/>
    <s v="Specialty Biscuits, Ltd."/>
    <n v="9"/>
    <n v="162"/>
    <n v="1"/>
    <x v="1"/>
    <x v="6"/>
    <x v="0"/>
  </r>
  <r>
    <n v="444"/>
    <n v="10414"/>
    <n v="33"/>
    <n v="50"/>
    <x v="138"/>
    <n v="21"/>
    <s v="Familia Arquibaldo"/>
    <x v="1"/>
    <n v="2"/>
    <n v="3"/>
    <s v="Federal Shipping"/>
    <s v="Geitost"/>
    <n v="4"/>
    <x v="0"/>
    <n v="15"/>
    <s v="Norske Meierier"/>
    <n v="3"/>
    <n v="150"/>
    <n v="0"/>
    <x v="1"/>
    <x v="6"/>
    <x v="4"/>
  </r>
  <r>
    <n v="445"/>
    <n v="10415"/>
    <n v="17"/>
    <n v="2"/>
    <x v="139"/>
    <n v="36"/>
    <s v="Hungry Coyote Import Store"/>
    <x v="8"/>
    <n v="3"/>
    <n v="1"/>
    <s v="Speedy Express"/>
    <s v="Alice Mutton"/>
    <n v="6"/>
    <x v="7"/>
    <n v="7"/>
    <s v="Pavlova, Ltd."/>
    <n v="39"/>
    <n v="78"/>
    <n v="1"/>
    <x v="1"/>
    <x v="6"/>
    <x v="1"/>
  </r>
  <r>
    <n v="446"/>
    <n v="10415"/>
    <n v="33"/>
    <n v="20"/>
    <x v="139"/>
    <n v="36"/>
    <s v="Hungry Coyote Import Store"/>
    <x v="8"/>
    <n v="3"/>
    <n v="1"/>
    <s v="Speedy Express"/>
    <s v="Geitost"/>
    <n v="4"/>
    <x v="0"/>
    <n v="15"/>
    <s v="Norske Meierier"/>
    <n v="3"/>
    <n v="60"/>
    <n v="0"/>
    <x v="1"/>
    <x v="6"/>
    <x v="0"/>
  </r>
  <r>
    <n v="447"/>
    <n v="10416"/>
    <n v="19"/>
    <n v="20"/>
    <x v="140"/>
    <n v="87"/>
    <s v="Wartian Herkku"/>
    <x v="0"/>
    <n v="8"/>
    <n v="3"/>
    <s v="Federal Shipping"/>
    <s v="Teatime Chocolate Biscuits"/>
    <n v="3"/>
    <x v="5"/>
    <n v="8"/>
    <s v="Specialty Biscuits, Ltd."/>
    <n v="9"/>
    <n v="180"/>
    <n v="1"/>
    <x v="1"/>
    <x v="6"/>
    <x v="0"/>
  </r>
  <r>
    <n v="448"/>
    <n v="10416"/>
    <n v="53"/>
    <n v="10"/>
    <x v="140"/>
    <n v="87"/>
    <s v="Wartian Herkku"/>
    <x v="0"/>
    <n v="8"/>
    <n v="3"/>
    <s v="Federal Shipping"/>
    <s v="Perth Pasties"/>
    <n v="6"/>
    <x v="7"/>
    <n v="24"/>
    <s v="G'day, Mate"/>
    <n v="33"/>
    <n v="330"/>
    <n v="0"/>
    <x v="1"/>
    <x v="6"/>
    <x v="1"/>
  </r>
  <r>
    <n v="449"/>
    <n v="10416"/>
    <n v="57"/>
    <n v="20"/>
    <x v="140"/>
    <n v="87"/>
    <s v="Wartian Herkku"/>
    <x v="0"/>
    <n v="8"/>
    <n v="3"/>
    <s v="Federal Shipping"/>
    <s v="Ravioli Angelo"/>
    <n v="5"/>
    <x v="1"/>
    <n v="26"/>
    <s v="Pasta Buttini s.r.l."/>
    <n v="20"/>
    <n v="400"/>
    <n v="0"/>
    <x v="1"/>
    <x v="6"/>
    <x v="0"/>
  </r>
  <r>
    <n v="450"/>
    <n v="10417"/>
    <n v="38"/>
    <n v="50"/>
    <x v="140"/>
    <n v="73"/>
    <s v="Simons bistro"/>
    <x v="17"/>
    <n v="4"/>
    <n v="3"/>
    <s v="Federal Shipping"/>
    <s v="Cote de Blaye"/>
    <n v="1"/>
    <x v="6"/>
    <n v="18"/>
    <s v="Aux joyeux ecclesiastiques"/>
    <n v="264"/>
    <n v="13200"/>
    <n v="1"/>
    <x v="1"/>
    <x v="6"/>
    <x v="4"/>
  </r>
  <r>
    <n v="451"/>
    <n v="10417"/>
    <n v="46"/>
    <n v="2"/>
    <x v="140"/>
    <n v="73"/>
    <s v="Simons bistro"/>
    <x v="17"/>
    <n v="4"/>
    <n v="3"/>
    <s v="Federal Shipping"/>
    <s v="Spegesild"/>
    <n v="8"/>
    <x v="3"/>
    <n v="21"/>
    <s v="Lyngbysild"/>
    <n v="12"/>
    <n v="24"/>
    <n v="0"/>
    <x v="1"/>
    <x v="6"/>
    <x v="1"/>
  </r>
  <r>
    <n v="452"/>
    <n v="10417"/>
    <n v="68"/>
    <n v="36"/>
    <x v="140"/>
    <n v="73"/>
    <s v="Simons bistro"/>
    <x v="17"/>
    <n v="4"/>
    <n v="3"/>
    <s v="Federal Shipping"/>
    <s v="Scottish Longbreads"/>
    <n v="3"/>
    <x v="5"/>
    <n v="8"/>
    <s v="Specialty Biscuits, Ltd."/>
    <n v="13"/>
    <n v="468"/>
    <n v="0"/>
    <x v="1"/>
    <x v="6"/>
    <x v="2"/>
  </r>
  <r>
    <n v="453"/>
    <n v="10417"/>
    <n v="77"/>
    <n v="35"/>
    <x v="140"/>
    <n v="73"/>
    <s v="Simons bistro"/>
    <x v="17"/>
    <n v="4"/>
    <n v="3"/>
    <s v="Federal Shipping"/>
    <s v="Original Frankfurter grune So├ƒe"/>
    <n v="2"/>
    <x v="4"/>
    <n v="12"/>
    <s v="Plutzer Lebensmittelgro├ƒmarkte AG"/>
    <n v="13"/>
    <n v="455"/>
    <n v="0"/>
    <x v="1"/>
    <x v="6"/>
    <x v="2"/>
  </r>
  <r>
    <n v="454"/>
    <n v="10418"/>
    <n v="2"/>
    <n v="60"/>
    <x v="141"/>
    <n v="63"/>
    <s v="QUICK-Stop"/>
    <x v="10"/>
    <n v="4"/>
    <n v="1"/>
    <s v="Speedy Express"/>
    <s v="Chang"/>
    <n v="1"/>
    <x v="6"/>
    <n v="1"/>
    <s v="Exotic Liquid"/>
    <n v="19"/>
    <n v="1140"/>
    <n v="1"/>
    <x v="1"/>
    <x v="6"/>
    <x v="5"/>
  </r>
  <r>
    <n v="455"/>
    <n v="10418"/>
    <n v="47"/>
    <n v="55"/>
    <x v="141"/>
    <n v="63"/>
    <s v="QUICK-Stop"/>
    <x v="10"/>
    <n v="4"/>
    <n v="1"/>
    <s v="Speedy Express"/>
    <s v="Zaanse koeken"/>
    <n v="3"/>
    <x v="5"/>
    <n v="22"/>
    <s v="Zaanse Snoepfabriek"/>
    <n v="10"/>
    <n v="550"/>
    <n v="0"/>
    <x v="1"/>
    <x v="6"/>
    <x v="5"/>
  </r>
  <r>
    <n v="456"/>
    <n v="10418"/>
    <n v="61"/>
    <n v="16"/>
    <x v="141"/>
    <n v="63"/>
    <s v="QUICK-Stop"/>
    <x v="10"/>
    <n v="4"/>
    <n v="1"/>
    <s v="Speedy Express"/>
    <s v="Sirop d'erable"/>
    <n v="2"/>
    <x v="4"/>
    <n v="29"/>
    <s v="Forets d'erables"/>
    <n v="29"/>
    <n v="464"/>
    <n v="0"/>
    <x v="1"/>
    <x v="6"/>
    <x v="0"/>
  </r>
  <r>
    <n v="457"/>
    <n v="10418"/>
    <n v="74"/>
    <n v="15"/>
    <x v="141"/>
    <n v="63"/>
    <s v="QUICK-Stop"/>
    <x v="10"/>
    <n v="4"/>
    <n v="1"/>
    <s v="Speedy Express"/>
    <s v="Longlife Tofu"/>
    <n v="7"/>
    <x v="2"/>
    <n v="4"/>
    <s v="Tokyo Traders"/>
    <n v="10"/>
    <n v="150"/>
    <n v="0"/>
    <x v="1"/>
    <x v="6"/>
    <x v="0"/>
  </r>
  <r>
    <n v="458"/>
    <n v="10419"/>
    <n v="60"/>
    <n v="60"/>
    <x v="142"/>
    <n v="68"/>
    <s v="Richter Supermarkt"/>
    <x v="4"/>
    <n v="4"/>
    <n v="2"/>
    <s v="United Package"/>
    <s v="Camembert Pierrot"/>
    <n v="4"/>
    <x v="0"/>
    <n v="28"/>
    <s v="Gai paturage"/>
    <n v="34"/>
    <n v="2040"/>
    <n v="1"/>
    <x v="1"/>
    <x v="6"/>
    <x v="5"/>
  </r>
  <r>
    <n v="459"/>
    <n v="10419"/>
    <n v="69"/>
    <n v="20"/>
    <x v="142"/>
    <n v="68"/>
    <s v="Richter Supermarkt"/>
    <x v="4"/>
    <n v="4"/>
    <n v="2"/>
    <s v="United Package"/>
    <s v="Gudbrandsdalsost"/>
    <n v="4"/>
    <x v="0"/>
    <n v="15"/>
    <s v="Norske Meierier"/>
    <n v="36"/>
    <n v="720"/>
    <n v="0"/>
    <x v="1"/>
    <x v="6"/>
    <x v="0"/>
  </r>
  <r>
    <n v="460"/>
    <n v="10420"/>
    <n v="9"/>
    <n v="20"/>
    <x v="143"/>
    <n v="88"/>
    <s v="Wellington Importadora"/>
    <x v="1"/>
    <n v="3"/>
    <n v="1"/>
    <s v="Speedy Express"/>
    <s v="Mishi Kobe Niku"/>
    <n v="6"/>
    <x v="7"/>
    <n v="4"/>
    <s v="Tokyo Traders"/>
    <n v="97"/>
    <n v="1940"/>
    <n v="1"/>
    <x v="1"/>
    <x v="6"/>
    <x v="0"/>
  </r>
  <r>
    <n v="461"/>
    <n v="10420"/>
    <n v="13"/>
    <n v="2"/>
    <x v="143"/>
    <n v="88"/>
    <s v="Wellington Importadora"/>
    <x v="1"/>
    <n v="3"/>
    <n v="1"/>
    <s v="Speedy Express"/>
    <s v="Konbu"/>
    <n v="8"/>
    <x v="3"/>
    <n v="6"/>
    <s v="Mayumi's"/>
    <n v="6"/>
    <n v="12"/>
    <n v="0"/>
    <x v="1"/>
    <x v="6"/>
    <x v="1"/>
  </r>
  <r>
    <n v="462"/>
    <n v="10420"/>
    <n v="70"/>
    <n v="8"/>
    <x v="143"/>
    <n v="88"/>
    <s v="Wellington Importadora"/>
    <x v="1"/>
    <n v="3"/>
    <n v="1"/>
    <s v="Speedy Express"/>
    <s v="Outback Lager"/>
    <n v="1"/>
    <x v="6"/>
    <n v="7"/>
    <s v="Pavlova, Ltd."/>
    <n v="15"/>
    <n v="120"/>
    <n v="0"/>
    <x v="1"/>
    <x v="6"/>
    <x v="1"/>
  </r>
  <r>
    <n v="463"/>
    <n v="10420"/>
    <n v="73"/>
    <n v="20"/>
    <x v="143"/>
    <n v="88"/>
    <s v="Wellington Importadora"/>
    <x v="1"/>
    <n v="3"/>
    <n v="1"/>
    <s v="Speedy Express"/>
    <s v="Rod Kaviar"/>
    <n v="8"/>
    <x v="3"/>
    <n v="17"/>
    <s v="Svensk Sjofoda AB"/>
    <n v="15"/>
    <n v="300"/>
    <n v="0"/>
    <x v="1"/>
    <x v="6"/>
    <x v="0"/>
  </r>
  <r>
    <n v="464"/>
    <n v="10421"/>
    <n v="19"/>
    <n v="4"/>
    <x v="143"/>
    <n v="61"/>
    <s v="Que Delicia"/>
    <x v="1"/>
    <n v="8"/>
    <n v="1"/>
    <s v="Speedy Express"/>
    <s v="Teatime Chocolate Biscuits"/>
    <n v="3"/>
    <x v="5"/>
    <n v="8"/>
    <s v="Specialty Biscuits, Ltd."/>
    <n v="9"/>
    <n v="36"/>
    <n v="1"/>
    <x v="1"/>
    <x v="6"/>
    <x v="1"/>
  </r>
  <r>
    <n v="465"/>
    <n v="10421"/>
    <n v="26"/>
    <n v="30"/>
    <x v="143"/>
    <n v="61"/>
    <s v="Que Delicia"/>
    <x v="1"/>
    <n v="8"/>
    <n v="1"/>
    <s v="Speedy Express"/>
    <s v="Gumbar Gummibarchen"/>
    <n v="3"/>
    <x v="5"/>
    <n v="11"/>
    <s v="Heli Su├ƒwaren GmbH &amp; Co. KG"/>
    <n v="31"/>
    <n v="930"/>
    <n v="0"/>
    <x v="1"/>
    <x v="6"/>
    <x v="3"/>
  </r>
  <r>
    <n v="466"/>
    <n v="10421"/>
    <n v="53"/>
    <n v="15"/>
    <x v="143"/>
    <n v="61"/>
    <s v="Que Delicia"/>
    <x v="1"/>
    <n v="8"/>
    <n v="1"/>
    <s v="Speedy Express"/>
    <s v="Perth Pasties"/>
    <n v="6"/>
    <x v="7"/>
    <n v="24"/>
    <s v="G'day, Mate"/>
    <n v="33"/>
    <n v="495"/>
    <n v="0"/>
    <x v="1"/>
    <x v="6"/>
    <x v="0"/>
  </r>
  <r>
    <n v="467"/>
    <n v="10421"/>
    <n v="77"/>
    <n v="10"/>
    <x v="143"/>
    <n v="61"/>
    <s v="Que Delicia"/>
    <x v="1"/>
    <n v="8"/>
    <n v="1"/>
    <s v="Speedy Express"/>
    <s v="Original Frankfurter grune So├ƒe"/>
    <n v="2"/>
    <x v="4"/>
    <n v="12"/>
    <s v="Plutzer Lebensmittelgro├ƒmarkte AG"/>
    <n v="13"/>
    <n v="130"/>
    <n v="0"/>
    <x v="1"/>
    <x v="6"/>
    <x v="1"/>
  </r>
  <r>
    <n v="468"/>
    <n v="10422"/>
    <n v="26"/>
    <n v="2"/>
    <x v="144"/>
    <n v="27"/>
    <s v="Franchi S.p.A."/>
    <x v="11"/>
    <n v="2"/>
    <n v="1"/>
    <s v="Speedy Express"/>
    <s v="Gumbar Gummibarchen"/>
    <n v="3"/>
    <x v="5"/>
    <n v="11"/>
    <s v="Heli Su├ƒwaren GmbH &amp; Co. KG"/>
    <n v="31"/>
    <n v="62"/>
    <n v="1"/>
    <x v="1"/>
    <x v="6"/>
    <x v="1"/>
  </r>
  <r>
    <n v="469"/>
    <n v="10423"/>
    <n v="31"/>
    <n v="14"/>
    <x v="145"/>
    <n v="31"/>
    <s v="Gourmet Lanchonetes"/>
    <x v="1"/>
    <n v="6"/>
    <n v="3"/>
    <s v="Federal Shipping"/>
    <s v="Gorgonzola Telino"/>
    <n v="4"/>
    <x v="0"/>
    <n v="14"/>
    <s v="Formaggi Fortini s.r.l."/>
    <n v="13"/>
    <n v="182"/>
    <n v="1"/>
    <x v="1"/>
    <x v="6"/>
    <x v="0"/>
  </r>
  <r>
    <n v="470"/>
    <n v="10423"/>
    <n v="59"/>
    <n v="20"/>
    <x v="145"/>
    <n v="31"/>
    <s v="Gourmet Lanchonetes"/>
    <x v="1"/>
    <n v="6"/>
    <n v="3"/>
    <s v="Federal Shipping"/>
    <s v="Raclette Courdavault"/>
    <n v="4"/>
    <x v="0"/>
    <n v="28"/>
    <s v="Gai paturage"/>
    <n v="55"/>
    <n v="1100"/>
    <n v="0"/>
    <x v="1"/>
    <x v="6"/>
    <x v="0"/>
  </r>
  <r>
    <n v="471"/>
    <n v="10424"/>
    <n v="35"/>
    <n v="60"/>
    <x v="145"/>
    <n v="51"/>
    <s v="Mere Paillarde"/>
    <x v="16"/>
    <n v="7"/>
    <n v="2"/>
    <s v="United Package"/>
    <s v="Steeleye Stout"/>
    <n v="1"/>
    <x v="6"/>
    <n v="16"/>
    <s v="Bigfoot Breweries"/>
    <n v="18"/>
    <n v="1080"/>
    <n v="1"/>
    <x v="1"/>
    <x v="6"/>
    <x v="5"/>
  </r>
  <r>
    <n v="472"/>
    <n v="10424"/>
    <n v="38"/>
    <n v="49"/>
    <x v="145"/>
    <n v="51"/>
    <s v="Mere Paillarde"/>
    <x v="16"/>
    <n v="7"/>
    <n v="2"/>
    <s v="United Package"/>
    <s v="Cote de Blaye"/>
    <n v="1"/>
    <x v="6"/>
    <n v="18"/>
    <s v="Aux joyeux ecclesiastiques"/>
    <n v="264"/>
    <n v="12936"/>
    <n v="0"/>
    <x v="1"/>
    <x v="6"/>
    <x v="4"/>
  </r>
  <r>
    <n v="473"/>
    <n v="10424"/>
    <n v="68"/>
    <n v="30"/>
    <x v="145"/>
    <n v="51"/>
    <s v="Mere Paillarde"/>
    <x v="16"/>
    <n v="7"/>
    <n v="2"/>
    <s v="United Package"/>
    <s v="Scottish Longbreads"/>
    <n v="3"/>
    <x v="5"/>
    <n v="8"/>
    <s v="Specialty Biscuits, Ltd."/>
    <n v="13"/>
    <n v="390"/>
    <n v="0"/>
    <x v="1"/>
    <x v="6"/>
    <x v="3"/>
  </r>
  <r>
    <n v="474"/>
    <n v="10425"/>
    <n v="55"/>
    <n v="10"/>
    <x v="146"/>
    <n v="41"/>
    <s v="La maison d''Asie"/>
    <x v="2"/>
    <n v="6"/>
    <n v="2"/>
    <s v="United Package"/>
    <s v="Pate chinois"/>
    <n v="6"/>
    <x v="7"/>
    <n v="25"/>
    <s v="Ma Maison"/>
    <n v="24"/>
    <n v="240"/>
    <n v="1"/>
    <x v="1"/>
    <x v="6"/>
    <x v="1"/>
  </r>
  <r>
    <n v="475"/>
    <n v="10425"/>
    <n v="76"/>
    <n v="20"/>
    <x v="146"/>
    <n v="41"/>
    <s v="La maison d''Asie"/>
    <x v="2"/>
    <n v="6"/>
    <n v="2"/>
    <s v="United Package"/>
    <s v="Lakkalikoori"/>
    <n v="1"/>
    <x v="6"/>
    <n v="23"/>
    <s v="Karkki Oy"/>
    <n v="18"/>
    <n v="360"/>
    <n v="0"/>
    <x v="1"/>
    <x v="6"/>
    <x v="0"/>
  </r>
  <r>
    <n v="476"/>
    <n v="10426"/>
    <n v="56"/>
    <n v="5"/>
    <x v="147"/>
    <n v="29"/>
    <s v="Galeria del gastronomo"/>
    <x v="12"/>
    <n v="4"/>
    <n v="1"/>
    <s v="Speedy Express"/>
    <s v="Gnocchi di nonna Alice"/>
    <n v="5"/>
    <x v="1"/>
    <n v="26"/>
    <s v="Pasta Buttini s.r.l."/>
    <n v="38"/>
    <n v="190"/>
    <n v="1"/>
    <x v="1"/>
    <x v="6"/>
    <x v="1"/>
  </r>
  <r>
    <n v="477"/>
    <n v="10426"/>
    <n v="64"/>
    <n v="7"/>
    <x v="147"/>
    <n v="29"/>
    <s v="Galeria del gastronomo"/>
    <x v="12"/>
    <n v="4"/>
    <n v="1"/>
    <s v="Speedy Express"/>
    <s v="Wimmers gute Semmelknodel"/>
    <n v="5"/>
    <x v="1"/>
    <n v="12"/>
    <s v="Plutzer Lebensmittelgro├ƒmarkte AG"/>
    <n v="33"/>
    <n v="231"/>
    <n v="0"/>
    <x v="1"/>
    <x v="6"/>
    <x v="1"/>
  </r>
  <r>
    <n v="478"/>
    <n v="10427"/>
    <n v="14"/>
    <n v="35"/>
    <x v="147"/>
    <n v="59"/>
    <s v="Piccolo und mehr"/>
    <x v="6"/>
    <n v="4"/>
    <n v="2"/>
    <s v="United Package"/>
    <s v="Tofu"/>
    <n v="7"/>
    <x v="2"/>
    <n v="6"/>
    <s v="Mayumi's"/>
    <n v="23"/>
    <n v="805"/>
    <n v="1"/>
    <x v="1"/>
    <x v="6"/>
    <x v="2"/>
  </r>
  <r>
    <n v="479"/>
    <n v="10428"/>
    <n v="46"/>
    <n v="20"/>
    <x v="148"/>
    <n v="66"/>
    <s v="Reggiani Caseifici"/>
    <x v="11"/>
    <n v="7"/>
    <n v="1"/>
    <s v="Speedy Express"/>
    <s v="Spegesild"/>
    <n v="8"/>
    <x v="3"/>
    <n v="21"/>
    <s v="Lyngbysild"/>
    <n v="12"/>
    <n v="240"/>
    <n v="1"/>
    <x v="1"/>
    <x v="6"/>
    <x v="0"/>
  </r>
  <r>
    <n v="480"/>
    <n v="10429"/>
    <n v="50"/>
    <n v="40"/>
    <x v="149"/>
    <n v="37"/>
    <s v="Hungry Owl All-Night Grocers"/>
    <x v="14"/>
    <n v="3"/>
    <n v="2"/>
    <s v="United Package"/>
    <s v="Valkoinen suklaa"/>
    <n v="3"/>
    <x v="5"/>
    <n v="23"/>
    <s v="Karkki Oy"/>
    <n v="16"/>
    <n v="640"/>
    <n v="1"/>
    <x v="1"/>
    <x v="6"/>
    <x v="2"/>
  </r>
  <r>
    <n v="481"/>
    <n v="10429"/>
    <n v="63"/>
    <n v="35"/>
    <x v="149"/>
    <n v="37"/>
    <s v="Hungry Owl All-Night Grocers"/>
    <x v="14"/>
    <n v="3"/>
    <n v="2"/>
    <s v="United Package"/>
    <s v="Vegie-spread"/>
    <n v="2"/>
    <x v="4"/>
    <n v="7"/>
    <s v="Pavlova, Ltd."/>
    <n v="44"/>
    <n v="1540"/>
    <n v="0"/>
    <x v="1"/>
    <x v="6"/>
    <x v="2"/>
  </r>
  <r>
    <n v="482"/>
    <n v="10430"/>
    <n v="17"/>
    <n v="45"/>
    <x v="150"/>
    <n v="20"/>
    <s v="Ernst Handel"/>
    <x v="6"/>
    <n v="4"/>
    <n v="1"/>
    <s v="Speedy Express"/>
    <s v="Alice Mutton"/>
    <n v="6"/>
    <x v="7"/>
    <n v="7"/>
    <s v="Pavlova, Ltd."/>
    <n v="39"/>
    <n v="1755"/>
    <n v="1"/>
    <x v="1"/>
    <x v="6"/>
    <x v="4"/>
  </r>
  <r>
    <n v="483"/>
    <n v="10430"/>
    <n v="21"/>
    <n v="50"/>
    <x v="150"/>
    <n v="20"/>
    <s v="Ernst Handel"/>
    <x v="6"/>
    <n v="4"/>
    <n v="1"/>
    <s v="Speedy Express"/>
    <s v="Sir Rodney's Scones"/>
    <n v="3"/>
    <x v="5"/>
    <n v="8"/>
    <s v="Specialty Biscuits, Ltd."/>
    <n v="10"/>
    <n v="500"/>
    <n v="0"/>
    <x v="1"/>
    <x v="6"/>
    <x v="4"/>
  </r>
  <r>
    <n v="484"/>
    <n v="10430"/>
    <n v="56"/>
    <n v="30"/>
    <x v="150"/>
    <n v="20"/>
    <s v="Ernst Handel"/>
    <x v="6"/>
    <n v="4"/>
    <n v="1"/>
    <s v="Speedy Express"/>
    <s v="Gnocchi di nonna Alice"/>
    <n v="5"/>
    <x v="1"/>
    <n v="26"/>
    <s v="Pasta Buttini s.r.l."/>
    <n v="38"/>
    <n v="1140"/>
    <n v="0"/>
    <x v="1"/>
    <x v="6"/>
    <x v="3"/>
  </r>
  <r>
    <n v="485"/>
    <n v="10430"/>
    <n v="59"/>
    <n v="70"/>
    <x v="150"/>
    <n v="20"/>
    <s v="Ernst Handel"/>
    <x v="6"/>
    <n v="4"/>
    <n v="1"/>
    <s v="Speedy Express"/>
    <s v="Raclette Courdavault"/>
    <n v="4"/>
    <x v="0"/>
    <n v="28"/>
    <s v="Gai paturage"/>
    <n v="55"/>
    <n v="3850"/>
    <n v="0"/>
    <x v="1"/>
    <x v="6"/>
    <x v="5"/>
  </r>
  <r>
    <n v="486"/>
    <n v="10431"/>
    <n v="17"/>
    <n v="50"/>
    <x v="150"/>
    <n v="10"/>
    <s v="Bottom-Dollar Marketse"/>
    <x v="16"/>
    <n v="4"/>
    <n v="2"/>
    <s v="United Package"/>
    <s v="Alice Mutton"/>
    <n v="6"/>
    <x v="7"/>
    <n v="7"/>
    <s v="Pavlova, Ltd."/>
    <n v="39"/>
    <n v="1950"/>
    <n v="1"/>
    <x v="1"/>
    <x v="6"/>
    <x v="4"/>
  </r>
  <r>
    <n v="487"/>
    <n v="10431"/>
    <n v="40"/>
    <n v="50"/>
    <x v="150"/>
    <n v="10"/>
    <s v="Bottom-Dollar Marketse"/>
    <x v="16"/>
    <n v="4"/>
    <n v="2"/>
    <s v="United Package"/>
    <s v="Boston Crab Meat"/>
    <n v="8"/>
    <x v="3"/>
    <n v="19"/>
    <s v="New England Seafood Cannery"/>
    <n v="18"/>
    <n v="900"/>
    <n v="0"/>
    <x v="1"/>
    <x v="6"/>
    <x v="4"/>
  </r>
  <r>
    <n v="488"/>
    <n v="10431"/>
    <n v="47"/>
    <n v="30"/>
    <x v="150"/>
    <n v="10"/>
    <s v="Bottom-Dollar Marketse"/>
    <x v="16"/>
    <n v="4"/>
    <n v="2"/>
    <s v="United Package"/>
    <s v="Zaanse koeken"/>
    <n v="3"/>
    <x v="5"/>
    <n v="22"/>
    <s v="Zaanse Snoepfabriek"/>
    <n v="10"/>
    <n v="300"/>
    <n v="0"/>
    <x v="1"/>
    <x v="6"/>
    <x v="3"/>
  </r>
  <r>
    <n v="489"/>
    <n v="10432"/>
    <n v="26"/>
    <n v="10"/>
    <x v="151"/>
    <n v="75"/>
    <s v="Split Rail Beer &amp; Ale"/>
    <x v="8"/>
    <n v="3"/>
    <n v="2"/>
    <s v="United Package"/>
    <s v="Gumbar Gummibarchen"/>
    <n v="3"/>
    <x v="5"/>
    <n v="11"/>
    <s v="Heli Su├ƒwaren GmbH &amp; Co. KG"/>
    <n v="31"/>
    <n v="310"/>
    <n v="1"/>
    <x v="1"/>
    <x v="6"/>
    <x v="1"/>
  </r>
  <r>
    <n v="490"/>
    <n v="10432"/>
    <n v="54"/>
    <n v="40"/>
    <x v="151"/>
    <n v="75"/>
    <s v="Split Rail Beer &amp; Ale"/>
    <x v="8"/>
    <n v="3"/>
    <n v="2"/>
    <s v="United Package"/>
    <s v="Tourtiere"/>
    <n v="6"/>
    <x v="7"/>
    <n v="25"/>
    <s v="Ma Maison"/>
    <n v="7"/>
    <n v="280"/>
    <n v="0"/>
    <x v="1"/>
    <x v="6"/>
    <x v="2"/>
  </r>
  <r>
    <n v="491"/>
    <n v="10433"/>
    <n v="56"/>
    <n v="28"/>
    <x v="152"/>
    <n v="60"/>
    <s v="Princesa Isabel Vinhoss"/>
    <x v="15"/>
    <n v="3"/>
    <n v="3"/>
    <s v="Federal Shipping"/>
    <s v="Gnocchi di nonna Alice"/>
    <n v="5"/>
    <x v="1"/>
    <n v="26"/>
    <s v="Pasta Buttini s.r.l."/>
    <n v="38"/>
    <n v="1064"/>
    <n v="1"/>
    <x v="1"/>
    <x v="7"/>
    <x v="3"/>
  </r>
  <r>
    <n v="492"/>
    <n v="10434"/>
    <n v="11"/>
    <n v="6"/>
    <x v="152"/>
    <n v="24"/>
    <s v="Folk och fa HB"/>
    <x v="9"/>
    <n v="3"/>
    <n v="2"/>
    <s v="United Package"/>
    <s v="Queso Cabrales"/>
    <n v="4"/>
    <x v="0"/>
    <n v="5"/>
    <s v="Cooperativa de Quesos 'Las Cabras'"/>
    <n v="21"/>
    <n v="126"/>
    <n v="1"/>
    <x v="1"/>
    <x v="7"/>
    <x v="1"/>
  </r>
  <r>
    <n v="493"/>
    <n v="10434"/>
    <n v="76"/>
    <n v="18"/>
    <x v="152"/>
    <n v="24"/>
    <s v="Folk och fa HB"/>
    <x v="9"/>
    <n v="3"/>
    <n v="2"/>
    <s v="United Package"/>
    <s v="Lakkalikoori"/>
    <n v="1"/>
    <x v="6"/>
    <n v="23"/>
    <s v="Karkki Oy"/>
    <n v="18"/>
    <n v="324"/>
    <n v="0"/>
    <x v="1"/>
    <x v="7"/>
    <x v="0"/>
  </r>
  <r>
    <n v="494"/>
    <n v="10435"/>
    <n v="2"/>
    <n v="10"/>
    <x v="153"/>
    <n v="16"/>
    <s v="Consolidated Holdings"/>
    <x v="13"/>
    <n v="8"/>
    <n v="2"/>
    <s v="United Package"/>
    <s v="Chang"/>
    <n v="1"/>
    <x v="6"/>
    <n v="1"/>
    <s v="Exotic Liquid"/>
    <n v="19"/>
    <n v="190"/>
    <n v="1"/>
    <x v="1"/>
    <x v="7"/>
    <x v="1"/>
  </r>
  <r>
    <n v="495"/>
    <n v="10435"/>
    <n v="22"/>
    <n v="12"/>
    <x v="153"/>
    <n v="16"/>
    <s v="Consolidated Holdings"/>
    <x v="13"/>
    <n v="8"/>
    <n v="2"/>
    <s v="United Package"/>
    <s v="Gustaf's Knackebrod"/>
    <n v="5"/>
    <x v="1"/>
    <n v="9"/>
    <s v="PB Knackebrod AB"/>
    <n v="21"/>
    <n v="252"/>
    <n v="0"/>
    <x v="1"/>
    <x v="7"/>
    <x v="0"/>
  </r>
  <r>
    <n v="496"/>
    <n v="10435"/>
    <n v="72"/>
    <n v="10"/>
    <x v="153"/>
    <n v="16"/>
    <s v="Consolidated Holdings"/>
    <x v="13"/>
    <n v="8"/>
    <n v="2"/>
    <s v="United Package"/>
    <s v="Mozzarella di Giovanni"/>
    <n v="4"/>
    <x v="0"/>
    <n v="14"/>
    <s v="Formaggi Fortini s.r.l."/>
    <n v="35"/>
    <n v="350"/>
    <n v="0"/>
    <x v="1"/>
    <x v="7"/>
    <x v="1"/>
  </r>
  <r>
    <n v="497"/>
    <n v="10436"/>
    <n v="46"/>
    <n v="5"/>
    <x v="154"/>
    <n v="7"/>
    <s v="Blondel pere et fils"/>
    <x v="2"/>
    <n v="3"/>
    <n v="2"/>
    <s v="United Package"/>
    <s v="Spegesild"/>
    <n v="8"/>
    <x v="3"/>
    <n v="21"/>
    <s v="Lyngbysild"/>
    <n v="12"/>
    <n v="60"/>
    <n v="1"/>
    <x v="1"/>
    <x v="7"/>
    <x v="1"/>
  </r>
  <r>
    <n v="498"/>
    <n v="10436"/>
    <n v="56"/>
    <n v="40"/>
    <x v="154"/>
    <n v="7"/>
    <s v="Blondel pere et fils"/>
    <x v="2"/>
    <n v="3"/>
    <n v="2"/>
    <s v="United Package"/>
    <s v="Gnocchi di nonna Alice"/>
    <n v="5"/>
    <x v="1"/>
    <n v="26"/>
    <s v="Pasta Buttini s.r.l."/>
    <n v="38"/>
    <n v="1520"/>
    <n v="0"/>
    <x v="1"/>
    <x v="7"/>
    <x v="2"/>
  </r>
  <r>
    <n v="499"/>
    <n v="10436"/>
    <n v="64"/>
    <n v="30"/>
    <x v="154"/>
    <n v="7"/>
    <s v="Blondel pere et fils"/>
    <x v="2"/>
    <n v="3"/>
    <n v="2"/>
    <s v="United Package"/>
    <s v="Wimmers gute Semmelknodel"/>
    <n v="5"/>
    <x v="1"/>
    <n v="12"/>
    <s v="Plutzer Lebensmittelgro├ƒmarkte AG"/>
    <n v="33"/>
    <n v="990"/>
    <n v="0"/>
    <x v="1"/>
    <x v="7"/>
    <x v="3"/>
  </r>
  <r>
    <n v="500"/>
    <n v="10436"/>
    <n v="75"/>
    <n v="24"/>
    <x v="154"/>
    <n v="7"/>
    <s v="Blondel pere et fils"/>
    <x v="2"/>
    <n v="3"/>
    <n v="2"/>
    <s v="United Package"/>
    <s v="Rhonbrau Klosterbier"/>
    <n v="1"/>
    <x v="6"/>
    <n v="12"/>
    <s v="Plutzer Lebensmittelgro├ƒmarkte AG"/>
    <n v="8"/>
    <n v="192"/>
    <n v="0"/>
    <x v="1"/>
    <x v="7"/>
    <x v="3"/>
  </r>
  <r>
    <n v="501"/>
    <n v="10437"/>
    <n v="53"/>
    <n v="15"/>
    <x v="154"/>
    <n v="87"/>
    <s v="Wartian Herkku"/>
    <x v="0"/>
    <n v="8"/>
    <n v="1"/>
    <s v="Speedy Express"/>
    <s v="Perth Pasties"/>
    <n v="6"/>
    <x v="7"/>
    <n v="24"/>
    <s v="G'day, Mate"/>
    <n v="33"/>
    <n v="495"/>
    <n v="1"/>
    <x v="1"/>
    <x v="7"/>
    <x v="0"/>
  </r>
  <r>
    <n v="502"/>
    <n v="10438"/>
    <n v="19"/>
    <n v="15"/>
    <x v="155"/>
    <n v="79"/>
    <s v="Toms Spezialitaten"/>
    <x v="10"/>
    <n v="3"/>
    <n v="2"/>
    <s v="United Package"/>
    <s v="Teatime Chocolate Biscuits"/>
    <n v="3"/>
    <x v="5"/>
    <n v="8"/>
    <s v="Specialty Biscuits, Ltd."/>
    <n v="9"/>
    <n v="135"/>
    <n v="1"/>
    <x v="1"/>
    <x v="7"/>
    <x v="0"/>
  </r>
  <r>
    <n v="503"/>
    <n v="10438"/>
    <n v="34"/>
    <n v="20"/>
    <x v="155"/>
    <n v="79"/>
    <s v="Toms Spezialitaten"/>
    <x v="10"/>
    <n v="3"/>
    <n v="2"/>
    <s v="United Package"/>
    <s v="Sasquatch Ale"/>
    <n v="1"/>
    <x v="6"/>
    <n v="16"/>
    <s v="Bigfoot Breweries"/>
    <n v="14"/>
    <n v="280"/>
    <n v="0"/>
    <x v="1"/>
    <x v="7"/>
    <x v="0"/>
  </r>
  <r>
    <n v="504"/>
    <n v="10438"/>
    <n v="57"/>
    <n v="15"/>
    <x v="155"/>
    <n v="79"/>
    <s v="Toms Spezialitaten"/>
    <x v="10"/>
    <n v="3"/>
    <n v="2"/>
    <s v="United Package"/>
    <s v="Ravioli Angelo"/>
    <n v="5"/>
    <x v="1"/>
    <n v="26"/>
    <s v="Pasta Buttini s.r.l."/>
    <n v="20"/>
    <n v="300"/>
    <n v="0"/>
    <x v="1"/>
    <x v="7"/>
    <x v="0"/>
  </r>
  <r>
    <n v="505"/>
    <n v="10439"/>
    <n v="12"/>
    <n v="15"/>
    <x v="156"/>
    <n v="51"/>
    <s v="Mere Paillarde"/>
    <x v="16"/>
    <n v="6"/>
    <n v="3"/>
    <s v="Federal Shipping"/>
    <s v="Queso Manchego La Pastora"/>
    <n v="4"/>
    <x v="0"/>
    <n v="5"/>
    <s v="Cooperativa de Quesos 'Las Cabras'"/>
    <n v="38"/>
    <n v="570"/>
    <n v="1"/>
    <x v="1"/>
    <x v="7"/>
    <x v="0"/>
  </r>
  <r>
    <n v="506"/>
    <n v="10439"/>
    <n v="16"/>
    <n v="16"/>
    <x v="156"/>
    <n v="51"/>
    <s v="Mere Paillarde"/>
    <x v="16"/>
    <n v="6"/>
    <n v="3"/>
    <s v="Federal Shipping"/>
    <s v="Pavlova"/>
    <n v="3"/>
    <x v="5"/>
    <n v="7"/>
    <s v="Pavlova, Ltd."/>
    <n v="17"/>
    <n v="272"/>
    <n v="0"/>
    <x v="1"/>
    <x v="7"/>
    <x v="0"/>
  </r>
  <r>
    <n v="507"/>
    <n v="10439"/>
    <n v="64"/>
    <n v="6"/>
    <x v="156"/>
    <n v="51"/>
    <s v="Mere Paillarde"/>
    <x v="16"/>
    <n v="6"/>
    <n v="3"/>
    <s v="Federal Shipping"/>
    <s v="Wimmers gute Semmelknodel"/>
    <n v="5"/>
    <x v="1"/>
    <n v="12"/>
    <s v="Plutzer Lebensmittelgro├ƒmarkte AG"/>
    <n v="33"/>
    <n v="198"/>
    <n v="0"/>
    <x v="1"/>
    <x v="7"/>
    <x v="1"/>
  </r>
  <r>
    <n v="508"/>
    <n v="10439"/>
    <n v="74"/>
    <n v="30"/>
    <x v="156"/>
    <n v="51"/>
    <s v="Mere Paillarde"/>
    <x v="16"/>
    <n v="6"/>
    <n v="3"/>
    <s v="Federal Shipping"/>
    <s v="Longlife Tofu"/>
    <n v="7"/>
    <x v="2"/>
    <n v="4"/>
    <s v="Tokyo Traders"/>
    <n v="10"/>
    <n v="300"/>
    <n v="0"/>
    <x v="1"/>
    <x v="7"/>
    <x v="3"/>
  </r>
  <r>
    <n v="509"/>
    <n v="10440"/>
    <n v="2"/>
    <n v="45"/>
    <x v="157"/>
    <n v="71"/>
    <s v="Save-a-lot Markets"/>
    <x v="8"/>
    <n v="4"/>
    <n v="2"/>
    <s v="United Package"/>
    <s v="Chang"/>
    <n v="1"/>
    <x v="6"/>
    <n v="1"/>
    <s v="Exotic Liquid"/>
    <n v="19"/>
    <n v="855"/>
    <n v="1"/>
    <x v="1"/>
    <x v="7"/>
    <x v="4"/>
  </r>
  <r>
    <n v="510"/>
    <n v="10440"/>
    <n v="16"/>
    <n v="49"/>
    <x v="157"/>
    <n v="71"/>
    <s v="Save-a-lot Markets"/>
    <x v="8"/>
    <n v="4"/>
    <n v="2"/>
    <s v="United Package"/>
    <s v="Pavlova"/>
    <n v="3"/>
    <x v="5"/>
    <n v="7"/>
    <s v="Pavlova, Ltd."/>
    <n v="17"/>
    <n v="833"/>
    <n v="0"/>
    <x v="1"/>
    <x v="7"/>
    <x v="4"/>
  </r>
  <r>
    <n v="511"/>
    <n v="10440"/>
    <n v="29"/>
    <n v="24"/>
    <x v="157"/>
    <n v="71"/>
    <s v="Save-a-lot Markets"/>
    <x v="8"/>
    <n v="4"/>
    <n v="2"/>
    <s v="United Package"/>
    <s v="Thuringer Rostbratwurst"/>
    <n v="6"/>
    <x v="7"/>
    <n v="12"/>
    <s v="Plutzer Lebensmittelgro├ƒmarkte AG"/>
    <n v="124"/>
    <n v="2976"/>
    <n v="0"/>
    <x v="1"/>
    <x v="7"/>
    <x v="3"/>
  </r>
  <r>
    <n v="512"/>
    <n v="10440"/>
    <n v="61"/>
    <n v="90"/>
    <x v="157"/>
    <n v="71"/>
    <s v="Save-a-lot Markets"/>
    <x v="8"/>
    <n v="4"/>
    <n v="2"/>
    <s v="United Package"/>
    <s v="Sirop d'erable"/>
    <n v="2"/>
    <x v="4"/>
    <n v="29"/>
    <s v="Forets d'erables"/>
    <n v="29"/>
    <n v="2610"/>
    <n v="0"/>
    <x v="1"/>
    <x v="7"/>
    <x v="5"/>
  </r>
  <r>
    <n v="513"/>
    <n v="10441"/>
    <n v="27"/>
    <n v="50"/>
    <x v="157"/>
    <n v="55"/>
    <s v="Old World Delicatessen"/>
    <x v="8"/>
    <n v="3"/>
    <n v="2"/>
    <s v="United Package"/>
    <s v="Schoggi Schokolade"/>
    <n v="3"/>
    <x v="5"/>
    <n v="11"/>
    <s v="Heli Su├ƒwaren GmbH &amp; Co. KG"/>
    <n v="44"/>
    <n v="2200"/>
    <n v="1"/>
    <x v="1"/>
    <x v="7"/>
    <x v="4"/>
  </r>
  <r>
    <n v="514"/>
    <n v="10442"/>
    <n v="11"/>
    <n v="30"/>
    <x v="158"/>
    <n v="20"/>
    <s v="Ernst Handel"/>
    <x v="6"/>
    <n v="3"/>
    <n v="2"/>
    <s v="United Package"/>
    <s v="Queso Cabrales"/>
    <n v="4"/>
    <x v="0"/>
    <n v="5"/>
    <s v="Cooperativa de Quesos 'Las Cabras'"/>
    <n v="21"/>
    <n v="630"/>
    <n v="1"/>
    <x v="1"/>
    <x v="7"/>
    <x v="3"/>
  </r>
  <r>
    <n v="515"/>
    <n v="10442"/>
    <n v="54"/>
    <n v="80"/>
    <x v="158"/>
    <n v="20"/>
    <s v="Ernst Handel"/>
    <x v="6"/>
    <n v="3"/>
    <n v="2"/>
    <s v="United Package"/>
    <s v="Tourtiere"/>
    <n v="6"/>
    <x v="7"/>
    <n v="25"/>
    <s v="Ma Maison"/>
    <n v="7"/>
    <n v="560"/>
    <n v="0"/>
    <x v="1"/>
    <x v="7"/>
    <x v="5"/>
  </r>
  <r>
    <n v="516"/>
    <n v="10442"/>
    <n v="66"/>
    <n v="60"/>
    <x v="158"/>
    <n v="20"/>
    <s v="Ernst Handel"/>
    <x v="6"/>
    <n v="3"/>
    <n v="2"/>
    <s v="United Package"/>
    <s v="Louisiana Hot Spiced Okra"/>
    <n v="2"/>
    <x v="4"/>
    <n v="2"/>
    <s v="New Orleans Cajun Delights"/>
    <n v="17"/>
    <n v="1020"/>
    <n v="0"/>
    <x v="1"/>
    <x v="7"/>
    <x v="5"/>
  </r>
  <r>
    <n v="517"/>
    <n v="10443"/>
    <n v="11"/>
    <n v="6"/>
    <x v="159"/>
    <n v="66"/>
    <s v="Reggiani Caseifici"/>
    <x v="11"/>
    <n v="8"/>
    <n v="1"/>
    <s v="Speedy Express"/>
    <s v="Queso Cabrales"/>
    <n v="4"/>
    <x v="0"/>
    <n v="5"/>
    <s v="Cooperativa de Quesos 'Las Cabras'"/>
    <n v="21"/>
    <n v="126"/>
    <n v="1"/>
    <x v="1"/>
    <x v="7"/>
    <x v="1"/>
  </r>
  <r>
    <n v="518"/>
    <n v="10443"/>
    <n v="28"/>
    <n v="12"/>
    <x v="159"/>
    <n v="66"/>
    <s v="Reggiani Caseifici"/>
    <x v="11"/>
    <n v="8"/>
    <n v="1"/>
    <s v="Speedy Express"/>
    <s v="Rossle Sauerkraut"/>
    <n v="7"/>
    <x v="2"/>
    <n v="12"/>
    <s v="Plutzer Lebensmittelgro├ƒmarkte AG"/>
    <n v="46"/>
    <n v="552"/>
    <n v="0"/>
    <x v="1"/>
    <x v="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36799E-32CE-4074-A6E5-1D347214B571}" name="Συγκεντρωτικός Πίνακας5" cacheId="14" applyNumberFormats="0" applyBorderFormats="0" applyFontFormats="0" applyPatternFormats="0" applyAlignmentFormats="0" applyWidthHeightFormats="1" dataCaption="Τιμές" updatedVersion="8" minRefreshableVersion="3" useAutoFormatting="1" itemPrintTitles="1" createdVersion="8" indent="0" outline="1" outlineData="1" multipleFieldFilters="0">
  <location ref="A43:B50" firstHeaderRow="1" firstDataRow="1" firstDataCol="1"/>
  <pivotFields count="28">
    <pivotField showAll="0"/>
    <pivotField dataField="1" showAll="0"/>
    <pivotField showAll="0"/>
    <pivotField numFmtId="1" showAll="0"/>
    <pivotField numFmtId="165" showAll="0">
      <items count="1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showAll="0"/>
    <pivotField showAll="0"/>
    <pivotField showAll="0"/>
    <pivotField showAll="0"/>
    <pivotField showAll="0"/>
    <pivotField showAll="0"/>
    <pivotField showAll="0"/>
    <pivotField showAll="0"/>
    <pivotField showAll="0"/>
    <pivotField showAll="0"/>
    <pivotField showAll="0"/>
    <pivotField numFmtId="4" showAll="0"/>
    <pivotField numFmtId="4" showAll="0"/>
    <pivotField numFmtId="1" showAll="0"/>
    <pivotField numFmtId="1" showAll="0"/>
    <pivotField numFmtId="166" showAll="0">
      <items count="9">
        <item x="0"/>
        <item x="1"/>
        <item x="2"/>
        <item x="3"/>
        <item x="4"/>
        <item x="5"/>
        <item x="6"/>
        <item x="7"/>
        <item t="default"/>
      </items>
    </pivotField>
    <pivotField axis="axisRow" showAll="0">
      <items count="7">
        <item x="1"/>
        <item x="0"/>
        <item x="3"/>
        <item x="2"/>
        <item x="4"/>
        <item x="5"/>
        <item t="default"/>
      </items>
    </pivotField>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s>
  <rowFields count="1">
    <field x="21"/>
  </rowFields>
  <rowItems count="7">
    <i>
      <x/>
    </i>
    <i>
      <x v="1"/>
    </i>
    <i>
      <x v="2"/>
    </i>
    <i>
      <x v="3"/>
    </i>
    <i>
      <x v="4"/>
    </i>
    <i>
      <x v="5"/>
    </i>
    <i t="grand">
      <x/>
    </i>
  </rowItems>
  <colItems count="1">
    <i/>
  </colItems>
  <dataFields count="1">
    <dataField name="Καταμέτρηση από OrderID" fld="1" subtotal="count" baseField="2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A1711D-8142-439B-AAF2-5992CBFF4DAE}" name="Συγκεντρωτικός Πίνακας4" cacheId="14" applyNumberFormats="0" applyBorderFormats="0" applyFontFormats="0" applyPatternFormats="0" applyAlignmentFormats="0" applyWidthHeightFormats="1" dataCaption="Τιμές" updatedVersion="8" minRefreshableVersion="3" useAutoFormatting="1" itemPrintTitles="1" createdVersion="8" indent="0" outline="1" outlineData="1" multipleFieldFilters="0">
  <location ref="D18:D19" firstHeaderRow="1" firstDataRow="1" firstDataCol="0"/>
  <pivotFields count="28">
    <pivotField showAll="0"/>
    <pivotField showAll="0"/>
    <pivotField showAll="0"/>
    <pivotField numFmtId="1" showAll="0"/>
    <pivotField numFmtId="165" showAll="0">
      <items count="1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showAll="0"/>
    <pivotField showAll="0"/>
    <pivotField showAll="0"/>
    <pivotField showAll="0"/>
    <pivotField showAll="0"/>
    <pivotField showAll="0"/>
    <pivotField showAll="0"/>
    <pivotField showAll="0"/>
    <pivotField showAll="0"/>
    <pivotField showAll="0"/>
    <pivotField showAll="0"/>
    <pivotField dataField="1" numFmtId="4" showAll="0"/>
    <pivotField numFmtId="4" showAll="0"/>
    <pivotField numFmtId="1" showAll="0"/>
    <pivotField numFmtId="1" showAll="0"/>
    <pivotField numFmtId="166" showAll="0">
      <items count="9">
        <item x="0"/>
        <item x="1"/>
        <item x="2"/>
        <item x="3"/>
        <item x="4"/>
        <item x="5"/>
        <item x="6"/>
        <item x="7"/>
        <item t="default"/>
      </items>
    </pivotField>
    <pivotField showAll="0"/>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s>
  <rowItems count="1">
    <i/>
  </rowItems>
  <colItems count="1">
    <i/>
  </colItems>
  <dataFields count="1">
    <dataField name="Columns Total (%)" fld="16"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341418-A1AC-4E33-841A-6869544670E8}" name="Συγκεντρωτικός Πίνακας3" cacheId="14" applyNumberFormats="0" applyBorderFormats="0" applyFontFormats="0" applyPatternFormats="0" applyAlignmentFormats="0" applyWidthHeightFormats="1" dataCaption="Τιμές" updatedVersion="8" minRefreshableVersion="3" useAutoFormatting="1" itemPrintTitles="1" createdVersion="8" indent="0" outline="1" outlineData="1" multipleFieldFilters="0" rowHeaderCaption="Country">
  <location ref="A18:B40" firstHeaderRow="1" firstDataRow="1" firstDataCol="1" rowPageCount="1" colPageCount="1"/>
  <pivotFields count="28">
    <pivotField showAll="0"/>
    <pivotField dataField="1" showAll="0"/>
    <pivotField showAll="0"/>
    <pivotField numFmtId="1" showAll="0"/>
    <pivotField axis="axisPage" numFmtId="165" showAll="0">
      <items count="1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showAll="0"/>
    <pivotField showAll="0"/>
    <pivotField axis="axisRow" showAll="0">
      <items count="22">
        <item x="20"/>
        <item x="6"/>
        <item x="3"/>
        <item x="1"/>
        <item x="16"/>
        <item x="17"/>
        <item x="0"/>
        <item x="2"/>
        <item x="10"/>
        <item x="14"/>
        <item x="11"/>
        <item x="7"/>
        <item x="19"/>
        <item x="18"/>
        <item x="15"/>
        <item x="12"/>
        <item x="9"/>
        <item x="4"/>
        <item x="13"/>
        <item x="8"/>
        <item x="5"/>
        <item t="default"/>
      </items>
    </pivotField>
    <pivotField showAll="0"/>
    <pivotField showAll="0"/>
    <pivotField showAll="0"/>
    <pivotField showAll="0"/>
    <pivotField showAll="0"/>
    <pivotField showAll="0">
      <items count="9">
        <item x="6"/>
        <item x="4"/>
        <item x="5"/>
        <item x="0"/>
        <item x="1"/>
        <item x="7"/>
        <item x="2"/>
        <item x="3"/>
        <item t="default"/>
      </items>
    </pivotField>
    <pivotField showAll="0"/>
    <pivotField showAll="0"/>
    <pivotField numFmtId="4" showAll="0"/>
    <pivotField numFmtId="4" showAll="0"/>
    <pivotField numFmtId="1" showAll="0"/>
    <pivotField numFmtId="1" showAll="0">
      <items count="3">
        <item x="0"/>
        <item x="1"/>
        <item t="default"/>
      </items>
    </pivotField>
    <pivotField numFmtId="166" showAll="0">
      <items count="9">
        <item x="0"/>
        <item x="1"/>
        <item x="2"/>
        <item x="3"/>
        <item x="4"/>
        <item x="5"/>
        <item x="6"/>
        <item x="7"/>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7"/>
  </rowFields>
  <rowItems count="22">
    <i>
      <x/>
    </i>
    <i>
      <x v="1"/>
    </i>
    <i>
      <x v="2"/>
    </i>
    <i>
      <x v="3"/>
    </i>
    <i>
      <x v="4"/>
    </i>
    <i>
      <x v="5"/>
    </i>
    <i>
      <x v="6"/>
    </i>
    <i>
      <x v="7"/>
    </i>
    <i>
      <x v="8"/>
    </i>
    <i>
      <x v="9"/>
    </i>
    <i>
      <x v="10"/>
    </i>
    <i>
      <x v="11"/>
    </i>
    <i>
      <x v="12"/>
    </i>
    <i>
      <x v="13"/>
    </i>
    <i>
      <x v="14"/>
    </i>
    <i>
      <x v="15"/>
    </i>
    <i>
      <x v="16"/>
    </i>
    <i>
      <x v="17"/>
    </i>
    <i>
      <x v="18"/>
    </i>
    <i>
      <x v="19"/>
    </i>
    <i>
      <x v="20"/>
    </i>
    <i t="grand">
      <x/>
    </i>
  </rowItems>
  <colItems count="1">
    <i/>
  </colItems>
  <pageFields count="1">
    <pageField fld="4" hier="-1"/>
  </pageFields>
  <dataFields count="1">
    <dataField name="Άθροισμα από OrderID"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E4CC04-226F-463D-A5DE-0F202A5A767E}" name="Συγκεντρωτικός Πίνακας2" cacheId="14" applyNumberFormats="0" applyBorderFormats="0" applyFontFormats="0" applyPatternFormats="0" applyAlignmentFormats="0" applyWidthHeightFormats="1" dataCaption="Τιμές" grandTotalCaption="Total" updatedVersion="8" minRefreshableVersion="3" useAutoFormatting="1" itemPrintTitles="1" createdVersion="8" indent="0" outline="1" outlineData="1" multipleFieldFilters="0" rowHeaderCaption="CategoryName">
  <location ref="A5:B14" firstHeaderRow="1" firstDataRow="1" firstDataCol="1"/>
  <pivotFields count="28">
    <pivotField showAll="0"/>
    <pivotField showAll="0"/>
    <pivotField showAll="0"/>
    <pivotField numFmtId="1" showAll="0"/>
    <pivotField numFmtId="165" showAll="0">
      <items count="1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showAll="0"/>
    <pivotField showAll="0"/>
    <pivotField showAll="0"/>
    <pivotField showAll="0"/>
    <pivotField showAll="0"/>
    <pivotField showAll="0"/>
    <pivotField showAll="0"/>
    <pivotField showAll="0"/>
    <pivotField axis="axisRow" showAll="0">
      <items count="9">
        <item x="6"/>
        <item x="4"/>
        <item x="5"/>
        <item x="0"/>
        <item x="1"/>
        <item x="7"/>
        <item x="2"/>
        <item x="3"/>
        <item t="default"/>
      </items>
    </pivotField>
    <pivotField showAll="0"/>
    <pivotField showAll="0"/>
    <pivotField numFmtId="4" showAll="0"/>
    <pivotField dataField="1" numFmtId="4" showAll="0"/>
    <pivotField numFmtId="1" showAll="0"/>
    <pivotField numFmtId="1" showAll="0"/>
    <pivotField numFmtId="166" showAll="0">
      <items count="9">
        <item x="0"/>
        <item x="1"/>
        <item x="2"/>
        <item x="3"/>
        <item x="4"/>
        <item x="5"/>
        <item x="6"/>
        <item x="7"/>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3"/>
  </rowFields>
  <rowItems count="9">
    <i>
      <x/>
    </i>
    <i>
      <x v="1"/>
    </i>
    <i>
      <x v="2"/>
    </i>
    <i>
      <x v="3"/>
    </i>
    <i>
      <x v="4"/>
    </i>
    <i>
      <x v="5"/>
    </i>
    <i>
      <x v="6"/>
    </i>
    <i>
      <x v="7"/>
    </i>
    <i t="grand">
      <x/>
    </i>
  </rowItems>
  <colItems count="1">
    <i/>
  </colItems>
  <dataFields count="1">
    <dataField name="Sum of SalesValue" fld="17"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Αναλυτής_CategoryName" xr10:uid="{2479B41F-98BE-4B63-8EC2-0C3D5F6076BF}" sourceName="CategoryName">
  <pivotTables>
    <pivotTable tabId="19" name="Συγκεντρωτικός Πίνακας3"/>
  </pivotTables>
  <data>
    <tabular pivotCacheId="1481673326">
      <items count="8">
        <i x="6" s="1"/>
        <i x="4" s="1"/>
        <i x="5" s="1"/>
        <i x="0" s="1"/>
        <i x="1" s="1"/>
        <i x="7"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Name" xr10:uid="{78B9B213-6CDC-4FED-A9E3-8F02B416F10A}" cache="Αναλυτής_CategoryName" caption="CategoryNa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4DB266B-57F4-42D7-9746-E6911CB7B486}" name="Πίνακας4" displayName="Πίνακας4" ref="A1:C9" totalsRowShown="0" headerRowDxfId="50" dataDxfId="48" headerRowBorderDxfId="49" tableBorderDxfId="47">
  <autoFilter ref="A1:C9" xr:uid="{64DB266B-57F4-42D7-9746-E6911CB7B486}"/>
  <tableColumns count="3">
    <tableColumn id="1" xr3:uid="{6EF54AFE-3929-4A8C-B35E-833D8A4B9A64}" name="CategoryID" dataDxfId="46"/>
    <tableColumn id="2" xr3:uid="{0ED2A8A4-3150-48BA-AE3E-FCCDB1330098}" name="CategoryName" dataDxfId="45"/>
    <tableColumn id="3" xr3:uid="{F317D217-D2FA-4D96-AD1C-4C2686A83B47}" name="Description" dataDxfId="4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86F461-8210-4935-B70E-41976B8A0701}" name="Πίνακας1" displayName="Πίνακας1" ref="A1:G92" totalsRowShown="0" headerRowDxfId="43" headerRowBorderDxfId="42" tableBorderDxfId="41">
  <autoFilter ref="A1:G92" xr:uid="{7A86F461-8210-4935-B70E-41976B8A0701}"/>
  <tableColumns count="7">
    <tableColumn id="1" xr3:uid="{1BBC9D6D-03D1-48E5-B748-7F7A312816AD}" name="CustomerID"/>
    <tableColumn id="2" xr3:uid="{B948D7C8-0A85-49F3-994D-332A5DEF9948}" name="CustomerName"/>
    <tableColumn id="3" xr3:uid="{7A609574-B19E-4CF4-A2CC-2EBD8F7E1B77}" name="ContactName"/>
    <tableColumn id="4" xr3:uid="{7727E89A-A22F-40E2-9CEC-437CF5DD9691}" name="Address"/>
    <tableColumn id="5" xr3:uid="{8058DD0C-49B1-489B-A712-32A461429B43}" name="City"/>
    <tableColumn id="6" xr3:uid="{909C40E1-3149-4D14-A818-E9EB628981CB}" name="PostalCode"/>
    <tableColumn id="7" xr3:uid="{173CE292-2C0C-4A4B-90FE-E7057373B7FF}" name="Country"/>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C913E43-2F15-43B8-91BB-EC8ED3504DCD}" name="Πίνακας5" displayName="Πίνακας5" ref="A1:F11" totalsRowShown="0" headerRowDxfId="40" headerRowBorderDxfId="39" tableBorderDxfId="38">
  <autoFilter ref="A1:F11" xr:uid="{8C913E43-2F15-43B8-91BB-EC8ED3504DCD}"/>
  <tableColumns count="6">
    <tableColumn id="1" xr3:uid="{2B761AEB-CAEA-4751-8FE4-D9022AFF9F7C}" name="EmployeeID"/>
    <tableColumn id="2" xr3:uid="{CCB2687B-3C9E-42D6-A30C-00EE78D30799}" name="LastName"/>
    <tableColumn id="3" xr3:uid="{53E7E8A5-9D87-495D-A6AF-36669955F01F}" name="FirstName"/>
    <tableColumn id="4" xr3:uid="{99D63D41-1791-44C8-BA92-F796F46F2808}" name="BirthDate" dataDxfId="37"/>
    <tableColumn id="5" xr3:uid="{BED43C97-0E43-4EE0-862A-EBBED973C676}" name="Photo"/>
    <tableColumn id="6" xr3:uid="{71EAE4B6-FCE6-4FFE-8F0B-4CEFE3AEE108}" name="Notes"/>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EA504AC-F5F3-44D4-B2F9-8EBB235ACC8C}" name="Πίνακας2" displayName="Πίνακας2" ref="A1:D519" totalsRowShown="0" headerRowDxfId="36" headerRowBorderDxfId="35" tableBorderDxfId="34">
  <autoFilter ref="A1:D519" xr:uid="{BEA504AC-F5F3-44D4-B2F9-8EBB235ACC8C}"/>
  <tableColumns count="4">
    <tableColumn id="1" xr3:uid="{D4EE4260-A988-4F10-B22B-797B117C4D22}" name="OrderDetailID"/>
    <tableColumn id="2" xr3:uid="{B3B38B4A-93AF-4E21-913F-630C7480CD98}" name="OrderID"/>
    <tableColumn id="3" xr3:uid="{A72C17AC-C44B-406A-AA67-295571BE36EF}" name="ProductID"/>
    <tableColumn id="4" xr3:uid="{7C574338-E77D-4A41-BE32-3DCBF45D9F44}" name="Quantity"/>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A22EEF7-FD1B-4629-A085-7D2794F227AF}" name="Πίνακας6" displayName="Πίνακας6" ref="A1:H197" totalsRowShown="0" headerRowDxfId="33" headerRowBorderDxfId="32" tableBorderDxfId="31">
  <autoFilter ref="A1:H197" xr:uid="{4A22EEF7-FD1B-4629-A085-7D2794F227AF}"/>
  <tableColumns count="8">
    <tableColumn id="1" xr3:uid="{E8F468E3-6837-45DF-B2C7-43717A722046}" name="OrderID"/>
    <tableColumn id="2" xr3:uid="{9ACEADC6-C8DC-401D-983D-8F9CE8B439D2}" name="CustomerID"/>
    <tableColumn id="3" xr3:uid="{54B5D481-0558-4BF9-A511-5D10F695675F}" name="EmployeeID"/>
    <tableColumn id="4" xr3:uid="{D248889D-306C-4BF7-9F9E-54A60FB86D10}" name="OrderDate" dataDxfId="30"/>
    <tableColumn id="5" xr3:uid="{DD537965-BD1C-48C6-B7BD-3AF1148F068B}" name="ShipperID"/>
    <tableColumn id="6" xr3:uid="{6E5EC5C3-A58A-40EF-93F8-2DD2922841D8}" name="Column1" dataDxfId="29">
      <calculatedColumnFormula>IF(OR(Πίνακας6[[#This Row],[ShipperID]]=1,Πίνακας6[[#This Row],[ShipperID]]=3),"Fast shipping lane","Standard shipping")</calculatedColumnFormula>
    </tableColumn>
    <tableColumn id="7" xr3:uid="{2C648B85-DE7F-44CC-AAB3-F8CAE5EDD435}" name="VLOOKUP" dataDxfId="28">
      <calculatedColumnFormula>VLOOKUP(Πίνακας6[[#This Row],[ShipperID]],Πίνακας8[#All],2,FALSE)</calculatedColumnFormula>
    </tableColumn>
    <tableColumn id="8" xr3:uid="{795A8DEB-66C1-4258-BAE9-0CF8560B654C}" name="XLOOKUP" dataDxfId="27">
      <calculatedColumnFormula>_xlfn.XLOOKUP(Πίνακας6[[#This Row],[ShipperID]],shippers!A:A,shippers!B:B,,FALSE)</calculatedColumnFormula>
    </tableColumn>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A51A116-FCE5-45E7-881C-C7318079FD21}" name="Πίνακας64" displayName="Πίνακας64" ref="A1:E197" totalsRowShown="0" headerRowDxfId="26" headerRowBorderDxfId="25" tableBorderDxfId="24" totalsRowBorderDxfId="23">
  <autoFilter ref="A1:E197" xr:uid="{4A22EEF7-FD1B-4629-A085-7D2794F227AF}"/>
  <tableColumns count="5">
    <tableColumn id="1" xr3:uid="{925463E0-A0CF-4090-A7B5-2C78A6DA4D78}" name="OrderID" dataDxfId="22"/>
    <tableColumn id="2" xr3:uid="{23AC2DC7-E485-4418-BBF0-3A44EE2DDBC8}" name="CustomerID" dataDxfId="21"/>
    <tableColumn id="3" xr3:uid="{F2955E86-8A9C-448E-A843-8BB9FC726AC4}" name="EmployeeID" dataDxfId="20"/>
    <tableColumn id="4" xr3:uid="{740F6354-E3C1-42F9-9D9B-2B4F5C987BCE}" name="OrderDate" dataDxfId="19"/>
    <tableColumn id="5" xr3:uid="{BCEA9543-CFDC-405E-92C5-AA4C1D497B1D}" name="ShipperID" dataDxfId="18"/>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6B1EEED-BD1C-4C8A-9F74-BC280CB8FA59}" name="Πίνακας7" displayName="Πίνακας7" ref="A1:F78" totalsRowShown="0" headerRowDxfId="17" headerRowBorderDxfId="16" tableBorderDxfId="15">
  <autoFilter ref="A1:F78" xr:uid="{26B1EEED-BD1C-4C8A-9F74-BC280CB8FA59}"/>
  <tableColumns count="6">
    <tableColumn id="1" xr3:uid="{320F8B06-513D-4277-9795-6C88CE3A8B4B}" name="ProductID"/>
    <tableColumn id="2" xr3:uid="{6D462E30-471C-4BC5-A1D3-0F1EB191E1F6}" name="ProductName"/>
    <tableColumn id="3" xr3:uid="{1C32E088-3583-4D59-B364-4976EAB6AAFF}" name="SupplierID"/>
    <tableColumn id="4" xr3:uid="{B4F3252F-9EE5-400C-AD31-FDCCD33AE230}" name="CategoryID"/>
    <tableColumn id="5" xr3:uid="{8A77077D-4838-43F5-82DA-35E0C33E9BD1}" name="Unit"/>
    <tableColumn id="6" xr3:uid="{591CD780-B44E-4CD0-BBA7-55D30C04A6C3}" name="Price"/>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EAAC060-2162-4480-A372-75644EC64643}" name="Πίνακας8" displayName="Πίνακας8" ref="A1:C4" totalsRowShown="0" headerRowDxfId="14" headerRowBorderDxfId="13" tableBorderDxfId="12">
  <autoFilter ref="A1:C4" xr:uid="{2EAAC060-2162-4480-A372-75644EC64643}"/>
  <tableColumns count="3">
    <tableColumn id="1" xr3:uid="{C185C8B6-459A-469D-B7F5-93381CC7ED4F}" name="ShipperID"/>
    <tableColumn id="2" xr3:uid="{E5C61973-5F4A-4387-B822-324FB5021B71}" name="ShipperName"/>
    <tableColumn id="3" xr3:uid="{66E90201-4782-4635-A8D3-222805BCDE85}" name="Phone"/>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1CEBE38-DA5D-4102-8B36-85D40B0087AF}" name="Πίνακας9" displayName="Πίνακας9" ref="A1:H30" totalsRowShown="0" headerRowDxfId="11" headerRowBorderDxfId="10" tableBorderDxfId="9">
  <autoFilter ref="A1:H30" xr:uid="{71CEBE38-DA5D-4102-8B36-85D40B0087AF}"/>
  <tableColumns count="8">
    <tableColumn id="1" xr3:uid="{865509C9-D12F-44CB-A85C-219EF1CF6668}" name="SupplierID"/>
    <tableColumn id="2" xr3:uid="{86DC95BB-C710-4BAF-B589-57E20B46D4AC}" name="SupplierName"/>
    <tableColumn id="3" xr3:uid="{64CD9827-A19E-44B1-8C5D-1CC9625EDB72}" name="ContactName"/>
    <tableColumn id="4" xr3:uid="{2D07477A-7D32-4B83-B2B0-C8EDC87C6CDE}" name="Address"/>
    <tableColumn id="5" xr3:uid="{5A124C83-FBE0-4391-AD7C-39B24967222D}" name="City"/>
    <tableColumn id="6" xr3:uid="{7624EA5A-703C-4835-B3B5-9F218916FDA6}" name="PostalCode"/>
    <tableColumn id="7" xr3:uid="{D57832BE-CC26-49B3-BBB4-18724A491324}" name="Country"/>
    <tableColumn id="8" xr3:uid="{132E33A5-2C9D-47E9-908A-4F08C1E254E4}" name="Phone"/>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CEEF5B0-7D71-4749-8721-9309CCE99F9D}" name="tbl_Ασκηση" displayName="tbl_Ασκηση" ref="A5:F37" totalsRowShown="0">
  <autoFilter ref="A5:F37" xr:uid="{3CEEF5B0-7D71-4749-8721-9309CCE99F9D}"/>
  <tableColumns count="6">
    <tableColumn id="1" xr3:uid="{A6E71406-17F0-481E-BB9C-74138C9284C6}" name="#"/>
    <tableColumn id="2" xr3:uid="{2AFA940A-EA48-4272-9889-EA808AB164D6}" name="Ενότητα"/>
    <tableColumn id="3" xr3:uid="{3F917B2D-727E-41B4-A866-1C17FD2F1A55}" name="Ερώτημα / Ζητούμενο"/>
    <tableColumn id="4" xr3:uid="{C91F696F-8753-4ED2-B5A9-B97F3211449D}" name="Δεδομένα (φύλλο)"/>
    <tableColumn id="5" xr3:uid="{1C090427-BDAB-4887-B048-AEF973F64A6C}" name="Κελί εργασίας"/>
    <tableColumn id="7" xr3:uid="{AE161020-9FB4-4078-BA08-BBF8FC7FCEA3}" name="Συνάρτηση/Εργαλείο"/>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6F196D8-B23C-4741-BFFA-6E3261018B43}" name="tbl_ProductsView" displayName="tbl_ProductsView" ref="A52:G77" totalsRowShown="0" headerRowDxfId="61" headerRowBorderDxfId="60" tableBorderDxfId="59" totalsRowBorderDxfId="58">
  <autoFilter ref="A52:G77" xr:uid="{56F196D8-B23C-4741-BFFA-6E3261018B43}"/>
  <tableColumns count="7">
    <tableColumn id="1" xr3:uid="{3E3DEC3E-76C5-4E27-862F-825103968B5D}" name="ProductID" dataDxfId="57"/>
    <tableColumn id="2" xr3:uid="{ED031CAC-FCD4-488B-B341-26D9987F0844}" name="ProductName" dataDxfId="56"/>
    <tableColumn id="3" xr3:uid="{457A4D80-9793-4AE4-A619-DDB546954C80}" name="SupplierID" dataDxfId="55"/>
    <tableColumn id="4" xr3:uid="{73673A54-B988-4F83-95F7-826556132EA4}" name="CategoryID" dataDxfId="54"/>
    <tableColumn id="5" xr3:uid="{D281C979-3F5C-4A43-9259-386F23855B14}" name="Unit" dataDxfId="53"/>
    <tableColumn id="6" xr3:uid="{ADCADC44-9E58-41F1-8A02-81035C8B481A}" name="Price" dataDxfId="52"/>
    <tableColumn id="7" xr3:uid="{941C7A2D-8002-4316-A7AD-986D7A694CA4}" name="CategoryName" dataDxfId="51">
      <calculatedColumnFormula>VLOOKUP(tbl_ProductsView[[#This Row],[CategoryID]],categories!$A:$B,2,FALSE)</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AAFB176-FDFB-42D9-8EFD-A72FCF953F34}" name="tbl_FACTS" displayName="tbl_FACTS" ref="A1:V519" totalsRowShown="0">
  <autoFilter ref="A1:V519" xr:uid="{7AAFB176-FDFB-42D9-8EFD-A72FCF953F34}"/>
  <tableColumns count="22">
    <tableColumn id="1" xr3:uid="{2D0A49EB-EF3C-4BAE-BC7F-0ECA9CCC3EA1}" name="OrderDetailID"/>
    <tableColumn id="2" xr3:uid="{816DD1E8-7D49-468D-B12E-FC21F95C314F}" name="OrderID"/>
    <tableColumn id="3" xr3:uid="{104C3B48-7FBA-403D-9962-F6C6B8DC0F27}" name="ProductID"/>
    <tableColumn id="4" xr3:uid="{C3E4ECAB-7EA1-4F54-8FC9-4DBC6214689D}" name="Quantity" dataDxfId="8"/>
    <tableColumn id="5" xr3:uid="{9C40A047-A875-4129-9B83-2312FF36352F}" name="OrderDate" dataDxfId="7">
      <calculatedColumnFormula>_xlfn.XLOOKUP(tbl_FACTS[[#This Row],[OrderID]],Πίνακας64[OrderID],Πίνακας64[OrderDate])</calculatedColumnFormula>
    </tableColumn>
    <tableColumn id="6" xr3:uid="{0195AC3A-8FB4-4CFC-AB65-D6FF4A67E57A}" name="CustomerID">
      <calculatedColumnFormula>_xlfn.XLOOKUP(tbl_FACTS[[#This Row],[OrderID]],Πίνακας64[OrderID],Πίνακας64[CustomerID])</calculatedColumnFormula>
    </tableColumn>
    <tableColumn id="7" xr3:uid="{A4C2EEFB-EE39-454B-8A91-2CFDF226C37A}" name="CustomerName">
      <calculatedColumnFormula>_xlfn.XLOOKUP(tbl_FACTS[[#This Row],[CustomerID]],Πίνακας1[CustomerID],Πίνακας1[CustomerName])</calculatedColumnFormula>
    </tableColumn>
    <tableColumn id="8" xr3:uid="{02934A12-440C-4183-95D4-4E5C7F5BB63F}" name="Country">
      <calculatedColumnFormula>_xlfn.XLOOKUP(tbl_FACTS[[#This Row],[CustomerID]],Πίνακας1[CustomerID],Πίνακας1[Country])</calculatedColumnFormula>
    </tableColumn>
    <tableColumn id="9" xr3:uid="{A7C191B1-2EC0-4D8C-9EC7-0EA15C7ADCB0}" name="EmployeeID">
      <calculatedColumnFormula>_xlfn.XLOOKUP(tbl_FACTS[[#This Row],[OrderID]],Πίνακας64[OrderID],Πίνακας64[EmployeeID])</calculatedColumnFormula>
    </tableColumn>
    <tableColumn id="10" xr3:uid="{D236EF64-0D49-4338-82D5-EC34B1F4717F}" name="ShipperID">
      <calculatedColumnFormula>_xlfn.XLOOKUP(tbl_FACTS[[#This Row],[OrderID]],Πίνακας64[OrderID],Πίνακας64[ShipperID])</calculatedColumnFormula>
    </tableColumn>
    <tableColumn id="11" xr3:uid="{FA8A81A8-5083-4628-A319-81018DE3CEC8}" name="ShipperName">
      <calculatedColumnFormula>_xlfn.XLOOKUP(tbl_FACTS[[#This Row],[ShipperID]],Πίνακας8[ShipperID],Πίνακας8[ShipperName])</calculatedColumnFormula>
    </tableColumn>
    <tableColumn id="12" xr3:uid="{8D7E9FDF-D1D7-4CD3-9F0D-7374C0A2ABB5}" name="ProductName">
      <calculatedColumnFormula>_xlfn.XLOOKUP(tbl_FACTS[[#This Row],[ProductID]],Πίνακας7[ProductID],Πίνακας7[ProductName])</calculatedColumnFormula>
    </tableColumn>
    <tableColumn id="13" xr3:uid="{F3BE9971-31C4-40E0-ABE1-459CD022EC33}" name="CategoryID">
      <calculatedColumnFormula>_xlfn.XLOOKUP(tbl_FACTS[[#This Row],[ProductID]],Πίνακας7[ProductID],Πίνακας7[CategoryID])</calculatedColumnFormula>
    </tableColumn>
    <tableColumn id="14" xr3:uid="{6A0B8D4F-89C7-4DE9-A717-A4EB01369DCD}" name="CategoryName">
      <calculatedColumnFormula>_xlfn.XLOOKUP(tbl_FACTS[[#This Row],[CategoryID]],Πίνακας4[CategoryID],Πίνακας4[CategoryName])</calculatedColumnFormula>
    </tableColumn>
    <tableColumn id="15" xr3:uid="{E46AF33C-1B01-4205-82F9-CDA948529BC9}" name="SupplierID">
      <calculatedColumnFormula>_xlfn.XLOOKUP(tbl_FACTS[[#This Row],[ProductID]],Πίνακας7[ProductID],Πίνακας7[SupplierID])</calculatedColumnFormula>
    </tableColumn>
    <tableColumn id="16" xr3:uid="{D89A9FFE-FD79-4877-BE30-7FA69ACACDD6}" name="SupplierName">
      <calculatedColumnFormula>_xlfn.XLOOKUP(tbl_FACTS[[#This Row],[SupplierID]],Πίνακας9[SupplierID],Πίνακας9[SupplierName])</calculatedColumnFormula>
    </tableColumn>
    <tableColumn id="17" xr3:uid="{9CC9B9C8-8E1B-4F1C-A484-FE84DBA178D6}" name="Price" dataDxfId="6">
      <calculatedColumnFormula>_xlfn.XLOOKUP(tbl_FACTS[[#This Row],[ProductID]],Πίνακας7[ProductID],Πίνακας7[Price])</calculatedColumnFormula>
    </tableColumn>
    <tableColumn id="18" xr3:uid="{192A2E53-FBA9-435C-BCD9-A815942ABEC8}" name="SalesValue" dataDxfId="5">
      <calculatedColumnFormula>tbl_FACTS[[#This Row],[Quantity]]*tbl_FACTS[[#This Row],[Price]]</calculatedColumnFormula>
    </tableColumn>
    <tableColumn id="19" xr3:uid="{2661F53A-937C-49B0-95A4-7CF05618C787}" name="IsFirstLine" dataDxfId="4">
      <calculatedColumnFormula>IF(COUNTIFS(tbl_FACTS[OrderID],tbl_FACTS[[#This Row],[OrderID]],tbl_FACTS[OrderDetailID],"&lt;"&amp;tbl_FACTS[[#This Row],[OrderDetailID]])=0,1,0)</calculatedColumnFormula>
    </tableColumn>
    <tableColumn id="20" xr3:uid="{A8B802F7-1B40-46AB-8CDA-021B47DBFE8D}" name="Year" dataDxfId="3">
      <calculatedColumnFormula>YEAR(tbl_FACTS[[#This Row],[OrderDate]])</calculatedColumnFormula>
    </tableColumn>
    <tableColumn id="21" xr3:uid="{2E4E2BE4-D244-4FD5-9B3D-11CF854274DE}" name="Month" dataDxfId="2">
      <calculatedColumnFormula>DATE(YEAR(tbl_FACTS[[#This Row],[OrderDate]]),MONTH(tbl_FACTS[[#This Row],[OrderDate]]),1)</calculatedColumnFormula>
    </tableColumn>
    <tableColumn id="22" xr3:uid="{E351E08E-6E22-4628-9CC2-486FC08CF846}" name="QtyBand" dataDxfId="1">
      <calculatedColumnFormula>IF(tbl_FACTS[[#This Row],[Quantity]]&lt;=10,"0–10",IF(tbl_FACTS[[#This Row],[Quantity]]&lt;=20,"11–20",IF(tbl_FACTS[[#This Row],[Quantity]]&lt;=30,"21–30",IF(tbl_FACTS[[#This Row],[Quantity]]&lt;=40,"31–40",IF(tbl_FACTS[[#This Row],[Quantity]]&lt;=50,"41–50","51+")))))</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3.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0A746-024A-4D24-9209-5BCF27FD2E58}">
  <dimension ref="A2:K8"/>
  <sheetViews>
    <sheetView workbookViewId="0">
      <selection activeCell="D48" sqref="D48"/>
    </sheetView>
  </sheetViews>
  <sheetFormatPr defaultRowHeight="14.5"/>
  <cols>
    <col min="1" max="1" width="23.54296875" bestFit="1" customWidth="1"/>
  </cols>
  <sheetData>
    <row r="2" spans="1:11" ht="15.5">
      <c r="A2" s="71" t="s">
        <v>786</v>
      </c>
      <c r="B2" s="71"/>
      <c r="C2" s="71"/>
      <c r="D2" s="71"/>
      <c r="E2" s="71"/>
      <c r="F2" s="71"/>
      <c r="G2" s="71"/>
      <c r="H2" s="71"/>
      <c r="I2" s="71"/>
      <c r="J2" s="71"/>
      <c r="K2" s="71"/>
    </row>
    <row r="3" spans="1:11" ht="15.5">
      <c r="A3" s="3" t="s">
        <v>774</v>
      </c>
      <c r="B3" s="70" t="s">
        <v>775</v>
      </c>
      <c r="C3" s="70"/>
      <c r="D3" s="70"/>
      <c r="E3" s="70"/>
      <c r="F3" s="70"/>
      <c r="G3" s="70"/>
      <c r="H3" s="70"/>
      <c r="I3" s="70"/>
      <c r="J3" s="70"/>
      <c r="K3" s="70"/>
    </row>
    <row r="4" spans="1:11" ht="15.5">
      <c r="A4" s="4" t="s">
        <v>776</v>
      </c>
      <c r="B4" s="70" t="s">
        <v>777</v>
      </c>
      <c r="C4" s="70"/>
      <c r="D4" s="70"/>
      <c r="E4" s="70"/>
      <c r="F4" s="70"/>
      <c r="G4" s="70"/>
      <c r="H4" s="70"/>
      <c r="I4" s="70"/>
      <c r="J4" s="70"/>
      <c r="K4" s="70"/>
    </row>
    <row r="5" spans="1:11" ht="15.5">
      <c r="A5" s="4" t="s">
        <v>778</v>
      </c>
      <c r="B5" s="70" t="s">
        <v>782</v>
      </c>
      <c r="C5" s="70"/>
      <c r="D5" s="70"/>
      <c r="E5" s="70"/>
      <c r="F5" s="70"/>
      <c r="G5" s="70"/>
      <c r="H5" s="70"/>
      <c r="I5" s="70"/>
      <c r="J5" s="70"/>
      <c r="K5" s="70"/>
    </row>
    <row r="6" spans="1:11" ht="15.5">
      <c r="A6" s="4" t="s">
        <v>779</v>
      </c>
      <c r="B6" s="70" t="s">
        <v>783</v>
      </c>
      <c r="C6" s="70"/>
      <c r="D6" s="70"/>
      <c r="E6" s="70"/>
      <c r="F6" s="70"/>
      <c r="G6" s="70"/>
      <c r="H6" s="70"/>
      <c r="I6" s="70"/>
      <c r="J6" s="70"/>
      <c r="K6" s="70"/>
    </row>
    <row r="7" spans="1:11" ht="15.5">
      <c r="A7" s="4" t="s">
        <v>780</v>
      </c>
      <c r="B7" s="70" t="s">
        <v>784</v>
      </c>
      <c r="C7" s="70"/>
      <c r="D7" s="70"/>
      <c r="E7" s="70"/>
      <c r="F7" s="70"/>
      <c r="G7" s="70"/>
      <c r="H7" s="70"/>
      <c r="I7" s="70"/>
      <c r="J7" s="70"/>
      <c r="K7" s="70"/>
    </row>
    <row r="8" spans="1:11" ht="15.5">
      <c r="A8" s="4" t="s">
        <v>781</v>
      </c>
      <c r="B8" s="70" t="s">
        <v>785</v>
      </c>
      <c r="C8" s="70"/>
      <c r="D8" s="70"/>
      <c r="E8" s="70"/>
      <c r="F8" s="70"/>
      <c r="G8" s="70"/>
      <c r="H8" s="70"/>
      <c r="I8" s="70"/>
      <c r="J8" s="70"/>
      <c r="K8" s="70"/>
    </row>
  </sheetData>
  <mergeCells count="7">
    <mergeCell ref="B8:K8"/>
    <mergeCell ref="A2:K2"/>
    <mergeCell ref="B3:K3"/>
    <mergeCell ref="B4:K4"/>
    <mergeCell ref="B5:K5"/>
    <mergeCell ref="B6:K6"/>
    <mergeCell ref="B7:K7"/>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workbookViewId="0">
      <selection activeCell="C21" sqref="C21"/>
    </sheetView>
  </sheetViews>
  <sheetFormatPr defaultRowHeight="14.5"/>
  <cols>
    <col min="1" max="1" width="15" customWidth="1"/>
    <col min="2" max="2" width="18.54296875" customWidth="1"/>
    <col min="3" max="3" width="51.54296875" customWidth="1"/>
  </cols>
  <sheetData>
    <row r="1" spans="1:3">
      <c r="A1" s="2" t="s">
        <v>0</v>
      </c>
      <c r="B1" s="2" t="s">
        <v>1</v>
      </c>
      <c r="C1" s="2" t="s">
        <v>2</v>
      </c>
    </row>
    <row r="2" spans="1:3">
      <c r="A2" s="5">
        <v>1</v>
      </c>
      <c r="B2" s="5" t="s">
        <v>3</v>
      </c>
      <c r="C2" s="5" t="s">
        <v>4</v>
      </c>
    </row>
    <row r="3" spans="1:3">
      <c r="A3" s="5">
        <v>2</v>
      </c>
      <c r="B3" s="5" t="s">
        <v>5</v>
      </c>
      <c r="C3" s="5" t="s">
        <v>6</v>
      </c>
    </row>
    <row r="4" spans="1:3">
      <c r="A4" s="5">
        <v>3</v>
      </c>
      <c r="B4" s="5" t="s">
        <v>7</v>
      </c>
      <c r="C4" s="5" t="s">
        <v>8</v>
      </c>
    </row>
    <row r="5" spans="1:3">
      <c r="A5" s="5">
        <v>4</v>
      </c>
      <c r="B5" s="5" t="s">
        <v>9</v>
      </c>
      <c r="C5" s="5" t="s">
        <v>10</v>
      </c>
    </row>
    <row r="6" spans="1:3">
      <c r="A6" s="5">
        <v>5</v>
      </c>
      <c r="B6" s="5" t="s">
        <v>11</v>
      </c>
      <c r="C6" s="5" t="s">
        <v>12</v>
      </c>
    </row>
    <row r="7" spans="1:3">
      <c r="A7" s="5">
        <v>6</v>
      </c>
      <c r="B7" s="5" t="s">
        <v>13</v>
      </c>
      <c r="C7" s="5" t="s">
        <v>14</v>
      </c>
    </row>
    <row r="8" spans="1:3">
      <c r="A8" s="5">
        <v>7</v>
      </c>
      <c r="B8" s="5" t="s">
        <v>15</v>
      </c>
      <c r="C8" s="5" t="s">
        <v>16</v>
      </c>
    </row>
    <row r="9" spans="1:3">
      <c r="A9" s="5">
        <v>8</v>
      </c>
      <c r="B9" s="5" t="s">
        <v>17</v>
      </c>
      <c r="C9" s="5" t="s">
        <v>18</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2"/>
  <sheetViews>
    <sheetView workbookViewId="0">
      <pane ySplit="1" topLeftCell="A74" activePane="bottomLeft" state="frozen"/>
      <selection pane="bottomLeft" activeCell="G1" sqref="G1"/>
    </sheetView>
  </sheetViews>
  <sheetFormatPr defaultRowHeight="14.5"/>
  <cols>
    <col min="1" max="1" width="14.7265625" customWidth="1"/>
    <col min="2" max="2" width="33.1796875" bestFit="1" customWidth="1"/>
    <col min="3" max="3" width="20.1796875" bestFit="1" customWidth="1"/>
    <col min="4" max="4" width="41.81640625" bestFit="1" customWidth="1"/>
    <col min="5" max="5" width="14" bestFit="1" customWidth="1"/>
    <col min="6" max="6" width="17" customWidth="1"/>
    <col min="7" max="7" width="17.81640625" customWidth="1"/>
  </cols>
  <sheetData>
    <row r="1" spans="1:7">
      <c r="A1" s="2" t="s">
        <v>19</v>
      </c>
      <c r="B1" s="2" t="s">
        <v>20</v>
      </c>
      <c r="C1" s="2" t="s">
        <v>21</v>
      </c>
      <c r="D1" s="2" t="s">
        <v>22</v>
      </c>
      <c r="E1" s="2" t="s">
        <v>23</v>
      </c>
      <c r="F1" s="2" t="s">
        <v>24</v>
      </c>
      <c r="G1" s="2" t="s">
        <v>25</v>
      </c>
    </row>
    <row r="2" spans="1:7">
      <c r="A2">
        <v>1</v>
      </c>
      <c r="B2" t="s">
        <v>26</v>
      </c>
      <c r="C2" t="s">
        <v>27</v>
      </c>
      <c r="D2" t="s">
        <v>28</v>
      </c>
      <c r="E2" t="s">
        <v>29</v>
      </c>
      <c r="F2">
        <v>12209</v>
      </c>
      <c r="G2" t="s">
        <v>30</v>
      </c>
    </row>
    <row r="3" spans="1:7">
      <c r="A3">
        <v>2</v>
      </c>
      <c r="B3" t="s">
        <v>31</v>
      </c>
      <c r="C3" t="s">
        <v>32</v>
      </c>
      <c r="D3" t="s">
        <v>33</v>
      </c>
      <c r="E3" t="s">
        <v>34</v>
      </c>
      <c r="F3">
        <v>5021</v>
      </c>
      <c r="G3" t="s">
        <v>35</v>
      </c>
    </row>
    <row r="4" spans="1:7">
      <c r="A4">
        <v>3</v>
      </c>
      <c r="B4" t="s">
        <v>36</v>
      </c>
      <c r="C4" t="s">
        <v>37</v>
      </c>
      <c r="D4" t="s">
        <v>38</v>
      </c>
      <c r="E4" t="s">
        <v>34</v>
      </c>
      <c r="F4">
        <v>5023</v>
      </c>
      <c r="G4" t="s">
        <v>35</v>
      </c>
    </row>
    <row r="5" spans="1:7">
      <c r="A5">
        <v>4</v>
      </c>
      <c r="B5" t="s">
        <v>39</v>
      </c>
      <c r="C5" t="s">
        <v>40</v>
      </c>
      <c r="D5" t="s">
        <v>41</v>
      </c>
      <c r="E5" t="s">
        <v>42</v>
      </c>
      <c r="F5" t="s">
        <v>43</v>
      </c>
      <c r="G5" t="s">
        <v>44</v>
      </c>
    </row>
    <row r="6" spans="1:7">
      <c r="A6">
        <v>5</v>
      </c>
      <c r="B6" t="s">
        <v>45</v>
      </c>
      <c r="C6" t="s">
        <v>46</v>
      </c>
      <c r="D6" t="s">
        <v>47</v>
      </c>
      <c r="E6" t="s">
        <v>48</v>
      </c>
      <c r="F6" t="s">
        <v>49</v>
      </c>
      <c r="G6" t="s">
        <v>50</v>
      </c>
    </row>
    <row r="7" spans="1:7">
      <c r="A7">
        <v>6</v>
      </c>
      <c r="B7" t="s">
        <v>51</v>
      </c>
      <c r="C7" t="s">
        <v>52</v>
      </c>
      <c r="D7" t="s">
        <v>53</v>
      </c>
      <c r="E7" t="s">
        <v>54</v>
      </c>
      <c r="F7">
        <v>68306</v>
      </c>
      <c r="G7" t="s">
        <v>30</v>
      </c>
    </row>
    <row r="8" spans="1:7">
      <c r="A8">
        <v>7</v>
      </c>
      <c r="B8" t="s">
        <v>55</v>
      </c>
      <c r="C8" t="s">
        <v>56</v>
      </c>
      <c r="D8" t="s">
        <v>57</v>
      </c>
      <c r="E8" t="s">
        <v>58</v>
      </c>
      <c r="F8">
        <v>67000</v>
      </c>
      <c r="G8" t="s">
        <v>59</v>
      </c>
    </row>
    <row r="9" spans="1:7">
      <c r="A9">
        <v>8</v>
      </c>
      <c r="B9" t="s">
        <v>60</v>
      </c>
      <c r="C9" t="s">
        <v>61</v>
      </c>
      <c r="D9" t="s">
        <v>62</v>
      </c>
      <c r="E9" t="s">
        <v>63</v>
      </c>
      <c r="F9">
        <v>28023</v>
      </c>
      <c r="G9" t="s">
        <v>64</v>
      </c>
    </row>
    <row r="10" spans="1:7">
      <c r="A10">
        <v>9</v>
      </c>
      <c r="B10" t="s">
        <v>65</v>
      </c>
      <c r="C10" t="s">
        <v>66</v>
      </c>
      <c r="D10" t="s">
        <v>67</v>
      </c>
      <c r="E10" t="s">
        <v>68</v>
      </c>
      <c r="F10">
        <v>13008</v>
      </c>
      <c r="G10" t="s">
        <v>59</v>
      </c>
    </row>
    <row r="11" spans="1:7">
      <c r="A11">
        <v>10</v>
      </c>
      <c r="B11" t="s">
        <v>69</v>
      </c>
      <c r="C11" t="s">
        <v>70</v>
      </c>
      <c r="D11" t="s">
        <v>71</v>
      </c>
      <c r="E11" t="s">
        <v>72</v>
      </c>
      <c r="F11" t="s">
        <v>73</v>
      </c>
      <c r="G11" t="s">
        <v>74</v>
      </c>
    </row>
    <row r="12" spans="1:7">
      <c r="A12">
        <v>11</v>
      </c>
      <c r="B12" t="s">
        <v>75</v>
      </c>
      <c r="C12" t="s">
        <v>76</v>
      </c>
      <c r="D12" t="s">
        <v>77</v>
      </c>
      <c r="E12" t="s">
        <v>42</v>
      </c>
      <c r="F12" t="s">
        <v>78</v>
      </c>
      <c r="G12" t="s">
        <v>44</v>
      </c>
    </row>
    <row r="13" spans="1:7">
      <c r="A13">
        <v>12</v>
      </c>
      <c r="B13" t="s">
        <v>79</v>
      </c>
      <c r="C13" t="s">
        <v>80</v>
      </c>
      <c r="D13" t="s">
        <v>81</v>
      </c>
      <c r="E13" t="s">
        <v>82</v>
      </c>
      <c r="F13">
        <v>1010</v>
      </c>
      <c r="G13" t="s">
        <v>83</v>
      </c>
    </row>
    <row r="14" spans="1:7">
      <c r="A14">
        <v>13</v>
      </c>
      <c r="B14" t="s">
        <v>84</v>
      </c>
      <c r="C14" t="s">
        <v>85</v>
      </c>
      <c r="D14" t="s">
        <v>86</v>
      </c>
      <c r="E14" t="s">
        <v>34</v>
      </c>
      <c r="F14">
        <v>5022</v>
      </c>
      <c r="G14" t="s">
        <v>35</v>
      </c>
    </row>
    <row r="15" spans="1:7">
      <c r="A15">
        <v>14</v>
      </c>
      <c r="B15" t="s">
        <v>87</v>
      </c>
      <c r="C15" t="s">
        <v>88</v>
      </c>
      <c r="D15" t="s">
        <v>89</v>
      </c>
      <c r="E15" t="s">
        <v>90</v>
      </c>
      <c r="F15">
        <v>3012</v>
      </c>
      <c r="G15" t="s">
        <v>91</v>
      </c>
    </row>
    <row r="16" spans="1:7">
      <c r="A16">
        <v>15</v>
      </c>
      <c r="B16" t="s">
        <v>92</v>
      </c>
      <c r="C16" t="s">
        <v>93</v>
      </c>
      <c r="D16" t="s">
        <v>94</v>
      </c>
      <c r="E16" t="s">
        <v>95</v>
      </c>
      <c r="F16" t="s">
        <v>96</v>
      </c>
      <c r="G16" t="s">
        <v>97</v>
      </c>
    </row>
    <row r="17" spans="1:7">
      <c r="A17">
        <v>16</v>
      </c>
      <c r="B17" t="s">
        <v>98</v>
      </c>
      <c r="C17" t="s">
        <v>99</v>
      </c>
      <c r="D17" t="s">
        <v>100</v>
      </c>
      <c r="E17" t="s">
        <v>42</v>
      </c>
      <c r="F17" t="s">
        <v>101</v>
      </c>
      <c r="G17" t="s">
        <v>44</v>
      </c>
    </row>
    <row r="18" spans="1:7">
      <c r="A18">
        <v>17</v>
      </c>
      <c r="B18" t="s">
        <v>102</v>
      </c>
      <c r="C18" t="s">
        <v>103</v>
      </c>
      <c r="D18" t="s">
        <v>104</v>
      </c>
      <c r="E18" t="s">
        <v>105</v>
      </c>
      <c r="F18">
        <v>52066</v>
      </c>
      <c r="G18" t="s">
        <v>30</v>
      </c>
    </row>
    <row r="19" spans="1:7">
      <c r="A19">
        <v>18</v>
      </c>
      <c r="B19" t="s">
        <v>106</v>
      </c>
      <c r="C19" t="s">
        <v>107</v>
      </c>
      <c r="D19" t="s">
        <v>108</v>
      </c>
      <c r="E19" t="s">
        <v>109</v>
      </c>
      <c r="F19">
        <v>44000</v>
      </c>
      <c r="G19" t="s">
        <v>59</v>
      </c>
    </row>
    <row r="20" spans="1:7">
      <c r="A20">
        <v>19</v>
      </c>
      <c r="B20" t="s">
        <v>110</v>
      </c>
      <c r="C20" t="s">
        <v>111</v>
      </c>
      <c r="D20" t="s">
        <v>112</v>
      </c>
      <c r="E20" t="s">
        <v>42</v>
      </c>
      <c r="F20" t="s">
        <v>113</v>
      </c>
      <c r="G20" t="s">
        <v>44</v>
      </c>
    </row>
    <row r="21" spans="1:7">
      <c r="A21">
        <v>20</v>
      </c>
      <c r="B21" t="s">
        <v>114</v>
      </c>
      <c r="C21" t="s">
        <v>115</v>
      </c>
      <c r="D21" t="s">
        <v>116</v>
      </c>
      <c r="E21" t="s">
        <v>117</v>
      </c>
      <c r="F21">
        <v>8010</v>
      </c>
      <c r="G21" t="s">
        <v>118</v>
      </c>
    </row>
    <row r="22" spans="1:7">
      <c r="A22">
        <v>21</v>
      </c>
      <c r="B22" t="s">
        <v>119</v>
      </c>
      <c r="C22" t="s">
        <v>120</v>
      </c>
      <c r="D22" t="s">
        <v>121</v>
      </c>
      <c r="E22" t="s">
        <v>95</v>
      </c>
      <c r="F22" t="s">
        <v>122</v>
      </c>
      <c r="G22" t="s">
        <v>97</v>
      </c>
    </row>
    <row r="23" spans="1:7">
      <c r="A23">
        <v>22</v>
      </c>
      <c r="B23" t="s">
        <v>123</v>
      </c>
      <c r="C23" t="s">
        <v>124</v>
      </c>
      <c r="D23" t="s">
        <v>125</v>
      </c>
      <c r="E23" t="s">
        <v>63</v>
      </c>
      <c r="F23">
        <v>28034</v>
      </c>
      <c r="G23" t="s">
        <v>64</v>
      </c>
    </row>
    <row r="24" spans="1:7">
      <c r="A24">
        <v>23</v>
      </c>
      <c r="B24" t="s">
        <v>126</v>
      </c>
      <c r="C24" t="s">
        <v>127</v>
      </c>
      <c r="D24" t="s">
        <v>128</v>
      </c>
      <c r="E24" t="s">
        <v>129</v>
      </c>
      <c r="F24">
        <v>59000</v>
      </c>
      <c r="G24" t="s">
        <v>59</v>
      </c>
    </row>
    <row r="25" spans="1:7">
      <c r="A25">
        <v>24</v>
      </c>
      <c r="B25" t="s">
        <v>130</v>
      </c>
      <c r="C25" t="s">
        <v>131</v>
      </c>
      <c r="D25" t="s">
        <v>132</v>
      </c>
      <c r="E25" t="s">
        <v>133</v>
      </c>
      <c r="F25" t="s">
        <v>134</v>
      </c>
      <c r="G25" t="s">
        <v>50</v>
      </c>
    </row>
    <row r="26" spans="1:7">
      <c r="A26">
        <v>25</v>
      </c>
      <c r="B26" t="s">
        <v>135</v>
      </c>
      <c r="C26" t="s">
        <v>136</v>
      </c>
      <c r="D26" t="s">
        <v>137</v>
      </c>
      <c r="E26" t="s">
        <v>138</v>
      </c>
      <c r="F26">
        <v>80805</v>
      </c>
      <c r="G26" t="s">
        <v>30</v>
      </c>
    </row>
    <row r="27" spans="1:7">
      <c r="A27">
        <v>26</v>
      </c>
      <c r="B27" t="s">
        <v>139</v>
      </c>
      <c r="C27" t="s">
        <v>140</v>
      </c>
      <c r="D27" t="s">
        <v>141</v>
      </c>
      <c r="E27" t="s">
        <v>109</v>
      </c>
      <c r="F27">
        <v>44000</v>
      </c>
      <c r="G27" t="s">
        <v>59</v>
      </c>
    </row>
    <row r="28" spans="1:7">
      <c r="A28">
        <v>27</v>
      </c>
      <c r="B28" t="s">
        <v>142</v>
      </c>
      <c r="C28" t="s">
        <v>143</v>
      </c>
      <c r="D28" t="s">
        <v>144</v>
      </c>
      <c r="E28" t="s">
        <v>145</v>
      </c>
      <c r="F28">
        <v>10100</v>
      </c>
      <c r="G28" t="s">
        <v>146</v>
      </c>
    </row>
    <row r="29" spans="1:7">
      <c r="A29">
        <v>28</v>
      </c>
      <c r="B29" t="s">
        <v>147</v>
      </c>
      <c r="C29" t="s">
        <v>148</v>
      </c>
      <c r="D29" t="s">
        <v>149</v>
      </c>
      <c r="E29" t="s">
        <v>150</v>
      </c>
      <c r="F29">
        <v>1675</v>
      </c>
      <c r="G29" t="s">
        <v>151</v>
      </c>
    </row>
    <row r="30" spans="1:7">
      <c r="A30">
        <v>29</v>
      </c>
      <c r="B30" t="s">
        <v>152</v>
      </c>
      <c r="C30" t="s">
        <v>153</v>
      </c>
      <c r="D30" t="s">
        <v>154</v>
      </c>
      <c r="E30" t="s">
        <v>155</v>
      </c>
      <c r="F30">
        <v>8022</v>
      </c>
      <c r="G30" t="s">
        <v>64</v>
      </c>
    </row>
    <row r="31" spans="1:7">
      <c r="A31">
        <v>30</v>
      </c>
      <c r="B31" t="s">
        <v>156</v>
      </c>
      <c r="C31" t="s">
        <v>157</v>
      </c>
      <c r="D31" t="s">
        <v>158</v>
      </c>
      <c r="E31" t="s">
        <v>159</v>
      </c>
      <c r="F31">
        <v>41101</v>
      </c>
      <c r="G31" t="s">
        <v>64</v>
      </c>
    </row>
    <row r="32" spans="1:7">
      <c r="A32">
        <v>31</v>
      </c>
      <c r="B32" t="s">
        <v>160</v>
      </c>
      <c r="C32" t="s">
        <v>161</v>
      </c>
      <c r="D32" t="s">
        <v>162</v>
      </c>
      <c r="E32" t="s">
        <v>163</v>
      </c>
      <c r="F32" t="s">
        <v>164</v>
      </c>
      <c r="G32" t="s">
        <v>97</v>
      </c>
    </row>
    <row r="33" spans="1:7">
      <c r="A33">
        <v>32</v>
      </c>
      <c r="B33" t="s">
        <v>165</v>
      </c>
      <c r="C33" t="s">
        <v>166</v>
      </c>
      <c r="D33" t="s">
        <v>167</v>
      </c>
      <c r="E33" t="s">
        <v>168</v>
      </c>
      <c r="F33">
        <v>97403</v>
      </c>
      <c r="G33" t="s">
        <v>169</v>
      </c>
    </row>
    <row r="34" spans="1:7">
      <c r="A34">
        <v>33</v>
      </c>
      <c r="B34" t="s">
        <v>170</v>
      </c>
      <c r="C34" t="s">
        <v>171</v>
      </c>
      <c r="D34" t="s">
        <v>172</v>
      </c>
      <c r="E34" t="s">
        <v>173</v>
      </c>
      <c r="F34">
        <v>1081</v>
      </c>
      <c r="G34" t="s">
        <v>174</v>
      </c>
    </row>
    <row r="35" spans="1:7">
      <c r="A35">
        <v>34</v>
      </c>
      <c r="B35" t="s">
        <v>175</v>
      </c>
      <c r="C35" t="s">
        <v>176</v>
      </c>
      <c r="D35" t="s">
        <v>177</v>
      </c>
      <c r="E35" t="s">
        <v>178</v>
      </c>
      <c r="F35" t="s">
        <v>179</v>
      </c>
      <c r="G35" t="s">
        <v>97</v>
      </c>
    </row>
    <row r="36" spans="1:7">
      <c r="A36">
        <v>35</v>
      </c>
      <c r="B36" t="s">
        <v>180</v>
      </c>
      <c r="C36" t="s">
        <v>181</v>
      </c>
      <c r="D36" t="s">
        <v>182</v>
      </c>
      <c r="E36" t="s">
        <v>183</v>
      </c>
      <c r="F36">
        <v>5022</v>
      </c>
      <c r="G36" t="s">
        <v>174</v>
      </c>
    </row>
    <row r="37" spans="1:7">
      <c r="A37">
        <v>36</v>
      </c>
      <c r="B37" t="s">
        <v>184</v>
      </c>
      <c r="C37" t="s">
        <v>185</v>
      </c>
      <c r="D37" t="s">
        <v>186</v>
      </c>
      <c r="E37" t="s">
        <v>187</v>
      </c>
      <c r="F37">
        <v>97827</v>
      </c>
      <c r="G37" t="s">
        <v>169</v>
      </c>
    </row>
    <row r="38" spans="1:7">
      <c r="A38">
        <v>37</v>
      </c>
      <c r="B38" t="s">
        <v>188</v>
      </c>
      <c r="C38" t="s">
        <v>189</v>
      </c>
      <c r="D38" t="s">
        <v>190</v>
      </c>
      <c r="E38" t="s">
        <v>191</v>
      </c>
      <c r="G38" t="s">
        <v>192</v>
      </c>
    </row>
    <row r="39" spans="1:7">
      <c r="A39">
        <v>38</v>
      </c>
      <c r="B39" t="s">
        <v>193</v>
      </c>
      <c r="C39" t="s">
        <v>194</v>
      </c>
      <c r="D39" t="s">
        <v>195</v>
      </c>
      <c r="E39" t="s">
        <v>196</v>
      </c>
      <c r="F39" t="s">
        <v>197</v>
      </c>
      <c r="G39" t="s">
        <v>44</v>
      </c>
    </row>
    <row r="40" spans="1:7">
      <c r="A40">
        <v>39</v>
      </c>
      <c r="B40" t="s">
        <v>198</v>
      </c>
      <c r="C40" t="s">
        <v>199</v>
      </c>
      <c r="D40" t="s">
        <v>200</v>
      </c>
      <c r="E40" t="s">
        <v>201</v>
      </c>
      <c r="F40">
        <v>14776</v>
      </c>
      <c r="G40" t="s">
        <v>30</v>
      </c>
    </row>
    <row r="41" spans="1:7">
      <c r="A41">
        <v>40</v>
      </c>
      <c r="B41" t="s">
        <v>202</v>
      </c>
      <c r="C41" t="s">
        <v>203</v>
      </c>
      <c r="D41" t="s">
        <v>204</v>
      </c>
      <c r="E41" t="s">
        <v>205</v>
      </c>
      <c r="F41">
        <v>78000</v>
      </c>
      <c r="G41" t="s">
        <v>59</v>
      </c>
    </row>
    <row r="42" spans="1:7">
      <c r="A42">
        <v>41</v>
      </c>
      <c r="B42" t="s">
        <v>206</v>
      </c>
      <c r="C42" t="s">
        <v>207</v>
      </c>
      <c r="D42" t="s">
        <v>208</v>
      </c>
      <c r="E42" t="s">
        <v>209</v>
      </c>
      <c r="F42">
        <v>31000</v>
      </c>
      <c r="G42" t="s">
        <v>59</v>
      </c>
    </row>
    <row r="43" spans="1:7">
      <c r="A43">
        <v>42</v>
      </c>
      <c r="B43" t="s">
        <v>210</v>
      </c>
      <c r="C43" t="s">
        <v>211</v>
      </c>
      <c r="D43" t="s">
        <v>212</v>
      </c>
      <c r="E43" t="s">
        <v>213</v>
      </c>
      <c r="F43" t="s">
        <v>214</v>
      </c>
      <c r="G43" t="s">
        <v>74</v>
      </c>
    </row>
    <row r="44" spans="1:7">
      <c r="A44">
        <v>43</v>
      </c>
      <c r="B44" t="s">
        <v>215</v>
      </c>
      <c r="C44" t="s">
        <v>216</v>
      </c>
      <c r="D44" t="s">
        <v>217</v>
      </c>
      <c r="E44" t="s">
        <v>218</v>
      </c>
      <c r="F44">
        <v>99362</v>
      </c>
      <c r="G44" t="s">
        <v>169</v>
      </c>
    </row>
    <row r="45" spans="1:7">
      <c r="A45">
        <v>44</v>
      </c>
      <c r="B45" t="s">
        <v>219</v>
      </c>
      <c r="C45" t="s">
        <v>220</v>
      </c>
      <c r="D45" t="s">
        <v>221</v>
      </c>
      <c r="E45" t="s">
        <v>222</v>
      </c>
      <c r="F45">
        <v>60528</v>
      </c>
      <c r="G45" t="s">
        <v>30</v>
      </c>
    </row>
    <row r="46" spans="1:7">
      <c r="A46">
        <v>45</v>
      </c>
      <c r="B46" t="s">
        <v>223</v>
      </c>
      <c r="C46" t="s">
        <v>224</v>
      </c>
      <c r="D46" t="s">
        <v>225</v>
      </c>
      <c r="E46" t="s">
        <v>226</v>
      </c>
      <c r="F46">
        <v>94117</v>
      </c>
      <c r="G46" t="s">
        <v>169</v>
      </c>
    </row>
    <row r="47" spans="1:7">
      <c r="A47">
        <v>46</v>
      </c>
      <c r="B47" t="s">
        <v>227</v>
      </c>
      <c r="C47" t="s">
        <v>228</v>
      </c>
      <c r="D47" t="s">
        <v>229</v>
      </c>
      <c r="E47" t="s">
        <v>230</v>
      </c>
      <c r="F47">
        <v>3508</v>
      </c>
      <c r="G47" t="s">
        <v>174</v>
      </c>
    </row>
    <row r="48" spans="1:7">
      <c r="A48">
        <v>47</v>
      </c>
      <c r="B48" t="s">
        <v>231</v>
      </c>
      <c r="C48" t="s">
        <v>232</v>
      </c>
      <c r="D48" t="s">
        <v>233</v>
      </c>
      <c r="E48" t="s">
        <v>234</v>
      </c>
      <c r="F48">
        <v>4980</v>
      </c>
      <c r="G48" t="s">
        <v>174</v>
      </c>
    </row>
    <row r="49" spans="1:7">
      <c r="A49">
        <v>48</v>
      </c>
      <c r="B49" t="s">
        <v>235</v>
      </c>
      <c r="C49" t="s">
        <v>236</v>
      </c>
      <c r="D49" t="s">
        <v>237</v>
      </c>
      <c r="E49" t="s">
        <v>238</v>
      </c>
      <c r="F49">
        <v>97219</v>
      </c>
      <c r="G49" t="s">
        <v>169</v>
      </c>
    </row>
    <row r="50" spans="1:7">
      <c r="A50">
        <v>49</v>
      </c>
      <c r="B50" t="s">
        <v>239</v>
      </c>
      <c r="C50" t="s">
        <v>240</v>
      </c>
      <c r="D50" t="s">
        <v>241</v>
      </c>
      <c r="E50" t="s">
        <v>242</v>
      </c>
      <c r="F50">
        <v>24100</v>
      </c>
      <c r="G50" t="s">
        <v>146</v>
      </c>
    </row>
    <row r="51" spans="1:7">
      <c r="A51">
        <v>50</v>
      </c>
      <c r="B51" t="s">
        <v>243</v>
      </c>
      <c r="C51" t="s">
        <v>244</v>
      </c>
      <c r="D51" t="s">
        <v>245</v>
      </c>
      <c r="E51" t="s">
        <v>246</v>
      </c>
      <c r="F51" t="s">
        <v>247</v>
      </c>
      <c r="G51" t="s">
        <v>248</v>
      </c>
    </row>
    <row r="52" spans="1:7">
      <c r="A52">
        <v>51</v>
      </c>
      <c r="B52" t="s">
        <v>249</v>
      </c>
      <c r="C52" t="s">
        <v>250</v>
      </c>
      <c r="D52" t="s">
        <v>251</v>
      </c>
      <c r="E52" t="s">
        <v>252</v>
      </c>
      <c r="F52" t="s">
        <v>253</v>
      </c>
      <c r="G52" t="s">
        <v>74</v>
      </c>
    </row>
    <row r="53" spans="1:7">
      <c r="A53">
        <v>52</v>
      </c>
      <c r="B53" t="s">
        <v>254</v>
      </c>
      <c r="C53" t="s">
        <v>255</v>
      </c>
      <c r="D53" t="s">
        <v>256</v>
      </c>
      <c r="E53" t="s">
        <v>257</v>
      </c>
      <c r="F53">
        <v>4179</v>
      </c>
      <c r="G53" t="s">
        <v>30</v>
      </c>
    </row>
    <row r="54" spans="1:7">
      <c r="A54">
        <v>53</v>
      </c>
      <c r="B54" t="s">
        <v>258</v>
      </c>
      <c r="C54" t="s">
        <v>259</v>
      </c>
      <c r="D54" t="s">
        <v>260</v>
      </c>
      <c r="E54" t="s">
        <v>42</v>
      </c>
      <c r="F54" t="s">
        <v>261</v>
      </c>
      <c r="G54" t="s">
        <v>44</v>
      </c>
    </row>
    <row r="55" spans="1:7">
      <c r="A55">
        <v>54</v>
      </c>
      <c r="B55" t="s">
        <v>262</v>
      </c>
      <c r="C55" t="s">
        <v>263</v>
      </c>
      <c r="D55" t="s">
        <v>264</v>
      </c>
      <c r="E55" t="s">
        <v>82</v>
      </c>
      <c r="F55">
        <v>1010</v>
      </c>
      <c r="G55" t="s">
        <v>83</v>
      </c>
    </row>
    <row r="56" spans="1:7">
      <c r="A56">
        <v>55</v>
      </c>
      <c r="B56" t="s">
        <v>265</v>
      </c>
      <c r="C56" t="s">
        <v>266</v>
      </c>
      <c r="D56" t="s">
        <v>267</v>
      </c>
      <c r="E56" t="s">
        <v>268</v>
      </c>
      <c r="F56">
        <v>99508</v>
      </c>
      <c r="G56" t="s">
        <v>169</v>
      </c>
    </row>
    <row r="57" spans="1:7">
      <c r="A57">
        <v>56</v>
      </c>
      <c r="B57" t="s">
        <v>269</v>
      </c>
      <c r="C57" t="s">
        <v>270</v>
      </c>
      <c r="D57" t="s">
        <v>271</v>
      </c>
      <c r="E57" t="s">
        <v>272</v>
      </c>
      <c r="F57">
        <v>50739</v>
      </c>
      <c r="G57" t="s">
        <v>30</v>
      </c>
    </row>
    <row r="58" spans="1:7">
      <c r="A58">
        <v>57</v>
      </c>
      <c r="B58" t="s">
        <v>273</v>
      </c>
      <c r="C58" t="s">
        <v>274</v>
      </c>
      <c r="D58" t="s">
        <v>275</v>
      </c>
      <c r="E58" t="s">
        <v>276</v>
      </c>
      <c r="F58">
        <v>75012</v>
      </c>
      <c r="G58" t="s">
        <v>59</v>
      </c>
    </row>
    <row r="59" spans="1:7">
      <c r="A59">
        <v>58</v>
      </c>
      <c r="B59" t="s">
        <v>277</v>
      </c>
      <c r="C59" t="s">
        <v>278</v>
      </c>
      <c r="D59" t="s">
        <v>279</v>
      </c>
      <c r="E59" t="s">
        <v>34</v>
      </c>
      <c r="F59">
        <v>5033</v>
      </c>
      <c r="G59" t="s">
        <v>35</v>
      </c>
    </row>
    <row r="60" spans="1:7">
      <c r="A60">
        <v>59</v>
      </c>
      <c r="B60" t="s">
        <v>280</v>
      </c>
      <c r="C60" t="s">
        <v>281</v>
      </c>
      <c r="D60" t="s">
        <v>282</v>
      </c>
      <c r="E60" t="s">
        <v>283</v>
      </c>
      <c r="F60">
        <v>5020</v>
      </c>
      <c r="G60" t="s">
        <v>118</v>
      </c>
    </row>
    <row r="61" spans="1:7">
      <c r="A61">
        <v>60</v>
      </c>
      <c r="B61" t="s">
        <v>284</v>
      </c>
      <c r="C61" t="s">
        <v>285</v>
      </c>
      <c r="D61" t="s">
        <v>286</v>
      </c>
      <c r="E61" t="s">
        <v>150</v>
      </c>
      <c r="F61">
        <v>1756</v>
      </c>
      <c r="G61" t="s">
        <v>151</v>
      </c>
    </row>
    <row r="62" spans="1:7">
      <c r="A62">
        <v>61</v>
      </c>
      <c r="B62" t="s">
        <v>287</v>
      </c>
      <c r="C62" t="s">
        <v>288</v>
      </c>
      <c r="D62" t="s">
        <v>289</v>
      </c>
      <c r="E62" t="s">
        <v>178</v>
      </c>
      <c r="F62" t="s">
        <v>290</v>
      </c>
      <c r="G62" t="s">
        <v>97</v>
      </c>
    </row>
    <row r="63" spans="1:7">
      <c r="A63">
        <v>62</v>
      </c>
      <c r="B63" t="s">
        <v>291</v>
      </c>
      <c r="C63" t="s">
        <v>292</v>
      </c>
      <c r="D63" t="s">
        <v>293</v>
      </c>
      <c r="E63" t="s">
        <v>95</v>
      </c>
      <c r="F63" t="s">
        <v>294</v>
      </c>
      <c r="G63" t="s">
        <v>97</v>
      </c>
    </row>
    <row r="64" spans="1:7">
      <c r="A64">
        <v>63</v>
      </c>
      <c r="B64" t="s">
        <v>295</v>
      </c>
      <c r="C64" t="s">
        <v>296</v>
      </c>
      <c r="D64" t="s">
        <v>297</v>
      </c>
      <c r="E64" t="s">
        <v>298</v>
      </c>
      <c r="F64">
        <v>1307</v>
      </c>
      <c r="G64" t="s">
        <v>30</v>
      </c>
    </row>
    <row r="65" spans="1:7">
      <c r="A65">
        <v>64</v>
      </c>
      <c r="B65" t="s">
        <v>299</v>
      </c>
      <c r="C65" t="s">
        <v>300</v>
      </c>
      <c r="D65" t="s">
        <v>301</v>
      </c>
      <c r="E65" t="s">
        <v>82</v>
      </c>
      <c r="F65">
        <v>1010</v>
      </c>
      <c r="G65" t="s">
        <v>83</v>
      </c>
    </row>
    <row r="66" spans="1:7">
      <c r="A66">
        <v>65</v>
      </c>
      <c r="B66" t="s">
        <v>302</v>
      </c>
      <c r="C66" t="s">
        <v>303</v>
      </c>
      <c r="D66" t="s">
        <v>304</v>
      </c>
      <c r="E66" t="s">
        <v>305</v>
      </c>
      <c r="F66">
        <v>87110</v>
      </c>
      <c r="G66" t="s">
        <v>169</v>
      </c>
    </row>
    <row r="67" spans="1:7">
      <c r="A67">
        <v>66</v>
      </c>
      <c r="B67" t="s">
        <v>306</v>
      </c>
      <c r="C67" t="s">
        <v>307</v>
      </c>
      <c r="D67" t="s">
        <v>308</v>
      </c>
      <c r="E67" t="s">
        <v>309</v>
      </c>
      <c r="F67">
        <v>42100</v>
      </c>
      <c r="G67" t="s">
        <v>146</v>
      </c>
    </row>
    <row r="68" spans="1:7">
      <c r="A68">
        <v>67</v>
      </c>
      <c r="B68" t="s">
        <v>310</v>
      </c>
      <c r="C68" t="s">
        <v>311</v>
      </c>
      <c r="D68" t="s">
        <v>312</v>
      </c>
      <c r="E68" t="s">
        <v>178</v>
      </c>
      <c r="F68" t="s">
        <v>313</v>
      </c>
      <c r="G68" t="s">
        <v>97</v>
      </c>
    </row>
    <row r="69" spans="1:7">
      <c r="A69">
        <v>68</v>
      </c>
      <c r="B69" t="s">
        <v>314</v>
      </c>
      <c r="C69" t="s">
        <v>315</v>
      </c>
      <c r="D69" t="s">
        <v>316</v>
      </c>
      <c r="E69" t="s">
        <v>317</v>
      </c>
      <c r="F69">
        <v>1203</v>
      </c>
      <c r="G69" t="s">
        <v>91</v>
      </c>
    </row>
    <row r="70" spans="1:7">
      <c r="A70">
        <v>69</v>
      </c>
      <c r="B70" t="s">
        <v>318</v>
      </c>
      <c r="C70" t="s">
        <v>319</v>
      </c>
      <c r="D70" t="s">
        <v>320</v>
      </c>
      <c r="E70" t="s">
        <v>63</v>
      </c>
      <c r="F70">
        <v>28001</v>
      </c>
      <c r="G70" t="s">
        <v>64</v>
      </c>
    </row>
    <row r="71" spans="1:7">
      <c r="A71">
        <v>70</v>
      </c>
      <c r="B71" t="s">
        <v>321</v>
      </c>
      <c r="C71" t="s">
        <v>322</v>
      </c>
      <c r="D71" t="s">
        <v>323</v>
      </c>
      <c r="E71" t="s">
        <v>324</v>
      </c>
      <c r="F71">
        <v>4110</v>
      </c>
      <c r="G71" t="s">
        <v>325</v>
      </c>
    </row>
    <row r="72" spans="1:7">
      <c r="A72">
        <v>71</v>
      </c>
      <c r="B72" t="s">
        <v>326</v>
      </c>
      <c r="C72" t="s">
        <v>327</v>
      </c>
      <c r="D72" t="s">
        <v>328</v>
      </c>
      <c r="E72" t="s">
        <v>329</v>
      </c>
      <c r="F72">
        <v>83720</v>
      </c>
      <c r="G72" t="s">
        <v>169</v>
      </c>
    </row>
    <row r="73" spans="1:7">
      <c r="A73">
        <v>72</v>
      </c>
      <c r="B73" t="s">
        <v>330</v>
      </c>
      <c r="C73" t="s">
        <v>331</v>
      </c>
      <c r="D73" t="s">
        <v>332</v>
      </c>
      <c r="E73" t="s">
        <v>42</v>
      </c>
      <c r="F73" t="s">
        <v>333</v>
      </c>
      <c r="G73" t="s">
        <v>44</v>
      </c>
    </row>
    <row r="74" spans="1:7">
      <c r="A74">
        <v>73</v>
      </c>
      <c r="B74" t="s">
        <v>334</v>
      </c>
      <c r="C74" t="s">
        <v>335</v>
      </c>
      <c r="D74" t="s">
        <v>336</v>
      </c>
      <c r="E74" t="s">
        <v>337</v>
      </c>
      <c r="F74">
        <v>1734</v>
      </c>
      <c r="G74" t="s">
        <v>338</v>
      </c>
    </row>
    <row r="75" spans="1:7">
      <c r="A75">
        <v>74</v>
      </c>
      <c r="B75" t="s">
        <v>339</v>
      </c>
      <c r="C75" t="s">
        <v>340</v>
      </c>
      <c r="D75" t="s">
        <v>341</v>
      </c>
      <c r="E75" t="s">
        <v>276</v>
      </c>
      <c r="F75">
        <v>75016</v>
      </c>
      <c r="G75" t="s">
        <v>59</v>
      </c>
    </row>
    <row r="76" spans="1:7">
      <c r="A76">
        <v>75</v>
      </c>
      <c r="B76" t="s">
        <v>342</v>
      </c>
      <c r="C76" t="s">
        <v>343</v>
      </c>
      <c r="D76" t="s">
        <v>344</v>
      </c>
      <c r="E76" t="s">
        <v>345</v>
      </c>
      <c r="F76">
        <v>82520</v>
      </c>
      <c r="G76" t="s">
        <v>169</v>
      </c>
    </row>
    <row r="77" spans="1:7">
      <c r="A77">
        <v>76</v>
      </c>
      <c r="B77" t="s">
        <v>346</v>
      </c>
      <c r="C77" t="s">
        <v>347</v>
      </c>
      <c r="D77" t="s">
        <v>348</v>
      </c>
      <c r="E77" t="s">
        <v>349</v>
      </c>
      <c r="F77" t="s">
        <v>350</v>
      </c>
      <c r="G77" t="s">
        <v>248</v>
      </c>
    </row>
    <row r="78" spans="1:7">
      <c r="A78">
        <v>77</v>
      </c>
      <c r="B78" t="s">
        <v>351</v>
      </c>
      <c r="C78" t="s">
        <v>352</v>
      </c>
      <c r="D78" t="s">
        <v>353</v>
      </c>
      <c r="E78" t="s">
        <v>238</v>
      </c>
      <c r="F78">
        <v>97201</v>
      </c>
      <c r="G78" t="s">
        <v>169</v>
      </c>
    </row>
    <row r="79" spans="1:7">
      <c r="A79">
        <v>78</v>
      </c>
      <c r="B79" t="s">
        <v>354</v>
      </c>
      <c r="C79" t="s">
        <v>355</v>
      </c>
      <c r="D79" t="s">
        <v>356</v>
      </c>
      <c r="E79" t="s">
        <v>357</v>
      </c>
      <c r="F79">
        <v>59801</v>
      </c>
      <c r="G79" t="s">
        <v>169</v>
      </c>
    </row>
    <row r="80" spans="1:7">
      <c r="A80">
        <v>79</v>
      </c>
      <c r="B80" t="s">
        <v>358</v>
      </c>
      <c r="C80" t="s">
        <v>359</v>
      </c>
      <c r="D80" t="s">
        <v>360</v>
      </c>
      <c r="E80" t="s">
        <v>361</v>
      </c>
      <c r="F80">
        <v>44087</v>
      </c>
      <c r="G80" t="s">
        <v>30</v>
      </c>
    </row>
    <row r="81" spans="1:7">
      <c r="A81">
        <v>80</v>
      </c>
      <c r="B81" t="s">
        <v>362</v>
      </c>
      <c r="C81" t="s">
        <v>363</v>
      </c>
      <c r="D81" t="s">
        <v>364</v>
      </c>
      <c r="E81" t="s">
        <v>34</v>
      </c>
      <c r="F81">
        <v>5033</v>
      </c>
      <c r="G81" t="s">
        <v>35</v>
      </c>
    </row>
    <row r="82" spans="1:7">
      <c r="A82">
        <v>81</v>
      </c>
      <c r="B82" t="s">
        <v>365</v>
      </c>
      <c r="C82" t="s">
        <v>366</v>
      </c>
      <c r="D82" t="s">
        <v>367</v>
      </c>
      <c r="E82" t="s">
        <v>95</v>
      </c>
      <c r="F82" t="s">
        <v>368</v>
      </c>
      <c r="G82" t="s">
        <v>97</v>
      </c>
    </row>
    <row r="83" spans="1:7">
      <c r="A83">
        <v>82</v>
      </c>
      <c r="B83" t="s">
        <v>369</v>
      </c>
      <c r="C83" t="s">
        <v>370</v>
      </c>
      <c r="D83" t="s">
        <v>371</v>
      </c>
      <c r="E83" t="s">
        <v>372</v>
      </c>
      <c r="F83">
        <v>98034</v>
      </c>
      <c r="G83" t="s">
        <v>169</v>
      </c>
    </row>
    <row r="84" spans="1:7">
      <c r="A84">
        <v>83</v>
      </c>
      <c r="B84" t="s">
        <v>373</v>
      </c>
      <c r="C84" t="s">
        <v>374</v>
      </c>
      <c r="D84" t="s">
        <v>375</v>
      </c>
      <c r="E84" t="s">
        <v>376</v>
      </c>
      <c r="F84">
        <v>8200</v>
      </c>
      <c r="G84" t="s">
        <v>338</v>
      </c>
    </row>
    <row r="85" spans="1:7">
      <c r="A85">
        <v>84</v>
      </c>
      <c r="B85" t="s">
        <v>377</v>
      </c>
      <c r="C85" t="s">
        <v>378</v>
      </c>
      <c r="D85" t="s">
        <v>379</v>
      </c>
      <c r="E85" t="s">
        <v>380</v>
      </c>
      <c r="F85">
        <v>69004</v>
      </c>
      <c r="G85" t="s">
        <v>59</v>
      </c>
    </row>
    <row r="86" spans="1:7">
      <c r="A86">
        <v>85</v>
      </c>
      <c r="B86" t="s">
        <v>381</v>
      </c>
      <c r="C86" t="s">
        <v>382</v>
      </c>
      <c r="D86" t="s">
        <v>383</v>
      </c>
      <c r="E86" t="s">
        <v>384</v>
      </c>
      <c r="F86">
        <v>51100</v>
      </c>
      <c r="G86" t="s">
        <v>59</v>
      </c>
    </row>
    <row r="87" spans="1:7">
      <c r="A87">
        <v>86</v>
      </c>
      <c r="B87" t="s">
        <v>385</v>
      </c>
      <c r="C87" t="s">
        <v>386</v>
      </c>
      <c r="D87" t="s">
        <v>387</v>
      </c>
      <c r="E87" t="s">
        <v>388</v>
      </c>
      <c r="F87">
        <v>70563</v>
      </c>
      <c r="G87" t="s">
        <v>30</v>
      </c>
    </row>
    <row r="88" spans="1:7">
      <c r="A88">
        <v>87</v>
      </c>
      <c r="B88" t="s">
        <v>389</v>
      </c>
      <c r="C88" t="s">
        <v>390</v>
      </c>
      <c r="D88" t="s">
        <v>391</v>
      </c>
      <c r="E88" t="s">
        <v>392</v>
      </c>
      <c r="F88">
        <v>90110</v>
      </c>
      <c r="G88" t="s">
        <v>393</v>
      </c>
    </row>
    <row r="89" spans="1:7">
      <c r="A89">
        <v>88</v>
      </c>
      <c r="B89" t="s">
        <v>394</v>
      </c>
      <c r="C89" t="s">
        <v>395</v>
      </c>
      <c r="D89" t="s">
        <v>396</v>
      </c>
      <c r="E89" t="s">
        <v>397</v>
      </c>
      <c r="F89" t="s">
        <v>398</v>
      </c>
      <c r="G89" t="s">
        <v>97</v>
      </c>
    </row>
    <row r="90" spans="1:7">
      <c r="A90">
        <v>89</v>
      </c>
      <c r="B90" t="s">
        <v>399</v>
      </c>
      <c r="C90" t="s">
        <v>400</v>
      </c>
      <c r="D90" t="s">
        <v>401</v>
      </c>
      <c r="E90" t="s">
        <v>402</v>
      </c>
      <c r="F90">
        <v>98128</v>
      </c>
      <c r="G90" t="s">
        <v>169</v>
      </c>
    </row>
    <row r="91" spans="1:7">
      <c r="A91">
        <v>90</v>
      </c>
      <c r="B91" t="s">
        <v>403</v>
      </c>
      <c r="C91" t="s">
        <v>404</v>
      </c>
      <c r="D91" t="s">
        <v>405</v>
      </c>
      <c r="E91" t="s">
        <v>406</v>
      </c>
      <c r="F91">
        <v>21240</v>
      </c>
      <c r="G91" t="s">
        <v>393</v>
      </c>
    </row>
    <row r="92" spans="1:7">
      <c r="A92">
        <v>91</v>
      </c>
      <c r="B92" t="s">
        <v>407</v>
      </c>
      <c r="C92" t="s">
        <v>408</v>
      </c>
      <c r="D92" t="s">
        <v>409</v>
      </c>
      <c r="E92" t="s">
        <v>410</v>
      </c>
      <c r="F92" t="s">
        <v>411</v>
      </c>
      <c r="G92" t="s">
        <v>412</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workbookViewId="0">
      <selection activeCell="F55" sqref="F55"/>
    </sheetView>
  </sheetViews>
  <sheetFormatPr defaultRowHeight="14.5"/>
  <cols>
    <col min="1" max="1" width="13.81640625" customWidth="1"/>
    <col min="2" max="2" width="13.1796875" customWidth="1"/>
    <col min="3" max="3" width="12.26953125" customWidth="1"/>
    <col min="4" max="4" width="20.54296875" customWidth="1"/>
    <col min="5" max="5" width="11.81640625" bestFit="1" customWidth="1"/>
    <col min="6" max="6" width="255.7265625" bestFit="1" customWidth="1"/>
  </cols>
  <sheetData>
    <row r="1" spans="1:6">
      <c r="A1" s="2" t="s">
        <v>413</v>
      </c>
      <c r="B1" s="2" t="s">
        <v>414</v>
      </c>
      <c r="C1" s="2" t="s">
        <v>415</v>
      </c>
      <c r="D1" s="2" t="s">
        <v>416</v>
      </c>
      <c r="E1" s="2" t="s">
        <v>417</v>
      </c>
      <c r="F1" s="2" t="s">
        <v>418</v>
      </c>
    </row>
    <row r="2" spans="1:6">
      <c r="A2">
        <v>1</v>
      </c>
      <c r="B2" t="s">
        <v>419</v>
      </c>
      <c r="C2" t="s">
        <v>420</v>
      </c>
      <c r="D2" s="1">
        <v>25180</v>
      </c>
      <c r="E2" t="s">
        <v>421</v>
      </c>
      <c r="F2" t="s">
        <v>422</v>
      </c>
    </row>
    <row r="3" spans="1:6">
      <c r="A3">
        <v>2</v>
      </c>
      <c r="B3" t="s">
        <v>423</v>
      </c>
      <c r="C3" t="s">
        <v>424</v>
      </c>
      <c r="D3" s="1">
        <v>19043</v>
      </c>
      <c r="E3" t="s">
        <v>425</v>
      </c>
      <c r="F3" t="s">
        <v>426</v>
      </c>
    </row>
    <row r="4" spans="1:6">
      <c r="A4">
        <v>3</v>
      </c>
      <c r="B4" t="s">
        <v>427</v>
      </c>
      <c r="C4" t="s">
        <v>428</v>
      </c>
      <c r="D4" s="1">
        <v>23253</v>
      </c>
      <c r="E4" t="s">
        <v>429</v>
      </c>
      <c r="F4" t="s">
        <v>430</v>
      </c>
    </row>
    <row r="5" spans="1:6">
      <c r="A5">
        <v>4</v>
      </c>
      <c r="B5" t="s">
        <v>431</v>
      </c>
      <c r="C5" t="s">
        <v>432</v>
      </c>
      <c r="D5" s="1">
        <v>21447</v>
      </c>
      <c r="E5" t="s">
        <v>433</v>
      </c>
      <c r="F5" t="s">
        <v>434</v>
      </c>
    </row>
    <row r="6" spans="1:6">
      <c r="A6">
        <v>5</v>
      </c>
      <c r="B6" t="s">
        <v>435</v>
      </c>
      <c r="C6" t="s">
        <v>436</v>
      </c>
      <c r="D6" s="1">
        <v>20152</v>
      </c>
      <c r="E6" t="s">
        <v>437</v>
      </c>
      <c r="F6" t="s">
        <v>438</v>
      </c>
    </row>
    <row r="7" spans="1:6">
      <c r="A7">
        <v>6</v>
      </c>
      <c r="B7" t="s">
        <v>439</v>
      </c>
      <c r="C7" t="s">
        <v>440</v>
      </c>
      <c r="D7" s="1">
        <v>23194</v>
      </c>
      <c r="E7" t="s">
        <v>441</v>
      </c>
      <c r="F7" t="s">
        <v>442</v>
      </c>
    </row>
    <row r="8" spans="1:6">
      <c r="A8">
        <v>7</v>
      </c>
      <c r="B8" t="s">
        <v>443</v>
      </c>
      <c r="C8" t="s">
        <v>444</v>
      </c>
      <c r="D8" s="1">
        <v>22065</v>
      </c>
      <c r="E8" t="s">
        <v>445</v>
      </c>
      <c r="F8" t="s">
        <v>446</v>
      </c>
    </row>
    <row r="9" spans="1:6">
      <c r="A9">
        <v>8</v>
      </c>
      <c r="B9" t="s">
        <v>447</v>
      </c>
      <c r="C9" t="s">
        <v>448</v>
      </c>
      <c r="D9" s="1">
        <v>21194</v>
      </c>
      <c r="E9" t="s">
        <v>449</v>
      </c>
      <c r="F9" t="s">
        <v>450</v>
      </c>
    </row>
    <row r="10" spans="1:6">
      <c r="A10">
        <v>9</v>
      </c>
      <c r="B10" t="s">
        <v>451</v>
      </c>
      <c r="C10" t="s">
        <v>452</v>
      </c>
      <c r="D10" s="1">
        <v>25386</v>
      </c>
      <c r="E10" t="s">
        <v>453</v>
      </c>
      <c r="F10" t="s">
        <v>454</v>
      </c>
    </row>
    <row r="11" spans="1:6">
      <c r="A11">
        <v>10</v>
      </c>
      <c r="B11" t="s">
        <v>455</v>
      </c>
      <c r="C11" t="s">
        <v>456</v>
      </c>
      <c r="D11" s="1">
        <v>10490</v>
      </c>
      <c r="E11" t="s">
        <v>457</v>
      </c>
      <c r="F11" t="s">
        <v>458</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19"/>
  <sheetViews>
    <sheetView workbookViewId="0">
      <pane ySplit="1" topLeftCell="A501" activePane="bottomLeft" state="frozen"/>
      <selection pane="bottomLeft" activeCell="D2" sqref="D2:D518"/>
    </sheetView>
  </sheetViews>
  <sheetFormatPr defaultRowHeight="14.5"/>
  <cols>
    <col min="1" max="1" width="18" bestFit="1" customWidth="1"/>
    <col min="2" max="2" width="12.54296875" bestFit="1" customWidth="1"/>
    <col min="3" max="3" width="14.26953125" bestFit="1" customWidth="1"/>
    <col min="4" max="4" width="13.26953125" bestFit="1" customWidth="1"/>
    <col min="6" max="6" width="21.81640625" bestFit="1" customWidth="1"/>
  </cols>
  <sheetData>
    <row r="1" spans="1:6">
      <c r="A1" s="2" t="s">
        <v>459</v>
      </c>
      <c r="B1" s="2" t="s">
        <v>460</v>
      </c>
      <c r="C1" s="2" t="s">
        <v>461</v>
      </c>
      <c r="D1" s="2" t="s">
        <v>462</v>
      </c>
    </row>
    <row r="2" spans="1:6">
      <c r="A2">
        <v>1</v>
      </c>
      <c r="B2">
        <v>10248</v>
      </c>
      <c r="C2">
        <v>11</v>
      </c>
      <c r="D2">
        <v>12</v>
      </c>
    </row>
    <row r="3" spans="1:6">
      <c r="A3">
        <v>2</v>
      </c>
      <c r="B3">
        <v>10248</v>
      </c>
      <c r="C3">
        <v>42</v>
      </c>
      <c r="D3">
        <v>10</v>
      </c>
    </row>
    <row r="4" spans="1:6">
      <c r="A4">
        <v>3</v>
      </c>
      <c r="B4">
        <v>10248</v>
      </c>
      <c r="C4">
        <v>72</v>
      </c>
      <c r="D4">
        <v>5</v>
      </c>
    </row>
    <row r="5" spans="1:6" ht="15.5">
      <c r="A5">
        <v>4</v>
      </c>
      <c r="B5">
        <v>10249</v>
      </c>
      <c r="C5">
        <v>14</v>
      </c>
      <c r="D5">
        <v>9</v>
      </c>
      <c r="F5" s="16"/>
    </row>
    <row r="6" spans="1:6">
      <c r="A6">
        <v>5</v>
      </c>
      <c r="B6">
        <v>10249</v>
      </c>
      <c r="C6">
        <v>51</v>
      </c>
      <c r="D6">
        <v>40</v>
      </c>
    </row>
    <row r="7" spans="1:6">
      <c r="A7">
        <v>6</v>
      </c>
      <c r="B7">
        <v>10250</v>
      </c>
      <c r="C7">
        <v>41</v>
      </c>
      <c r="D7">
        <v>10</v>
      </c>
    </row>
    <row r="8" spans="1:6">
      <c r="A8">
        <v>7</v>
      </c>
      <c r="B8">
        <v>10250</v>
      </c>
      <c r="C8">
        <v>51</v>
      </c>
      <c r="D8">
        <v>35</v>
      </c>
    </row>
    <row r="9" spans="1:6">
      <c r="A9">
        <v>8</v>
      </c>
      <c r="B9">
        <v>10250</v>
      </c>
      <c r="C9">
        <v>65</v>
      </c>
      <c r="D9">
        <v>15</v>
      </c>
    </row>
    <row r="10" spans="1:6">
      <c r="A10">
        <v>9</v>
      </c>
      <c r="B10">
        <v>10251</v>
      </c>
      <c r="C10">
        <v>22</v>
      </c>
      <c r="D10">
        <v>6</v>
      </c>
    </row>
    <row r="11" spans="1:6">
      <c r="A11">
        <v>10</v>
      </c>
      <c r="B11">
        <v>10251</v>
      </c>
      <c r="C11">
        <v>57</v>
      </c>
      <c r="D11">
        <v>15</v>
      </c>
    </row>
    <row r="12" spans="1:6">
      <c r="A12">
        <v>11</v>
      </c>
      <c r="B12">
        <v>10251</v>
      </c>
      <c r="C12">
        <v>65</v>
      </c>
      <c r="D12">
        <v>20</v>
      </c>
    </row>
    <row r="13" spans="1:6">
      <c r="A13">
        <v>12</v>
      </c>
      <c r="B13">
        <v>10252</v>
      </c>
      <c r="C13">
        <v>20</v>
      </c>
      <c r="D13">
        <v>40</v>
      </c>
    </row>
    <row r="14" spans="1:6">
      <c r="A14">
        <v>13</v>
      </c>
      <c r="B14">
        <v>10252</v>
      </c>
      <c r="C14">
        <v>33</v>
      </c>
      <c r="D14">
        <v>25</v>
      </c>
    </row>
    <row r="15" spans="1:6">
      <c r="A15">
        <v>14</v>
      </c>
      <c r="B15">
        <v>10252</v>
      </c>
      <c r="C15">
        <v>60</v>
      </c>
      <c r="D15">
        <v>40</v>
      </c>
    </row>
    <row r="16" spans="1:6">
      <c r="A16">
        <v>15</v>
      </c>
      <c r="B16">
        <v>10253</v>
      </c>
      <c r="C16">
        <v>31</v>
      </c>
      <c r="D16">
        <v>20</v>
      </c>
    </row>
    <row r="17" spans="1:4">
      <c r="A17">
        <v>16</v>
      </c>
      <c r="B17">
        <v>10253</v>
      </c>
      <c r="C17">
        <v>39</v>
      </c>
      <c r="D17">
        <v>42</v>
      </c>
    </row>
    <row r="18" spans="1:4">
      <c r="A18">
        <v>17</v>
      </c>
      <c r="B18">
        <v>10253</v>
      </c>
      <c r="C18">
        <v>49</v>
      </c>
      <c r="D18">
        <v>40</v>
      </c>
    </row>
    <row r="19" spans="1:4">
      <c r="A19">
        <v>18</v>
      </c>
      <c r="B19">
        <v>10254</v>
      </c>
      <c r="C19">
        <v>24</v>
      </c>
      <c r="D19">
        <v>15</v>
      </c>
    </row>
    <row r="20" spans="1:4">
      <c r="A20">
        <v>19</v>
      </c>
      <c r="B20">
        <v>10254</v>
      </c>
      <c r="C20">
        <v>55</v>
      </c>
      <c r="D20">
        <v>21</v>
      </c>
    </row>
    <row r="21" spans="1:4">
      <c r="A21">
        <v>20</v>
      </c>
      <c r="B21">
        <v>10254</v>
      </c>
      <c r="C21">
        <v>74</v>
      </c>
      <c r="D21">
        <v>21</v>
      </c>
    </row>
    <row r="22" spans="1:4">
      <c r="A22">
        <v>21</v>
      </c>
      <c r="B22">
        <v>10255</v>
      </c>
      <c r="C22">
        <v>2</v>
      </c>
      <c r="D22">
        <v>20</v>
      </c>
    </row>
    <row r="23" spans="1:4">
      <c r="A23">
        <v>22</v>
      </c>
      <c r="B23">
        <v>10255</v>
      </c>
      <c r="C23">
        <v>16</v>
      </c>
      <c r="D23">
        <v>35</v>
      </c>
    </row>
    <row r="24" spans="1:4">
      <c r="A24">
        <v>23</v>
      </c>
      <c r="B24">
        <v>10255</v>
      </c>
      <c r="C24">
        <v>36</v>
      </c>
      <c r="D24">
        <v>25</v>
      </c>
    </row>
    <row r="25" spans="1:4">
      <c r="A25">
        <v>24</v>
      </c>
      <c r="B25">
        <v>10255</v>
      </c>
      <c r="C25">
        <v>59</v>
      </c>
      <c r="D25">
        <v>30</v>
      </c>
    </row>
    <row r="26" spans="1:4">
      <c r="A26">
        <v>25</v>
      </c>
      <c r="B26">
        <v>10256</v>
      </c>
      <c r="C26">
        <v>53</v>
      </c>
      <c r="D26">
        <v>15</v>
      </c>
    </row>
    <row r="27" spans="1:4">
      <c r="A27">
        <v>26</v>
      </c>
      <c r="B27">
        <v>10256</v>
      </c>
      <c r="C27">
        <v>77</v>
      </c>
      <c r="D27">
        <v>12</v>
      </c>
    </row>
    <row r="28" spans="1:4">
      <c r="A28">
        <v>27</v>
      </c>
      <c r="B28">
        <v>10257</v>
      </c>
      <c r="C28">
        <v>27</v>
      </c>
      <c r="D28">
        <v>25</v>
      </c>
    </row>
    <row r="29" spans="1:4">
      <c r="A29">
        <v>28</v>
      </c>
      <c r="B29">
        <v>10257</v>
      </c>
      <c r="C29">
        <v>39</v>
      </c>
      <c r="D29">
        <v>6</v>
      </c>
    </row>
    <row r="30" spans="1:4">
      <c r="A30">
        <v>29</v>
      </c>
      <c r="B30">
        <v>10257</v>
      </c>
      <c r="C30">
        <v>77</v>
      </c>
      <c r="D30">
        <v>15</v>
      </c>
    </row>
    <row r="31" spans="1:4">
      <c r="A31">
        <v>30</v>
      </c>
      <c r="B31">
        <v>10258</v>
      </c>
      <c r="C31">
        <v>2</v>
      </c>
      <c r="D31">
        <v>50</v>
      </c>
    </row>
    <row r="32" spans="1:4">
      <c r="A32">
        <v>31</v>
      </c>
      <c r="B32">
        <v>10258</v>
      </c>
      <c r="C32">
        <v>5</v>
      </c>
      <c r="D32">
        <v>65</v>
      </c>
    </row>
    <row r="33" spans="1:4">
      <c r="A33">
        <v>32</v>
      </c>
      <c r="B33">
        <v>10258</v>
      </c>
      <c r="C33">
        <v>32</v>
      </c>
      <c r="D33">
        <v>6</v>
      </c>
    </row>
    <row r="34" spans="1:4">
      <c r="A34">
        <v>33</v>
      </c>
      <c r="B34">
        <v>10259</v>
      </c>
      <c r="C34">
        <v>21</v>
      </c>
      <c r="D34">
        <v>10</v>
      </c>
    </row>
    <row r="35" spans="1:4">
      <c r="A35">
        <v>34</v>
      </c>
      <c r="B35">
        <v>10259</v>
      </c>
      <c r="C35">
        <v>37</v>
      </c>
      <c r="D35">
        <v>1</v>
      </c>
    </row>
    <row r="36" spans="1:4">
      <c r="A36">
        <v>35</v>
      </c>
      <c r="B36">
        <v>10260</v>
      </c>
      <c r="C36">
        <v>41</v>
      </c>
      <c r="D36">
        <v>16</v>
      </c>
    </row>
    <row r="37" spans="1:4">
      <c r="A37">
        <v>36</v>
      </c>
      <c r="B37">
        <v>10260</v>
      </c>
      <c r="C37">
        <v>57</v>
      </c>
      <c r="D37">
        <v>50</v>
      </c>
    </row>
    <row r="38" spans="1:4">
      <c r="A38">
        <v>37</v>
      </c>
      <c r="B38">
        <v>10260</v>
      </c>
      <c r="C38">
        <v>62</v>
      </c>
      <c r="D38">
        <v>15</v>
      </c>
    </row>
    <row r="39" spans="1:4">
      <c r="A39">
        <v>38</v>
      </c>
      <c r="B39">
        <v>10260</v>
      </c>
      <c r="C39">
        <v>70</v>
      </c>
      <c r="D39">
        <v>21</v>
      </c>
    </row>
    <row r="40" spans="1:4">
      <c r="A40">
        <v>39</v>
      </c>
      <c r="B40">
        <v>10261</v>
      </c>
      <c r="C40">
        <v>21</v>
      </c>
      <c r="D40">
        <v>20</v>
      </c>
    </row>
    <row r="41" spans="1:4">
      <c r="A41">
        <v>40</v>
      </c>
      <c r="B41">
        <v>10261</v>
      </c>
      <c r="C41">
        <v>35</v>
      </c>
      <c r="D41">
        <v>20</v>
      </c>
    </row>
    <row r="42" spans="1:4">
      <c r="A42">
        <v>41</v>
      </c>
      <c r="B42">
        <v>10262</v>
      </c>
      <c r="C42">
        <v>5</v>
      </c>
      <c r="D42">
        <v>12</v>
      </c>
    </row>
    <row r="43" spans="1:4">
      <c r="A43">
        <v>42</v>
      </c>
      <c r="B43">
        <v>10262</v>
      </c>
      <c r="C43">
        <v>7</v>
      </c>
      <c r="D43">
        <v>15</v>
      </c>
    </row>
    <row r="44" spans="1:4">
      <c r="A44">
        <v>43</v>
      </c>
      <c r="B44">
        <v>10262</v>
      </c>
      <c r="C44">
        <v>56</v>
      </c>
      <c r="D44">
        <v>2</v>
      </c>
    </row>
    <row r="45" spans="1:4">
      <c r="A45">
        <v>44</v>
      </c>
      <c r="B45">
        <v>10263</v>
      </c>
      <c r="C45">
        <v>16</v>
      </c>
      <c r="D45">
        <v>60</v>
      </c>
    </row>
    <row r="46" spans="1:4">
      <c r="A46">
        <v>45</v>
      </c>
      <c r="B46">
        <v>10263</v>
      </c>
      <c r="C46">
        <v>24</v>
      </c>
      <c r="D46">
        <v>28</v>
      </c>
    </row>
    <row r="47" spans="1:4">
      <c r="A47">
        <v>46</v>
      </c>
      <c r="B47">
        <v>10263</v>
      </c>
      <c r="C47">
        <v>30</v>
      </c>
      <c r="D47">
        <v>60</v>
      </c>
    </row>
    <row r="48" spans="1:4">
      <c r="A48">
        <v>47</v>
      </c>
      <c r="B48">
        <v>10263</v>
      </c>
      <c r="C48">
        <v>74</v>
      </c>
      <c r="D48">
        <v>36</v>
      </c>
    </row>
    <row r="49" spans="1:4">
      <c r="A49">
        <v>48</v>
      </c>
      <c r="B49">
        <v>10264</v>
      </c>
      <c r="C49">
        <v>2</v>
      </c>
      <c r="D49">
        <v>35</v>
      </c>
    </row>
    <row r="50" spans="1:4">
      <c r="A50">
        <v>49</v>
      </c>
      <c r="B50">
        <v>10264</v>
      </c>
      <c r="C50">
        <v>41</v>
      </c>
      <c r="D50">
        <v>25</v>
      </c>
    </row>
    <row r="51" spans="1:4">
      <c r="A51">
        <v>50</v>
      </c>
      <c r="B51">
        <v>10265</v>
      </c>
      <c r="C51">
        <v>17</v>
      </c>
      <c r="D51">
        <v>30</v>
      </c>
    </row>
    <row r="52" spans="1:4">
      <c r="A52">
        <v>51</v>
      </c>
      <c r="B52">
        <v>10265</v>
      </c>
      <c r="C52">
        <v>70</v>
      </c>
      <c r="D52">
        <v>20</v>
      </c>
    </row>
    <row r="53" spans="1:4">
      <c r="A53">
        <v>52</v>
      </c>
      <c r="B53">
        <v>10266</v>
      </c>
      <c r="C53">
        <v>12</v>
      </c>
      <c r="D53">
        <v>12</v>
      </c>
    </row>
    <row r="54" spans="1:4">
      <c r="A54">
        <v>53</v>
      </c>
      <c r="B54">
        <v>10267</v>
      </c>
      <c r="C54">
        <v>40</v>
      </c>
      <c r="D54">
        <v>50</v>
      </c>
    </row>
    <row r="55" spans="1:4">
      <c r="A55">
        <v>54</v>
      </c>
      <c r="B55">
        <v>10267</v>
      </c>
      <c r="C55">
        <v>59</v>
      </c>
      <c r="D55">
        <v>70</v>
      </c>
    </row>
    <row r="56" spans="1:4">
      <c r="A56">
        <v>55</v>
      </c>
      <c r="B56">
        <v>10267</v>
      </c>
      <c r="C56">
        <v>76</v>
      </c>
      <c r="D56">
        <v>15</v>
      </c>
    </row>
    <row r="57" spans="1:4">
      <c r="A57">
        <v>56</v>
      </c>
      <c r="B57">
        <v>10268</v>
      </c>
      <c r="C57">
        <v>29</v>
      </c>
      <c r="D57">
        <v>10</v>
      </c>
    </row>
    <row r="58" spans="1:4">
      <c r="A58">
        <v>57</v>
      </c>
      <c r="B58">
        <v>10268</v>
      </c>
      <c r="C58">
        <v>72</v>
      </c>
      <c r="D58">
        <v>4</v>
      </c>
    </row>
    <row r="59" spans="1:4">
      <c r="A59">
        <v>58</v>
      </c>
      <c r="B59">
        <v>10269</v>
      </c>
      <c r="C59">
        <v>33</v>
      </c>
      <c r="D59">
        <v>60</v>
      </c>
    </row>
    <row r="60" spans="1:4">
      <c r="A60">
        <v>59</v>
      </c>
      <c r="B60">
        <v>10269</v>
      </c>
      <c r="C60">
        <v>72</v>
      </c>
      <c r="D60">
        <v>20</v>
      </c>
    </row>
    <row r="61" spans="1:4">
      <c r="A61">
        <v>60</v>
      </c>
      <c r="B61">
        <v>10270</v>
      </c>
      <c r="C61">
        <v>36</v>
      </c>
      <c r="D61">
        <v>30</v>
      </c>
    </row>
    <row r="62" spans="1:4">
      <c r="A62">
        <v>61</v>
      </c>
      <c r="B62">
        <v>10270</v>
      </c>
      <c r="C62">
        <v>43</v>
      </c>
      <c r="D62">
        <v>25</v>
      </c>
    </row>
    <row r="63" spans="1:4">
      <c r="A63">
        <v>62</v>
      </c>
      <c r="B63">
        <v>10271</v>
      </c>
      <c r="C63">
        <v>33</v>
      </c>
      <c r="D63">
        <v>24</v>
      </c>
    </row>
    <row r="64" spans="1:4">
      <c r="A64">
        <v>63</v>
      </c>
      <c r="B64">
        <v>10272</v>
      </c>
      <c r="C64">
        <v>20</v>
      </c>
      <c r="D64">
        <v>6</v>
      </c>
    </row>
    <row r="65" spans="1:4">
      <c r="A65">
        <v>64</v>
      </c>
      <c r="B65">
        <v>10272</v>
      </c>
      <c r="C65">
        <v>31</v>
      </c>
      <c r="D65">
        <v>40</v>
      </c>
    </row>
    <row r="66" spans="1:4">
      <c r="A66">
        <v>65</v>
      </c>
      <c r="B66">
        <v>10272</v>
      </c>
      <c r="C66">
        <v>72</v>
      </c>
      <c r="D66">
        <v>24</v>
      </c>
    </row>
    <row r="67" spans="1:4">
      <c r="A67">
        <v>66</v>
      </c>
      <c r="B67">
        <v>10273</v>
      </c>
      <c r="C67">
        <v>10</v>
      </c>
      <c r="D67">
        <v>24</v>
      </c>
    </row>
    <row r="68" spans="1:4">
      <c r="A68">
        <v>67</v>
      </c>
      <c r="B68">
        <v>10273</v>
      </c>
      <c r="C68">
        <v>31</v>
      </c>
      <c r="D68">
        <v>15</v>
      </c>
    </row>
    <row r="69" spans="1:4">
      <c r="A69">
        <v>68</v>
      </c>
      <c r="B69">
        <v>10273</v>
      </c>
      <c r="C69">
        <v>33</v>
      </c>
      <c r="D69">
        <v>20</v>
      </c>
    </row>
    <row r="70" spans="1:4">
      <c r="A70">
        <v>69</v>
      </c>
      <c r="B70">
        <v>10273</v>
      </c>
      <c r="C70">
        <v>40</v>
      </c>
      <c r="D70">
        <v>60</v>
      </c>
    </row>
    <row r="71" spans="1:4">
      <c r="A71">
        <v>70</v>
      </c>
      <c r="B71">
        <v>10273</v>
      </c>
      <c r="C71">
        <v>76</v>
      </c>
      <c r="D71">
        <v>33</v>
      </c>
    </row>
    <row r="72" spans="1:4">
      <c r="A72">
        <v>71</v>
      </c>
      <c r="B72">
        <v>10274</v>
      </c>
      <c r="C72">
        <v>71</v>
      </c>
      <c r="D72">
        <v>20</v>
      </c>
    </row>
    <row r="73" spans="1:4">
      <c r="A73">
        <v>72</v>
      </c>
      <c r="B73">
        <v>10274</v>
      </c>
      <c r="C73">
        <v>72</v>
      </c>
      <c r="D73">
        <v>7</v>
      </c>
    </row>
    <row r="74" spans="1:4">
      <c r="A74">
        <v>73</v>
      </c>
      <c r="B74">
        <v>10275</v>
      </c>
      <c r="C74">
        <v>24</v>
      </c>
      <c r="D74">
        <v>12</v>
      </c>
    </row>
    <row r="75" spans="1:4">
      <c r="A75">
        <v>74</v>
      </c>
      <c r="B75">
        <v>10275</v>
      </c>
      <c r="C75">
        <v>59</v>
      </c>
      <c r="D75">
        <v>6</v>
      </c>
    </row>
    <row r="76" spans="1:4">
      <c r="A76">
        <v>75</v>
      </c>
      <c r="B76">
        <v>10276</v>
      </c>
      <c r="C76">
        <v>10</v>
      </c>
      <c r="D76">
        <v>15</v>
      </c>
    </row>
    <row r="77" spans="1:4">
      <c r="A77">
        <v>76</v>
      </c>
      <c r="B77">
        <v>10276</v>
      </c>
      <c r="C77">
        <v>13</v>
      </c>
      <c r="D77">
        <v>10</v>
      </c>
    </row>
    <row r="78" spans="1:4">
      <c r="A78">
        <v>77</v>
      </c>
      <c r="B78">
        <v>10277</v>
      </c>
      <c r="C78">
        <v>28</v>
      </c>
      <c r="D78">
        <v>20</v>
      </c>
    </row>
    <row r="79" spans="1:4">
      <c r="A79">
        <v>78</v>
      </c>
      <c r="B79">
        <v>10277</v>
      </c>
      <c r="C79">
        <v>62</v>
      </c>
      <c r="D79">
        <v>12</v>
      </c>
    </row>
    <row r="80" spans="1:4">
      <c r="A80">
        <v>79</v>
      </c>
      <c r="B80">
        <v>10278</v>
      </c>
      <c r="C80">
        <v>44</v>
      </c>
      <c r="D80">
        <v>16</v>
      </c>
    </row>
    <row r="81" spans="1:4">
      <c r="A81">
        <v>80</v>
      </c>
      <c r="B81">
        <v>10278</v>
      </c>
      <c r="C81">
        <v>59</v>
      </c>
      <c r="D81">
        <v>15</v>
      </c>
    </row>
    <row r="82" spans="1:4">
      <c r="A82">
        <v>81</v>
      </c>
      <c r="B82">
        <v>10278</v>
      </c>
      <c r="C82">
        <v>63</v>
      </c>
      <c r="D82">
        <v>8</v>
      </c>
    </row>
    <row r="83" spans="1:4">
      <c r="A83">
        <v>82</v>
      </c>
      <c r="B83">
        <v>10278</v>
      </c>
      <c r="C83">
        <v>73</v>
      </c>
      <c r="D83">
        <v>25</v>
      </c>
    </row>
    <row r="84" spans="1:4">
      <c r="A84">
        <v>83</v>
      </c>
      <c r="B84">
        <v>10279</v>
      </c>
      <c r="C84">
        <v>17</v>
      </c>
      <c r="D84">
        <v>15</v>
      </c>
    </row>
    <row r="85" spans="1:4">
      <c r="A85">
        <v>84</v>
      </c>
      <c r="B85">
        <v>10280</v>
      </c>
      <c r="C85">
        <v>24</v>
      </c>
      <c r="D85">
        <v>12</v>
      </c>
    </row>
    <row r="86" spans="1:4">
      <c r="A86">
        <v>85</v>
      </c>
      <c r="B86">
        <v>10280</v>
      </c>
      <c r="C86">
        <v>55</v>
      </c>
      <c r="D86">
        <v>20</v>
      </c>
    </row>
    <row r="87" spans="1:4">
      <c r="A87">
        <v>86</v>
      </c>
      <c r="B87">
        <v>10280</v>
      </c>
      <c r="C87">
        <v>75</v>
      </c>
      <c r="D87">
        <v>30</v>
      </c>
    </row>
    <row r="88" spans="1:4">
      <c r="A88">
        <v>87</v>
      </c>
      <c r="B88">
        <v>10281</v>
      </c>
      <c r="C88">
        <v>19</v>
      </c>
      <c r="D88">
        <v>1</v>
      </c>
    </row>
    <row r="89" spans="1:4">
      <c r="A89">
        <v>88</v>
      </c>
      <c r="B89">
        <v>10281</v>
      </c>
      <c r="C89">
        <v>24</v>
      </c>
      <c r="D89">
        <v>6</v>
      </c>
    </row>
    <row r="90" spans="1:4">
      <c r="A90">
        <v>89</v>
      </c>
      <c r="B90">
        <v>10281</v>
      </c>
      <c r="C90">
        <v>35</v>
      </c>
      <c r="D90">
        <v>4</v>
      </c>
    </row>
    <row r="91" spans="1:4">
      <c r="A91">
        <v>90</v>
      </c>
      <c r="B91">
        <v>10282</v>
      </c>
      <c r="C91">
        <v>30</v>
      </c>
      <c r="D91">
        <v>6</v>
      </c>
    </row>
    <row r="92" spans="1:4">
      <c r="A92">
        <v>91</v>
      </c>
      <c r="B92">
        <v>10282</v>
      </c>
      <c r="C92">
        <v>57</v>
      </c>
      <c r="D92">
        <v>2</v>
      </c>
    </row>
    <row r="93" spans="1:4">
      <c r="A93">
        <v>92</v>
      </c>
      <c r="B93">
        <v>10283</v>
      </c>
      <c r="C93">
        <v>15</v>
      </c>
      <c r="D93">
        <v>20</v>
      </c>
    </row>
    <row r="94" spans="1:4">
      <c r="A94">
        <v>93</v>
      </c>
      <c r="B94">
        <v>10283</v>
      </c>
      <c r="C94">
        <v>19</v>
      </c>
      <c r="D94">
        <v>18</v>
      </c>
    </row>
    <row r="95" spans="1:4">
      <c r="A95">
        <v>94</v>
      </c>
      <c r="B95">
        <v>10283</v>
      </c>
      <c r="C95">
        <v>60</v>
      </c>
      <c r="D95">
        <v>35</v>
      </c>
    </row>
    <row r="96" spans="1:4">
      <c r="A96">
        <v>95</v>
      </c>
      <c r="B96">
        <v>10283</v>
      </c>
      <c r="C96">
        <v>72</v>
      </c>
      <c r="D96">
        <v>3</v>
      </c>
    </row>
    <row r="97" spans="1:4">
      <c r="A97">
        <v>96</v>
      </c>
      <c r="B97">
        <v>10284</v>
      </c>
      <c r="C97">
        <v>27</v>
      </c>
      <c r="D97">
        <v>15</v>
      </c>
    </row>
    <row r="98" spans="1:4">
      <c r="A98">
        <v>97</v>
      </c>
      <c r="B98">
        <v>10284</v>
      </c>
      <c r="C98">
        <v>44</v>
      </c>
      <c r="D98">
        <v>21</v>
      </c>
    </row>
    <row r="99" spans="1:4">
      <c r="A99">
        <v>98</v>
      </c>
      <c r="B99">
        <v>10284</v>
      </c>
      <c r="C99">
        <v>60</v>
      </c>
      <c r="D99">
        <v>20</v>
      </c>
    </row>
    <row r="100" spans="1:4">
      <c r="A100">
        <v>99</v>
      </c>
      <c r="B100">
        <v>10284</v>
      </c>
      <c r="C100">
        <v>67</v>
      </c>
      <c r="D100">
        <v>5</v>
      </c>
    </row>
    <row r="101" spans="1:4">
      <c r="A101">
        <v>100</v>
      </c>
      <c r="B101">
        <v>10285</v>
      </c>
      <c r="C101">
        <v>1</v>
      </c>
      <c r="D101">
        <v>45</v>
      </c>
    </row>
    <row r="102" spans="1:4">
      <c r="A102">
        <v>101</v>
      </c>
      <c r="B102">
        <v>10285</v>
      </c>
      <c r="C102">
        <v>40</v>
      </c>
      <c r="D102">
        <v>40</v>
      </c>
    </row>
    <row r="103" spans="1:4">
      <c r="A103">
        <v>102</v>
      </c>
      <c r="B103">
        <v>10285</v>
      </c>
      <c r="C103">
        <v>53</v>
      </c>
      <c r="D103">
        <v>36</v>
      </c>
    </row>
    <row r="104" spans="1:4">
      <c r="A104">
        <v>103</v>
      </c>
      <c r="B104">
        <v>10286</v>
      </c>
      <c r="C104">
        <v>35</v>
      </c>
      <c r="D104">
        <v>100</v>
      </c>
    </row>
    <row r="105" spans="1:4">
      <c r="A105">
        <v>104</v>
      </c>
      <c r="B105">
        <v>10286</v>
      </c>
      <c r="C105">
        <v>62</v>
      </c>
      <c r="D105">
        <v>40</v>
      </c>
    </row>
    <row r="106" spans="1:4">
      <c r="A106">
        <v>105</v>
      </c>
      <c r="B106">
        <v>10287</v>
      </c>
      <c r="C106">
        <v>16</v>
      </c>
      <c r="D106">
        <v>40</v>
      </c>
    </row>
    <row r="107" spans="1:4">
      <c r="A107">
        <v>106</v>
      </c>
      <c r="B107">
        <v>10287</v>
      </c>
      <c r="C107">
        <v>34</v>
      </c>
      <c r="D107">
        <v>20</v>
      </c>
    </row>
    <row r="108" spans="1:4">
      <c r="A108">
        <v>107</v>
      </c>
      <c r="B108">
        <v>10287</v>
      </c>
      <c r="C108">
        <v>46</v>
      </c>
      <c r="D108">
        <v>15</v>
      </c>
    </row>
    <row r="109" spans="1:4">
      <c r="A109">
        <v>108</v>
      </c>
      <c r="B109">
        <v>10288</v>
      </c>
      <c r="C109">
        <v>54</v>
      </c>
      <c r="D109">
        <v>10</v>
      </c>
    </row>
    <row r="110" spans="1:4">
      <c r="A110">
        <v>109</v>
      </c>
      <c r="B110">
        <v>10288</v>
      </c>
      <c r="C110">
        <v>68</v>
      </c>
      <c r="D110">
        <v>3</v>
      </c>
    </row>
    <row r="111" spans="1:4">
      <c r="A111">
        <v>110</v>
      </c>
      <c r="B111">
        <v>10289</v>
      </c>
      <c r="C111">
        <v>3</v>
      </c>
      <c r="D111">
        <v>30</v>
      </c>
    </row>
    <row r="112" spans="1:4">
      <c r="A112">
        <v>111</v>
      </c>
      <c r="B112">
        <v>10289</v>
      </c>
      <c r="C112">
        <v>64</v>
      </c>
      <c r="D112">
        <v>9</v>
      </c>
    </row>
    <row r="113" spans="1:4">
      <c r="A113">
        <v>112</v>
      </c>
      <c r="B113">
        <v>10290</v>
      </c>
      <c r="C113">
        <v>5</v>
      </c>
      <c r="D113">
        <v>20</v>
      </c>
    </row>
    <row r="114" spans="1:4">
      <c r="A114">
        <v>113</v>
      </c>
      <c r="B114">
        <v>10290</v>
      </c>
      <c r="C114">
        <v>29</v>
      </c>
      <c r="D114">
        <v>15</v>
      </c>
    </row>
    <row r="115" spans="1:4">
      <c r="A115">
        <v>114</v>
      </c>
      <c r="B115">
        <v>10290</v>
      </c>
      <c r="C115">
        <v>49</v>
      </c>
      <c r="D115">
        <v>15</v>
      </c>
    </row>
    <row r="116" spans="1:4">
      <c r="A116">
        <v>115</v>
      </c>
      <c r="B116">
        <v>10290</v>
      </c>
      <c r="C116">
        <v>77</v>
      </c>
      <c r="D116">
        <v>10</v>
      </c>
    </row>
    <row r="117" spans="1:4">
      <c r="A117">
        <v>116</v>
      </c>
      <c r="B117">
        <v>10291</v>
      </c>
      <c r="C117">
        <v>13</v>
      </c>
      <c r="D117">
        <v>20</v>
      </c>
    </row>
    <row r="118" spans="1:4">
      <c r="A118">
        <v>117</v>
      </c>
      <c r="B118">
        <v>10291</v>
      </c>
      <c r="C118">
        <v>44</v>
      </c>
      <c r="D118">
        <v>24</v>
      </c>
    </row>
    <row r="119" spans="1:4">
      <c r="A119">
        <v>118</v>
      </c>
      <c r="B119">
        <v>10291</v>
      </c>
      <c r="C119">
        <v>51</v>
      </c>
      <c r="D119">
        <v>2</v>
      </c>
    </row>
    <row r="120" spans="1:4">
      <c r="A120">
        <v>119</v>
      </c>
      <c r="B120">
        <v>10292</v>
      </c>
      <c r="C120">
        <v>20</v>
      </c>
      <c r="D120">
        <v>20</v>
      </c>
    </row>
    <row r="121" spans="1:4">
      <c r="A121">
        <v>120</v>
      </c>
      <c r="B121">
        <v>10293</v>
      </c>
      <c r="C121">
        <v>18</v>
      </c>
      <c r="D121">
        <v>12</v>
      </c>
    </row>
    <row r="122" spans="1:4">
      <c r="A122">
        <v>121</v>
      </c>
      <c r="B122">
        <v>10293</v>
      </c>
      <c r="C122">
        <v>24</v>
      </c>
      <c r="D122">
        <v>10</v>
      </c>
    </row>
    <row r="123" spans="1:4">
      <c r="A123">
        <v>122</v>
      </c>
      <c r="B123">
        <v>10293</v>
      </c>
      <c r="C123">
        <v>63</v>
      </c>
      <c r="D123">
        <v>5</v>
      </c>
    </row>
    <row r="124" spans="1:4">
      <c r="A124">
        <v>123</v>
      </c>
      <c r="B124">
        <v>10293</v>
      </c>
      <c r="C124">
        <v>75</v>
      </c>
      <c r="D124">
        <v>6</v>
      </c>
    </row>
    <row r="125" spans="1:4">
      <c r="A125">
        <v>124</v>
      </c>
      <c r="B125">
        <v>10294</v>
      </c>
      <c r="C125">
        <v>1</v>
      </c>
      <c r="D125">
        <v>18</v>
      </c>
    </row>
    <row r="126" spans="1:4">
      <c r="A126">
        <v>125</v>
      </c>
      <c r="B126">
        <v>10294</v>
      </c>
      <c r="C126">
        <v>17</v>
      </c>
      <c r="D126">
        <v>15</v>
      </c>
    </row>
    <row r="127" spans="1:4">
      <c r="A127">
        <v>126</v>
      </c>
      <c r="B127">
        <v>10294</v>
      </c>
      <c r="C127">
        <v>43</v>
      </c>
      <c r="D127">
        <v>15</v>
      </c>
    </row>
    <row r="128" spans="1:4">
      <c r="A128">
        <v>127</v>
      </c>
      <c r="B128">
        <v>10294</v>
      </c>
      <c r="C128">
        <v>60</v>
      </c>
      <c r="D128">
        <v>21</v>
      </c>
    </row>
    <row r="129" spans="1:4">
      <c r="A129">
        <v>128</v>
      </c>
      <c r="B129">
        <v>10294</v>
      </c>
      <c r="C129">
        <v>75</v>
      </c>
      <c r="D129">
        <v>6</v>
      </c>
    </row>
    <row r="130" spans="1:4">
      <c r="A130">
        <v>129</v>
      </c>
      <c r="B130">
        <v>10295</v>
      </c>
      <c r="C130">
        <v>56</v>
      </c>
      <c r="D130">
        <v>4</v>
      </c>
    </row>
    <row r="131" spans="1:4">
      <c r="A131">
        <v>130</v>
      </c>
      <c r="B131">
        <v>10296</v>
      </c>
      <c r="C131">
        <v>11</v>
      </c>
      <c r="D131">
        <v>12</v>
      </c>
    </row>
    <row r="132" spans="1:4">
      <c r="A132">
        <v>131</v>
      </c>
      <c r="B132">
        <v>10296</v>
      </c>
      <c r="C132">
        <v>16</v>
      </c>
      <c r="D132">
        <v>30</v>
      </c>
    </row>
    <row r="133" spans="1:4">
      <c r="A133">
        <v>132</v>
      </c>
      <c r="B133">
        <v>10296</v>
      </c>
      <c r="C133">
        <v>69</v>
      </c>
      <c r="D133">
        <v>15</v>
      </c>
    </row>
    <row r="134" spans="1:4">
      <c r="A134">
        <v>133</v>
      </c>
      <c r="B134">
        <v>10297</v>
      </c>
      <c r="C134">
        <v>39</v>
      </c>
      <c r="D134">
        <v>60</v>
      </c>
    </row>
    <row r="135" spans="1:4">
      <c r="A135">
        <v>134</v>
      </c>
      <c r="B135">
        <v>10297</v>
      </c>
      <c r="C135">
        <v>72</v>
      </c>
      <c r="D135">
        <v>20</v>
      </c>
    </row>
    <row r="136" spans="1:4">
      <c r="A136">
        <v>135</v>
      </c>
      <c r="B136">
        <v>10298</v>
      </c>
      <c r="C136">
        <v>2</v>
      </c>
      <c r="D136">
        <v>40</v>
      </c>
    </row>
    <row r="137" spans="1:4">
      <c r="A137">
        <v>136</v>
      </c>
      <c r="B137">
        <v>10298</v>
      </c>
      <c r="C137">
        <v>36</v>
      </c>
      <c r="D137">
        <v>40</v>
      </c>
    </row>
    <row r="138" spans="1:4">
      <c r="A138">
        <v>137</v>
      </c>
      <c r="B138">
        <v>10298</v>
      </c>
      <c r="C138">
        <v>59</v>
      </c>
      <c r="D138">
        <v>30</v>
      </c>
    </row>
    <row r="139" spans="1:4">
      <c r="A139">
        <v>138</v>
      </c>
      <c r="B139">
        <v>10298</v>
      </c>
      <c r="C139">
        <v>62</v>
      </c>
      <c r="D139">
        <v>15</v>
      </c>
    </row>
    <row r="140" spans="1:4">
      <c r="A140">
        <v>139</v>
      </c>
      <c r="B140">
        <v>10299</v>
      </c>
      <c r="C140">
        <v>19</v>
      </c>
      <c r="D140">
        <v>15</v>
      </c>
    </row>
    <row r="141" spans="1:4">
      <c r="A141">
        <v>140</v>
      </c>
      <c r="B141">
        <v>10299</v>
      </c>
      <c r="C141">
        <v>70</v>
      </c>
      <c r="D141">
        <v>20</v>
      </c>
    </row>
    <row r="142" spans="1:4">
      <c r="A142">
        <v>141</v>
      </c>
      <c r="B142">
        <v>10300</v>
      </c>
      <c r="C142">
        <v>66</v>
      </c>
      <c r="D142">
        <v>30</v>
      </c>
    </row>
    <row r="143" spans="1:4">
      <c r="A143">
        <v>142</v>
      </c>
      <c r="B143">
        <v>10300</v>
      </c>
      <c r="C143">
        <v>68</v>
      </c>
      <c r="D143">
        <v>20</v>
      </c>
    </row>
    <row r="144" spans="1:4">
      <c r="A144">
        <v>143</v>
      </c>
      <c r="B144">
        <v>10301</v>
      </c>
      <c r="C144">
        <v>40</v>
      </c>
      <c r="D144">
        <v>10</v>
      </c>
    </row>
    <row r="145" spans="1:4">
      <c r="A145">
        <v>144</v>
      </c>
      <c r="B145">
        <v>10301</v>
      </c>
      <c r="C145">
        <v>56</v>
      </c>
      <c r="D145">
        <v>20</v>
      </c>
    </row>
    <row r="146" spans="1:4">
      <c r="A146">
        <v>145</v>
      </c>
      <c r="B146">
        <v>10302</v>
      </c>
      <c r="C146">
        <v>17</v>
      </c>
      <c r="D146">
        <v>40</v>
      </c>
    </row>
    <row r="147" spans="1:4">
      <c r="A147">
        <v>146</v>
      </c>
      <c r="B147">
        <v>10302</v>
      </c>
      <c r="C147">
        <v>28</v>
      </c>
      <c r="D147">
        <v>28</v>
      </c>
    </row>
    <row r="148" spans="1:4">
      <c r="A148">
        <v>147</v>
      </c>
      <c r="B148">
        <v>10302</v>
      </c>
      <c r="C148">
        <v>43</v>
      </c>
      <c r="D148">
        <v>12</v>
      </c>
    </row>
    <row r="149" spans="1:4">
      <c r="A149">
        <v>148</v>
      </c>
      <c r="B149">
        <v>10303</v>
      </c>
      <c r="C149">
        <v>40</v>
      </c>
      <c r="D149">
        <v>40</v>
      </c>
    </row>
    <row r="150" spans="1:4">
      <c r="A150">
        <v>149</v>
      </c>
      <c r="B150">
        <v>10303</v>
      </c>
      <c r="C150">
        <v>65</v>
      </c>
      <c r="D150">
        <v>30</v>
      </c>
    </row>
    <row r="151" spans="1:4">
      <c r="A151">
        <v>150</v>
      </c>
      <c r="B151">
        <v>10303</v>
      </c>
      <c r="C151">
        <v>68</v>
      </c>
      <c r="D151">
        <v>15</v>
      </c>
    </row>
    <row r="152" spans="1:4">
      <c r="A152">
        <v>151</v>
      </c>
      <c r="B152">
        <v>10304</v>
      </c>
      <c r="C152">
        <v>49</v>
      </c>
      <c r="D152">
        <v>30</v>
      </c>
    </row>
    <row r="153" spans="1:4">
      <c r="A153">
        <v>152</v>
      </c>
      <c r="B153">
        <v>10304</v>
      </c>
      <c r="C153">
        <v>59</v>
      </c>
      <c r="D153">
        <v>10</v>
      </c>
    </row>
    <row r="154" spans="1:4">
      <c r="A154">
        <v>153</v>
      </c>
      <c r="B154">
        <v>10304</v>
      </c>
      <c r="C154">
        <v>71</v>
      </c>
      <c r="D154">
        <v>2</v>
      </c>
    </row>
    <row r="155" spans="1:4">
      <c r="A155">
        <v>154</v>
      </c>
      <c r="B155">
        <v>10305</v>
      </c>
      <c r="C155">
        <v>18</v>
      </c>
      <c r="D155">
        <v>25</v>
      </c>
    </row>
    <row r="156" spans="1:4">
      <c r="A156">
        <v>155</v>
      </c>
      <c r="B156">
        <v>10305</v>
      </c>
      <c r="C156">
        <v>29</v>
      </c>
      <c r="D156">
        <v>25</v>
      </c>
    </row>
    <row r="157" spans="1:4">
      <c r="A157">
        <v>156</v>
      </c>
      <c r="B157">
        <v>10305</v>
      </c>
      <c r="C157">
        <v>39</v>
      </c>
      <c r="D157">
        <v>30</v>
      </c>
    </row>
    <row r="158" spans="1:4">
      <c r="A158">
        <v>157</v>
      </c>
      <c r="B158">
        <v>10306</v>
      </c>
      <c r="C158">
        <v>30</v>
      </c>
      <c r="D158">
        <v>10</v>
      </c>
    </row>
    <row r="159" spans="1:4">
      <c r="A159">
        <v>158</v>
      </c>
      <c r="B159">
        <v>10306</v>
      </c>
      <c r="C159">
        <v>53</v>
      </c>
      <c r="D159">
        <v>10</v>
      </c>
    </row>
    <row r="160" spans="1:4">
      <c r="A160">
        <v>159</v>
      </c>
      <c r="B160">
        <v>10306</v>
      </c>
      <c r="C160">
        <v>54</v>
      </c>
      <c r="D160">
        <v>5</v>
      </c>
    </row>
    <row r="161" spans="1:4">
      <c r="A161">
        <v>160</v>
      </c>
      <c r="B161">
        <v>10307</v>
      </c>
      <c r="C161">
        <v>62</v>
      </c>
      <c r="D161">
        <v>10</v>
      </c>
    </row>
    <row r="162" spans="1:4">
      <c r="A162">
        <v>161</v>
      </c>
      <c r="B162">
        <v>10307</v>
      </c>
      <c r="C162">
        <v>68</v>
      </c>
      <c r="D162">
        <v>3</v>
      </c>
    </row>
    <row r="163" spans="1:4">
      <c r="A163">
        <v>162</v>
      </c>
      <c r="B163">
        <v>10308</v>
      </c>
      <c r="C163">
        <v>69</v>
      </c>
      <c r="D163">
        <v>1</v>
      </c>
    </row>
    <row r="164" spans="1:4">
      <c r="A164">
        <v>163</v>
      </c>
      <c r="B164">
        <v>10308</v>
      </c>
      <c r="C164">
        <v>70</v>
      </c>
      <c r="D164">
        <v>5</v>
      </c>
    </row>
    <row r="165" spans="1:4">
      <c r="A165">
        <v>164</v>
      </c>
      <c r="B165">
        <v>10309</v>
      </c>
      <c r="C165">
        <v>4</v>
      </c>
      <c r="D165">
        <v>20</v>
      </c>
    </row>
    <row r="166" spans="1:4">
      <c r="A166">
        <v>165</v>
      </c>
      <c r="B166">
        <v>10309</v>
      </c>
      <c r="C166">
        <v>6</v>
      </c>
      <c r="D166">
        <v>30</v>
      </c>
    </row>
    <row r="167" spans="1:4">
      <c r="A167">
        <v>166</v>
      </c>
      <c r="B167">
        <v>10309</v>
      </c>
      <c r="C167">
        <v>42</v>
      </c>
      <c r="D167">
        <v>2</v>
      </c>
    </row>
    <row r="168" spans="1:4">
      <c r="A168">
        <v>167</v>
      </c>
      <c r="B168">
        <v>10309</v>
      </c>
      <c r="C168">
        <v>43</v>
      </c>
      <c r="D168">
        <v>20</v>
      </c>
    </row>
    <row r="169" spans="1:4">
      <c r="A169">
        <v>168</v>
      </c>
      <c r="B169">
        <v>10309</v>
      </c>
      <c r="C169">
        <v>71</v>
      </c>
      <c r="D169">
        <v>3</v>
      </c>
    </row>
    <row r="170" spans="1:4">
      <c r="A170">
        <v>169</v>
      </c>
      <c r="B170">
        <v>10310</v>
      </c>
      <c r="C170">
        <v>16</v>
      </c>
      <c r="D170">
        <v>10</v>
      </c>
    </row>
    <row r="171" spans="1:4">
      <c r="A171">
        <v>170</v>
      </c>
      <c r="B171">
        <v>10310</v>
      </c>
      <c r="C171">
        <v>62</v>
      </c>
      <c r="D171">
        <v>5</v>
      </c>
    </row>
    <row r="172" spans="1:4">
      <c r="A172">
        <v>171</v>
      </c>
      <c r="B172">
        <v>10311</v>
      </c>
      <c r="C172">
        <v>42</v>
      </c>
      <c r="D172">
        <v>6</v>
      </c>
    </row>
    <row r="173" spans="1:4">
      <c r="A173">
        <v>172</v>
      </c>
      <c r="B173">
        <v>10311</v>
      </c>
      <c r="C173">
        <v>69</v>
      </c>
      <c r="D173">
        <v>7</v>
      </c>
    </row>
    <row r="174" spans="1:4">
      <c r="A174">
        <v>173</v>
      </c>
      <c r="B174">
        <v>10312</v>
      </c>
      <c r="C174">
        <v>28</v>
      </c>
      <c r="D174">
        <v>4</v>
      </c>
    </row>
    <row r="175" spans="1:4">
      <c r="A175">
        <v>174</v>
      </c>
      <c r="B175">
        <v>10312</v>
      </c>
      <c r="C175">
        <v>43</v>
      </c>
      <c r="D175">
        <v>24</v>
      </c>
    </row>
    <row r="176" spans="1:4">
      <c r="A176">
        <v>175</v>
      </c>
      <c r="B176">
        <v>10312</v>
      </c>
      <c r="C176">
        <v>53</v>
      </c>
      <c r="D176">
        <v>20</v>
      </c>
    </row>
    <row r="177" spans="1:4">
      <c r="A177">
        <v>176</v>
      </c>
      <c r="B177">
        <v>10312</v>
      </c>
      <c r="C177">
        <v>75</v>
      </c>
      <c r="D177">
        <v>10</v>
      </c>
    </row>
    <row r="178" spans="1:4">
      <c r="A178">
        <v>177</v>
      </c>
      <c r="B178">
        <v>10313</v>
      </c>
      <c r="C178">
        <v>36</v>
      </c>
      <c r="D178">
        <v>12</v>
      </c>
    </row>
    <row r="179" spans="1:4">
      <c r="A179">
        <v>178</v>
      </c>
      <c r="B179">
        <v>10314</v>
      </c>
      <c r="C179">
        <v>32</v>
      </c>
      <c r="D179">
        <v>40</v>
      </c>
    </row>
    <row r="180" spans="1:4">
      <c r="A180">
        <v>179</v>
      </c>
      <c r="B180">
        <v>10314</v>
      </c>
      <c r="C180">
        <v>58</v>
      </c>
      <c r="D180">
        <v>30</v>
      </c>
    </row>
    <row r="181" spans="1:4">
      <c r="A181">
        <v>180</v>
      </c>
      <c r="B181">
        <v>10314</v>
      </c>
      <c r="C181">
        <v>62</v>
      </c>
      <c r="D181">
        <v>25</v>
      </c>
    </row>
    <row r="182" spans="1:4">
      <c r="A182">
        <v>181</v>
      </c>
      <c r="B182">
        <v>10315</v>
      </c>
      <c r="C182">
        <v>34</v>
      </c>
      <c r="D182">
        <v>14</v>
      </c>
    </row>
    <row r="183" spans="1:4">
      <c r="A183">
        <v>182</v>
      </c>
      <c r="B183">
        <v>10315</v>
      </c>
      <c r="C183">
        <v>70</v>
      </c>
      <c r="D183">
        <v>30</v>
      </c>
    </row>
    <row r="184" spans="1:4">
      <c r="A184">
        <v>183</v>
      </c>
      <c r="B184">
        <v>10316</v>
      </c>
      <c r="C184">
        <v>41</v>
      </c>
      <c r="D184">
        <v>10</v>
      </c>
    </row>
    <row r="185" spans="1:4">
      <c r="A185">
        <v>184</v>
      </c>
      <c r="B185">
        <v>10316</v>
      </c>
      <c r="C185">
        <v>62</v>
      </c>
      <c r="D185">
        <v>70</v>
      </c>
    </row>
    <row r="186" spans="1:4">
      <c r="A186">
        <v>185</v>
      </c>
      <c r="B186">
        <v>10317</v>
      </c>
      <c r="C186">
        <v>1</v>
      </c>
      <c r="D186">
        <v>20</v>
      </c>
    </row>
    <row r="187" spans="1:4">
      <c r="A187">
        <v>186</v>
      </c>
      <c r="B187">
        <v>10318</v>
      </c>
      <c r="C187">
        <v>41</v>
      </c>
      <c r="D187">
        <v>20</v>
      </c>
    </row>
    <row r="188" spans="1:4">
      <c r="A188">
        <v>187</v>
      </c>
      <c r="B188">
        <v>10318</v>
      </c>
      <c r="C188">
        <v>76</v>
      </c>
      <c r="D188">
        <v>6</v>
      </c>
    </row>
    <row r="189" spans="1:4">
      <c r="A189">
        <v>188</v>
      </c>
      <c r="B189">
        <v>10319</v>
      </c>
      <c r="C189">
        <v>17</v>
      </c>
      <c r="D189">
        <v>8</v>
      </c>
    </row>
    <row r="190" spans="1:4">
      <c r="A190">
        <v>189</v>
      </c>
      <c r="B190">
        <v>10319</v>
      </c>
      <c r="C190">
        <v>28</v>
      </c>
      <c r="D190">
        <v>14</v>
      </c>
    </row>
    <row r="191" spans="1:4">
      <c r="A191">
        <v>190</v>
      </c>
      <c r="B191">
        <v>10319</v>
      </c>
      <c r="C191">
        <v>76</v>
      </c>
      <c r="D191">
        <v>30</v>
      </c>
    </row>
    <row r="192" spans="1:4">
      <c r="A192">
        <v>191</v>
      </c>
      <c r="B192">
        <v>10320</v>
      </c>
      <c r="C192">
        <v>71</v>
      </c>
      <c r="D192">
        <v>30</v>
      </c>
    </row>
    <row r="193" spans="1:4">
      <c r="A193">
        <v>192</v>
      </c>
      <c r="B193">
        <v>10321</v>
      </c>
      <c r="C193">
        <v>35</v>
      </c>
      <c r="D193">
        <v>10</v>
      </c>
    </row>
    <row r="194" spans="1:4">
      <c r="A194">
        <v>193</v>
      </c>
      <c r="B194">
        <v>10322</v>
      </c>
      <c r="C194">
        <v>52</v>
      </c>
      <c r="D194">
        <v>20</v>
      </c>
    </row>
    <row r="195" spans="1:4">
      <c r="A195">
        <v>194</v>
      </c>
      <c r="B195">
        <v>10323</v>
      </c>
      <c r="C195">
        <v>15</v>
      </c>
      <c r="D195">
        <v>5</v>
      </c>
    </row>
    <row r="196" spans="1:4">
      <c r="A196">
        <v>195</v>
      </c>
      <c r="B196">
        <v>10323</v>
      </c>
      <c r="C196">
        <v>25</v>
      </c>
      <c r="D196">
        <v>4</v>
      </c>
    </row>
    <row r="197" spans="1:4">
      <c r="A197">
        <v>196</v>
      </c>
      <c r="B197">
        <v>10323</v>
      </c>
      <c r="C197">
        <v>39</v>
      </c>
      <c r="D197">
        <v>4</v>
      </c>
    </row>
    <row r="198" spans="1:4">
      <c r="A198">
        <v>197</v>
      </c>
      <c r="B198">
        <v>10324</v>
      </c>
      <c r="C198">
        <v>16</v>
      </c>
      <c r="D198">
        <v>21</v>
      </c>
    </row>
    <row r="199" spans="1:4">
      <c r="A199">
        <v>198</v>
      </c>
      <c r="B199">
        <v>10324</v>
      </c>
      <c r="C199">
        <v>35</v>
      </c>
      <c r="D199">
        <v>70</v>
      </c>
    </row>
    <row r="200" spans="1:4">
      <c r="A200">
        <v>199</v>
      </c>
      <c r="B200">
        <v>10324</v>
      </c>
      <c r="C200">
        <v>46</v>
      </c>
      <c r="D200">
        <v>30</v>
      </c>
    </row>
    <row r="201" spans="1:4">
      <c r="A201">
        <v>200</v>
      </c>
      <c r="B201">
        <v>10324</v>
      </c>
      <c r="C201">
        <v>59</v>
      </c>
      <c r="D201">
        <v>40</v>
      </c>
    </row>
    <row r="202" spans="1:4">
      <c r="A202">
        <v>201</v>
      </c>
      <c r="B202">
        <v>10324</v>
      </c>
      <c r="C202">
        <v>63</v>
      </c>
      <c r="D202">
        <v>80</v>
      </c>
    </row>
    <row r="203" spans="1:4">
      <c r="A203">
        <v>202</v>
      </c>
      <c r="B203">
        <v>10325</v>
      </c>
      <c r="C203">
        <v>6</v>
      </c>
      <c r="D203">
        <v>6</v>
      </c>
    </row>
    <row r="204" spans="1:4">
      <c r="A204">
        <v>203</v>
      </c>
      <c r="B204">
        <v>10325</v>
      </c>
      <c r="C204">
        <v>13</v>
      </c>
      <c r="D204">
        <v>12</v>
      </c>
    </row>
    <row r="205" spans="1:4">
      <c r="A205">
        <v>204</v>
      </c>
      <c r="B205">
        <v>10325</v>
      </c>
      <c r="C205">
        <v>14</v>
      </c>
      <c r="D205">
        <v>9</v>
      </c>
    </row>
    <row r="206" spans="1:4">
      <c r="A206">
        <v>205</v>
      </c>
      <c r="B206">
        <v>10325</v>
      </c>
      <c r="C206">
        <v>31</v>
      </c>
      <c r="D206">
        <v>4</v>
      </c>
    </row>
    <row r="207" spans="1:4">
      <c r="A207">
        <v>206</v>
      </c>
      <c r="B207">
        <v>10325</v>
      </c>
      <c r="C207">
        <v>72</v>
      </c>
      <c r="D207">
        <v>40</v>
      </c>
    </row>
    <row r="208" spans="1:4">
      <c r="A208">
        <v>207</v>
      </c>
      <c r="B208">
        <v>10326</v>
      </c>
      <c r="C208">
        <v>4</v>
      </c>
      <c r="D208">
        <v>24</v>
      </c>
    </row>
    <row r="209" spans="1:4">
      <c r="A209">
        <v>208</v>
      </c>
      <c r="B209">
        <v>10326</v>
      </c>
      <c r="C209">
        <v>57</v>
      </c>
      <c r="D209">
        <v>16</v>
      </c>
    </row>
    <row r="210" spans="1:4">
      <c r="A210">
        <v>209</v>
      </c>
      <c r="B210">
        <v>10326</v>
      </c>
      <c r="C210">
        <v>75</v>
      </c>
      <c r="D210">
        <v>50</v>
      </c>
    </row>
    <row r="211" spans="1:4">
      <c r="A211">
        <v>210</v>
      </c>
      <c r="B211">
        <v>10327</v>
      </c>
      <c r="C211">
        <v>2</v>
      </c>
      <c r="D211">
        <v>25</v>
      </c>
    </row>
    <row r="212" spans="1:4">
      <c r="A212">
        <v>211</v>
      </c>
      <c r="B212">
        <v>10327</v>
      </c>
      <c r="C212">
        <v>11</v>
      </c>
      <c r="D212">
        <v>50</v>
      </c>
    </row>
    <row r="213" spans="1:4">
      <c r="A213">
        <v>212</v>
      </c>
      <c r="B213">
        <v>10327</v>
      </c>
      <c r="C213">
        <v>30</v>
      </c>
      <c r="D213">
        <v>35</v>
      </c>
    </row>
    <row r="214" spans="1:4">
      <c r="A214">
        <v>213</v>
      </c>
      <c r="B214">
        <v>10327</v>
      </c>
      <c r="C214">
        <v>58</v>
      </c>
      <c r="D214">
        <v>30</v>
      </c>
    </row>
    <row r="215" spans="1:4">
      <c r="A215">
        <v>214</v>
      </c>
      <c r="B215">
        <v>10328</v>
      </c>
      <c r="C215">
        <v>59</v>
      </c>
      <c r="D215">
        <v>9</v>
      </c>
    </row>
    <row r="216" spans="1:4">
      <c r="A216">
        <v>215</v>
      </c>
      <c r="B216">
        <v>10328</v>
      </c>
      <c r="C216">
        <v>65</v>
      </c>
      <c r="D216">
        <v>40</v>
      </c>
    </row>
    <row r="217" spans="1:4">
      <c r="A217">
        <v>216</v>
      </c>
      <c r="B217">
        <v>10328</v>
      </c>
      <c r="C217">
        <v>68</v>
      </c>
      <c r="D217">
        <v>10</v>
      </c>
    </row>
    <row r="218" spans="1:4">
      <c r="A218">
        <v>217</v>
      </c>
      <c r="B218">
        <v>10329</v>
      </c>
      <c r="C218">
        <v>19</v>
      </c>
      <c r="D218">
        <v>10</v>
      </c>
    </row>
    <row r="219" spans="1:4">
      <c r="A219">
        <v>218</v>
      </c>
      <c r="B219">
        <v>10329</v>
      </c>
      <c r="C219">
        <v>30</v>
      </c>
      <c r="D219">
        <v>8</v>
      </c>
    </row>
    <row r="220" spans="1:4">
      <c r="A220">
        <v>219</v>
      </c>
      <c r="B220">
        <v>10329</v>
      </c>
      <c r="C220">
        <v>38</v>
      </c>
      <c r="D220">
        <v>20</v>
      </c>
    </row>
    <row r="221" spans="1:4">
      <c r="A221">
        <v>220</v>
      </c>
      <c r="B221">
        <v>10329</v>
      </c>
      <c r="C221">
        <v>56</v>
      </c>
      <c r="D221">
        <v>12</v>
      </c>
    </row>
    <row r="222" spans="1:4">
      <c r="A222">
        <v>221</v>
      </c>
      <c r="B222">
        <v>10330</v>
      </c>
      <c r="C222">
        <v>26</v>
      </c>
      <c r="D222">
        <v>50</v>
      </c>
    </row>
    <row r="223" spans="1:4">
      <c r="A223">
        <v>222</v>
      </c>
      <c r="B223">
        <v>10330</v>
      </c>
      <c r="C223">
        <v>72</v>
      </c>
      <c r="D223">
        <v>25</v>
      </c>
    </row>
    <row r="224" spans="1:4">
      <c r="A224">
        <v>223</v>
      </c>
      <c r="B224">
        <v>10331</v>
      </c>
      <c r="C224">
        <v>54</v>
      </c>
      <c r="D224">
        <v>15</v>
      </c>
    </row>
    <row r="225" spans="1:4">
      <c r="A225">
        <v>224</v>
      </c>
      <c r="B225">
        <v>10332</v>
      </c>
      <c r="C225">
        <v>18</v>
      </c>
      <c r="D225">
        <v>40</v>
      </c>
    </row>
    <row r="226" spans="1:4">
      <c r="A226">
        <v>225</v>
      </c>
      <c r="B226">
        <v>10332</v>
      </c>
      <c r="C226">
        <v>42</v>
      </c>
      <c r="D226">
        <v>10</v>
      </c>
    </row>
    <row r="227" spans="1:4">
      <c r="A227">
        <v>226</v>
      </c>
      <c r="B227">
        <v>10332</v>
      </c>
      <c r="C227">
        <v>47</v>
      </c>
      <c r="D227">
        <v>16</v>
      </c>
    </row>
    <row r="228" spans="1:4">
      <c r="A228">
        <v>227</v>
      </c>
      <c r="B228">
        <v>10333</v>
      </c>
      <c r="C228">
        <v>14</v>
      </c>
      <c r="D228">
        <v>10</v>
      </c>
    </row>
    <row r="229" spans="1:4">
      <c r="A229">
        <v>228</v>
      </c>
      <c r="B229">
        <v>10333</v>
      </c>
      <c r="C229">
        <v>21</v>
      </c>
      <c r="D229">
        <v>10</v>
      </c>
    </row>
    <row r="230" spans="1:4">
      <c r="A230">
        <v>229</v>
      </c>
      <c r="B230">
        <v>10333</v>
      </c>
      <c r="C230">
        <v>71</v>
      </c>
      <c r="D230">
        <v>40</v>
      </c>
    </row>
    <row r="231" spans="1:4">
      <c r="A231">
        <v>230</v>
      </c>
      <c r="B231">
        <v>10334</v>
      </c>
      <c r="C231">
        <v>52</v>
      </c>
      <c r="D231">
        <v>8</v>
      </c>
    </row>
    <row r="232" spans="1:4">
      <c r="A232">
        <v>231</v>
      </c>
      <c r="B232">
        <v>10334</v>
      </c>
      <c r="C232">
        <v>68</v>
      </c>
      <c r="D232">
        <v>10</v>
      </c>
    </row>
    <row r="233" spans="1:4">
      <c r="A233">
        <v>232</v>
      </c>
      <c r="B233">
        <v>10335</v>
      </c>
      <c r="C233">
        <v>2</v>
      </c>
      <c r="D233">
        <v>7</v>
      </c>
    </row>
    <row r="234" spans="1:4">
      <c r="A234">
        <v>233</v>
      </c>
      <c r="B234">
        <v>10335</v>
      </c>
      <c r="C234">
        <v>31</v>
      </c>
      <c r="D234">
        <v>25</v>
      </c>
    </row>
    <row r="235" spans="1:4">
      <c r="A235">
        <v>234</v>
      </c>
      <c r="B235">
        <v>10335</v>
      </c>
      <c r="C235">
        <v>32</v>
      </c>
      <c r="D235">
        <v>6</v>
      </c>
    </row>
    <row r="236" spans="1:4">
      <c r="A236">
        <v>235</v>
      </c>
      <c r="B236">
        <v>10335</v>
      </c>
      <c r="C236">
        <v>51</v>
      </c>
      <c r="D236">
        <v>48</v>
      </c>
    </row>
    <row r="237" spans="1:4">
      <c r="A237">
        <v>236</v>
      </c>
      <c r="B237">
        <v>10336</v>
      </c>
      <c r="C237">
        <v>4</v>
      </c>
      <c r="D237">
        <v>18</v>
      </c>
    </row>
    <row r="238" spans="1:4">
      <c r="A238">
        <v>237</v>
      </c>
      <c r="B238">
        <v>10337</v>
      </c>
      <c r="C238">
        <v>23</v>
      </c>
      <c r="D238">
        <v>40</v>
      </c>
    </row>
    <row r="239" spans="1:4">
      <c r="A239">
        <v>238</v>
      </c>
      <c r="B239">
        <v>10337</v>
      </c>
      <c r="C239">
        <v>26</v>
      </c>
      <c r="D239">
        <v>24</v>
      </c>
    </row>
    <row r="240" spans="1:4">
      <c r="A240">
        <v>239</v>
      </c>
      <c r="B240">
        <v>10337</v>
      </c>
      <c r="C240">
        <v>36</v>
      </c>
      <c r="D240">
        <v>20</v>
      </c>
    </row>
    <row r="241" spans="1:4">
      <c r="A241">
        <v>240</v>
      </c>
      <c r="B241">
        <v>10337</v>
      </c>
      <c r="C241">
        <v>37</v>
      </c>
      <c r="D241">
        <v>28</v>
      </c>
    </row>
    <row r="242" spans="1:4">
      <c r="A242">
        <v>241</v>
      </c>
      <c r="B242">
        <v>10337</v>
      </c>
      <c r="C242">
        <v>72</v>
      </c>
      <c r="D242">
        <v>25</v>
      </c>
    </row>
    <row r="243" spans="1:4">
      <c r="A243">
        <v>242</v>
      </c>
      <c r="B243">
        <v>10338</v>
      </c>
      <c r="C243">
        <v>17</v>
      </c>
      <c r="D243">
        <v>20</v>
      </c>
    </row>
    <row r="244" spans="1:4">
      <c r="A244">
        <v>243</v>
      </c>
      <c r="B244">
        <v>10338</v>
      </c>
      <c r="C244">
        <v>30</v>
      </c>
      <c r="D244">
        <v>15</v>
      </c>
    </row>
    <row r="245" spans="1:4">
      <c r="A245">
        <v>244</v>
      </c>
      <c r="B245">
        <v>10339</v>
      </c>
      <c r="C245">
        <v>4</v>
      </c>
      <c r="D245">
        <v>10</v>
      </c>
    </row>
    <row r="246" spans="1:4">
      <c r="A246">
        <v>245</v>
      </c>
      <c r="B246">
        <v>10339</v>
      </c>
      <c r="C246">
        <v>17</v>
      </c>
      <c r="D246">
        <v>70</v>
      </c>
    </row>
    <row r="247" spans="1:4">
      <c r="A247">
        <v>246</v>
      </c>
      <c r="B247">
        <v>10339</v>
      </c>
      <c r="C247">
        <v>62</v>
      </c>
      <c r="D247">
        <v>28</v>
      </c>
    </row>
    <row r="248" spans="1:4">
      <c r="A248">
        <v>247</v>
      </c>
      <c r="B248">
        <v>10340</v>
      </c>
      <c r="C248">
        <v>18</v>
      </c>
      <c r="D248">
        <v>20</v>
      </c>
    </row>
    <row r="249" spans="1:4">
      <c r="A249">
        <v>248</v>
      </c>
      <c r="B249">
        <v>10340</v>
      </c>
      <c r="C249">
        <v>41</v>
      </c>
      <c r="D249">
        <v>12</v>
      </c>
    </row>
    <row r="250" spans="1:4">
      <c r="A250">
        <v>249</v>
      </c>
      <c r="B250">
        <v>10340</v>
      </c>
      <c r="C250">
        <v>43</v>
      </c>
      <c r="D250">
        <v>40</v>
      </c>
    </row>
    <row r="251" spans="1:4">
      <c r="A251">
        <v>250</v>
      </c>
      <c r="B251">
        <v>10341</v>
      </c>
      <c r="C251">
        <v>33</v>
      </c>
      <c r="D251">
        <v>8</v>
      </c>
    </row>
    <row r="252" spans="1:4">
      <c r="A252">
        <v>251</v>
      </c>
      <c r="B252">
        <v>10341</v>
      </c>
      <c r="C252">
        <v>59</v>
      </c>
      <c r="D252">
        <v>9</v>
      </c>
    </row>
    <row r="253" spans="1:4">
      <c r="A253">
        <v>252</v>
      </c>
      <c r="B253">
        <v>10342</v>
      </c>
      <c r="C253">
        <v>2</v>
      </c>
      <c r="D253">
        <v>24</v>
      </c>
    </row>
    <row r="254" spans="1:4">
      <c r="A254">
        <v>253</v>
      </c>
      <c r="B254">
        <v>10342</v>
      </c>
      <c r="C254">
        <v>31</v>
      </c>
      <c r="D254">
        <v>56</v>
      </c>
    </row>
    <row r="255" spans="1:4">
      <c r="A255">
        <v>254</v>
      </c>
      <c r="B255">
        <v>10342</v>
      </c>
      <c r="C255">
        <v>36</v>
      </c>
      <c r="D255">
        <v>40</v>
      </c>
    </row>
    <row r="256" spans="1:4">
      <c r="A256">
        <v>255</v>
      </c>
      <c r="B256">
        <v>10342</v>
      </c>
      <c r="C256">
        <v>55</v>
      </c>
      <c r="D256">
        <v>40</v>
      </c>
    </row>
    <row r="257" spans="1:4">
      <c r="A257">
        <v>256</v>
      </c>
      <c r="B257">
        <v>10343</v>
      </c>
      <c r="C257">
        <v>64</v>
      </c>
      <c r="D257">
        <v>50</v>
      </c>
    </row>
    <row r="258" spans="1:4">
      <c r="A258">
        <v>257</v>
      </c>
      <c r="B258">
        <v>10343</v>
      </c>
      <c r="C258">
        <v>68</v>
      </c>
      <c r="D258">
        <v>4</v>
      </c>
    </row>
    <row r="259" spans="1:4">
      <c r="A259">
        <v>258</v>
      </c>
      <c r="B259">
        <v>10343</v>
      </c>
      <c r="C259">
        <v>76</v>
      </c>
      <c r="D259">
        <v>15</v>
      </c>
    </row>
    <row r="260" spans="1:4">
      <c r="A260">
        <v>259</v>
      </c>
      <c r="B260">
        <v>10344</v>
      </c>
      <c r="C260">
        <v>4</v>
      </c>
      <c r="D260">
        <v>35</v>
      </c>
    </row>
    <row r="261" spans="1:4">
      <c r="A261">
        <v>260</v>
      </c>
      <c r="B261">
        <v>10344</v>
      </c>
      <c r="C261">
        <v>8</v>
      </c>
      <c r="D261">
        <v>70</v>
      </c>
    </row>
    <row r="262" spans="1:4">
      <c r="A262">
        <v>261</v>
      </c>
      <c r="B262">
        <v>10345</v>
      </c>
      <c r="C262">
        <v>8</v>
      </c>
      <c r="D262">
        <v>70</v>
      </c>
    </row>
    <row r="263" spans="1:4">
      <c r="A263">
        <v>262</v>
      </c>
      <c r="B263">
        <v>10345</v>
      </c>
      <c r="C263">
        <v>19</v>
      </c>
      <c r="D263">
        <v>80</v>
      </c>
    </row>
    <row r="264" spans="1:4">
      <c r="A264">
        <v>263</v>
      </c>
      <c r="B264">
        <v>10345</v>
      </c>
      <c r="C264">
        <v>42</v>
      </c>
      <c r="D264">
        <v>9</v>
      </c>
    </row>
    <row r="265" spans="1:4">
      <c r="A265">
        <v>264</v>
      </c>
      <c r="B265">
        <v>10346</v>
      </c>
      <c r="C265">
        <v>17</v>
      </c>
      <c r="D265">
        <v>36</v>
      </c>
    </row>
    <row r="266" spans="1:4">
      <c r="A266">
        <v>265</v>
      </c>
      <c r="B266">
        <v>10346</v>
      </c>
      <c r="C266">
        <v>56</v>
      </c>
      <c r="D266">
        <v>20</v>
      </c>
    </row>
    <row r="267" spans="1:4">
      <c r="A267">
        <v>266</v>
      </c>
      <c r="B267">
        <v>10347</v>
      </c>
      <c r="C267">
        <v>25</v>
      </c>
      <c r="D267">
        <v>10</v>
      </c>
    </row>
    <row r="268" spans="1:4">
      <c r="A268">
        <v>267</v>
      </c>
      <c r="B268">
        <v>10347</v>
      </c>
      <c r="C268">
        <v>39</v>
      </c>
      <c r="D268">
        <v>50</v>
      </c>
    </row>
    <row r="269" spans="1:4">
      <c r="A269">
        <v>268</v>
      </c>
      <c r="B269">
        <v>10347</v>
      </c>
      <c r="C269">
        <v>40</v>
      </c>
      <c r="D269">
        <v>4</v>
      </c>
    </row>
    <row r="270" spans="1:4">
      <c r="A270">
        <v>269</v>
      </c>
      <c r="B270">
        <v>10347</v>
      </c>
      <c r="C270">
        <v>75</v>
      </c>
      <c r="D270">
        <v>6</v>
      </c>
    </row>
    <row r="271" spans="1:4">
      <c r="A271">
        <v>270</v>
      </c>
      <c r="B271">
        <v>10348</v>
      </c>
      <c r="C271">
        <v>1</v>
      </c>
      <c r="D271">
        <v>15</v>
      </c>
    </row>
    <row r="272" spans="1:4">
      <c r="A272">
        <v>271</v>
      </c>
      <c r="B272">
        <v>10348</v>
      </c>
      <c r="C272">
        <v>23</v>
      </c>
      <c r="D272">
        <v>25</v>
      </c>
    </row>
    <row r="273" spans="1:4">
      <c r="A273">
        <v>272</v>
      </c>
      <c r="B273">
        <v>10349</v>
      </c>
      <c r="C273">
        <v>54</v>
      </c>
      <c r="D273">
        <v>24</v>
      </c>
    </row>
    <row r="274" spans="1:4">
      <c r="A274">
        <v>273</v>
      </c>
      <c r="B274">
        <v>10350</v>
      </c>
      <c r="C274">
        <v>50</v>
      </c>
      <c r="D274">
        <v>15</v>
      </c>
    </row>
    <row r="275" spans="1:4">
      <c r="A275">
        <v>274</v>
      </c>
      <c r="B275">
        <v>10350</v>
      </c>
      <c r="C275">
        <v>69</v>
      </c>
      <c r="D275">
        <v>18</v>
      </c>
    </row>
    <row r="276" spans="1:4">
      <c r="A276">
        <v>275</v>
      </c>
      <c r="B276">
        <v>10351</v>
      </c>
      <c r="C276">
        <v>38</v>
      </c>
      <c r="D276">
        <v>20</v>
      </c>
    </row>
    <row r="277" spans="1:4">
      <c r="A277">
        <v>276</v>
      </c>
      <c r="B277">
        <v>10351</v>
      </c>
      <c r="C277">
        <v>41</v>
      </c>
      <c r="D277">
        <v>13</v>
      </c>
    </row>
    <row r="278" spans="1:4">
      <c r="A278">
        <v>277</v>
      </c>
      <c r="B278">
        <v>10351</v>
      </c>
      <c r="C278">
        <v>44</v>
      </c>
      <c r="D278">
        <v>77</v>
      </c>
    </row>
    <row r="279" spans="1:4">
      <c r="A279">
        <v>278</v>
      </c>
      <c r="B279">
        <v>10351</v>
      </c>
      <c r="C279">
        <v>65</v>
      </c>
      <c r="D279">
        <v>10</v>
      </c>
    </row>
    <row r="280" spans="1:4">
      <c r="A280">
        <v>279</v>
      </c>
      <c r="B280">
        <v>10352</v>
      </c>
      <c r="C280">
        <v>24</v>
      </c>
      <c r="D280">
        <v>10</v>
      </c>
    </row>
    <row r="281" spans="1:4">
      <c r="A281">
        <v>280</v>
      </c>
      <c r="B281">
        <v>10352</v>
      </c>
      <c r="C281">
        <v>54</v>
      </c>
      <c r="D281">
        <v>20</v>
      </c>
    </row>
    <row r="282" spans="1:4">
      <c r="A282">
        <v>281</v>
      </c>
      <c r="B282">
        <v>10353</v>
      </c>
      <c r="C282">
        <v>11</v>
      </c>
      <c r="D282">
        <v>12</v>
      </c>
    </row>
    <row r="283" spans="1:4">
      <c r="A283">
        <v>282</v>
      </c>
      <c r="B283">
        <v>10353</v>
      </c>
      <c r="C283">
        <v>38</v>
      </c>
      <c r="D283">
        <v>50</v>
      </c>
    </row>
    <row r="284" spans="1:4">
      <c r="A284">
        <v>283</v>
      </c>
      <c r="B284">
        <v>10354</v>
      </c>
      <c r="C284">
        <v>1</v>
      </c>
      <c r="D284">
        <v>12</v>
      </c>
    </row>
    <row r="285" spans="1:4">
      <c r="A285">
        <v>284</v>
      </c>
      <c r="B285">
        <v>10354</v>
      </c>
      <c r="C285">
        <v>29</v>
      </c>
      <c r="D285">
        <v>4</v>
      </c>
    </row>
    <row r="286" spans="1:4">
      <c r="A286">
        <v>285</v>
      </c>
      <c r="B286">
        <v>10355</v>
      </c>
      <c r="C286">
        <v>24</v>
      </c>
      <c r="D286">
        <v>25</v>
      </c>
    </row>
    <row r="287" spans="1:4">
      <c r="A287">
        <v>286</v>
      </c>
      <c r="B287">
        <v>10355</v>
      </c>
      <c r="C287">
        <v>57</v>
      </c>
      <c r="D287">
        <v>25</v>
      </c>
    </row>
    <row r="288" spans="1:4">
      <c r="A288">
        <v>287</v>
      </c>
      <c r="B288">
        <v>10356</v>
      </c>
      <c r="C288">
        <v>31</v>
      </c>
      <c r="D288">
        <v>30</v>
      </c>
    </row>
    <row r="289" spans="1:4">
      <c r="A289">
        <v>288</v>
      </c>
      <c r="B289">
        <v>10356</v>
      </c>
      <c r="C289">
        <v>55</v>
      </c>
      <c r="D289">
        <v>12</v>
      </c>
    </row>
    <row r="290" spans="1:4">
      <c r="A290">
        <v>289</v>
      </c>
      <c r="B290">
        <v>10356</v>
      </c>
      <c r="C290">
        <v>69</v>
      </c>
      <c r="D290">
        <v>20</v>
      </c>
    </row>
    <row r="291" spans="1:4">
      <c r="A291">
        <v>290</v>
      </c>
      <c r="B291">
        <v>10357</v>
      </c>
      <c r="C291">
        <v>10</v>
      </c>
      <c r="D291">
        <v>30</v>
      </c>
    </row>
    <row r="292" spans="1:4">
      <c r="A292">
        <v>291</v>
      </c>
      <c r="B292">
        <v>10357</v>
      </c>
      <c r="C292">
        <v>26</v>
      </c>
      <c r="D292">
        <v>16</v>
      </c>
    </row>
    <row r="293" spans="1:4">
      <c r="A293">
        <v>292</v>
      </c>
      <c r="B293">
        <v>10357</v>
      </c>
      <c r="C293">
        <v>60</v>
      </c>
      <c r="D293">
        <v>8</v>
      </c>
    </row>
    <row r="294" spans="1:4">
      <c r="A294">
        <v>293</v>
      </c>
      <c r="B294">
        <v>10358</v>
      </c>
      <c r="C294">
        <v>24</v>
      </c>
      <c r="D294">
        <v>10</v>
      </c>
    </row>
    <row r="295" spans="1:4">
      <c r="A295">
        <v>294</v>
      </c>
      <c r="B295">
        <v>10358</v>
      </c>
      <c r="C295">
        <v>34</v>
      </c>
      <c r="D295">
        <v>10</v>
      </c>
    </row>
    <row r="296" spans="1:4">
      <c r="A296">
        <v>295</v>
      </c>
      <c r="B296">
        <v>10358</v>
      </c>
      <c r="C296">
        <v>36</v>
      </c>
      <c r="D296">
        <v>20</v>
      </c>
    </row>
    <row r="297" spans="1:4">
      <c r="A297">
        <v>296</v>
      </c>
      <c r="B297">
        <v>10359</v>
      </c>
      <c r="C297">
        <v>16</v>
      </c>
      <c r="D297">
        <v>56</v>
      </c>
    </row>
    <row r="298" spans="1:4">
      <c r="A298">
        <v>297</v>
      </c>
      <c r="B298">
        <v>10359</v>
      </c>
      <c r="C298">
        <v>31</v>
      </c>
      <c r="D298">
        <v>70</v>
      </c>
    </row>
    <row r="299" spans="1:4">
      <c r="A299">
        <v>298</v>
      </c>
      <c r="B299">
        <v>10359</v>
      </c>
      <c r="C299">
        <v>60</v>
      </c>
      <c r="D299">
        <v>80</v>
      </c>
    </row>
    <row r="300" spans="1:4">
      <c r="A300">
        <v>299</v>
      </c>
      <c r="B300">
        <v>10360</v>
      </c>
      <c r="C300">
        <v>28</v>
      </c>
      <c r="D300">
        <v>30</v>
      </c>
    </row>
    <row r="301" spans="1:4">
      <c r="A301">
        <v>300</v>
      </c>
      <c r="B301">
        <v>10360</v>
      </c>
      <c r="C301">
        <v>29</v>
      </c>
      <c r="D301">
        <v>35</v>
      </c>
    </row>
    <row r="302" spans="1:4">
      <c r="A302">
        <v>301</v>
      </c>
      <c r="B302">
        <v>10360</v>
      </c>
      <c r="C302">
        <v>38</v>
      </c>
      <c r="D302">
        <v>10</v>
      </c>
    </row>
    <row r="303" spans="1:4">
      <c r="A303">
        <v>302</v>
      </c>
      <c r="B303">
        <v>10360</v>
      </c>
      <c r="C303">
        <v>49</v>
      </c>
      <c r="D303">
        <v>35</v>
      </c>
    </row>
    <row r="304" spans="1:4">
      <c r="A304">
        <v>303</v>
      </c>
      <c r="B304">
        <v>10360</v>
      </c>
      <c r="C304">
        <v>54</v>
      </c>
      <c r="D304">
        <v>28</v>
      </c>
    </row>
    <row r="305" spans="1:4">
      <c r="A305">
        <v>304</v>
      </c>
      <c r="B305">
        <v>10361</v>
      </c>
      <c r="C305">
        <v>39</v>
      </c>
      <c r="D305">
        <v>54</v>
      </c>
    </row>
    <row r="306" spans="1:4">
      <c r="A306">
        <v>305</v>
      </c>
      <c r="B306">
        <v>10361</v>
      </c>
      <c r="C306">
        <v>60</v>
      </c>
      <c r="D306">
        <v>55</v>
      </c>
    </row>
    <row r="307" spans="1:4">
      <c r="A307">
        <v>306</v>
      </c>
      <c r="B307">
        <v>10362</v>
      </c>
      <c r="C307">
        <v>25</v>
      </c>
      <c r="D307">
        <v>50</v>
      </c>
    </row>
    <row r="308" spans="1:4">
      <c r="A308">
        <v>307</v>
      </c>
      <c r="B308">
        <v>10362</v>
      </c>
      <c r="C308">
        <v>51</v>
      </c>
      <c r="D308">
        <v>20</v>
      </c>
    </row>
    <row r="309" spans="1:4">
      <c r="A309">
        <v>308</v>
      </c>
      <c r="B309">
        <v>10362</v>
      </c>
      <c r="C309">
        <v>54</v>
      </c>
      <c r="D309">
        <v>24</v>
      </c>
    </row>
    <row r="310" spans="1:4">
      <c r="A310">
        <v>309</v>
      </c>
      <c r="B310">
        <v>10363</v>
      </c>
      <c r="C310">
        <v>31</v>
      </c>
      <c r="D310">
        <v>20</v>
      </c>
    </row>
    <row r="311" spans="1:4">
      <c r="A311">
        <v>310</v>
      </c>
      <c r="B311">
        <v>10363</v>
      </c>
      <c r="C311">
        <v>75</v>
      </c>
      <c r="D311">
        <v>12</v>
      </c>
    </row>
    <row r="312" spans="1:4">
      <c r="A312">
        <v>311</v>
      </c>
      <c r="B312">
        <v>10363</v>
      </c>
      <c r="C312">
        <v>76</v>
      </c>
      <c r="D312">
        <v>12</v>
      </c>
    </row>
    <row r="313" spans="1:4">
      <c r="A313">
        <v>312</v>
      </c>
      <c r="B313">
        <v>10364</v>
      </c>
      <c r="C313">
        <v>69</v>
      </c>
      <c r="D313">
        <v>30</v>
      </c>
    </row>
    <row r="314" spans="1:4">
      <c r="A314">
        <v>313</v>
      </c>
      <c r="B314">
        <v>10364</v>
      </c>
      <c r="C314">
        <v>71</v>
      </c>
      <c r="D314">
        <v>5</v>
      </c>
    </row>
    <row r="315" spans="1:4">
      <c r="A315">
        <v>314</v>
      </c>
      <c r="B315">
        <v>10365</v>
      </c>
      <c r="C315">
        <v>11</v>
      </c>
      <c r="D315">
        <v>24</v>
      </c>
    </row>
    <row r="316" spans="1:4">
      <c r="A316">
        <v>315</v>
      </c>
      <c r="B316">
        <v>10366</v>
      </c>
      <c r="C316">
        <v>65</v>
      </c>
      <c r="D316">
        <v>5</v>
      </c>
    </row>
    <row r="317" spans="1:4">
      <c r="A317">
        <v>316</v>
      </c>
      <c r="B317">
        <v>10366</v>
      </c>
      <c r="C317">
        <v>77</v>
      </c>
      <c r="D317">
        <v>5</v>
      </c>
    </row>
    <row r="318" spans="1:4">
      <c r="A318">
        <v>317</v>
      </c>
      <c r="B318">
        <v>10367</v>
      </c>
      <c r="C318">
        <v>34</v>
      </c>
      <c r="D318">
        <v>36</v>
      </c>
    </row>
    <row r="319" spans="1:4">
      <c r="A319">
        <v>318</v>
      </c>
      <c r="B319">
        <v>10367</v>
      </c>
      <c r="C319">
        <v>54</v>
      </c>
      <c r="D319">
        <v>18</v>
      </c>
    </row>
    <row r="320" spans="1:4">
      <c r="A320">
        <v>319</v>
      </c>
      <c r="B320">
        <v>10367</v>
      </c>
      <c r="C320">
        <v>65</v>
      </c>
      <c r="D320">
        <v>15</v>
      </c>
    </row>
    <row r="321" spans="1:4">
      <c r="A321">
        <v>320</v>
      </c>
      <c r="B321">
        <v>10367</v>
      </c>
      <c r="C321">
        <v>77</v>
      </c>
      <c r="D321">
        <v>7</v>
      </c>
    </row>
    <row r="322" spans="1:4">
      <c r="A322">
        <v>321</v>
      </c>
      <c r="B322">
        <v>10368</v>
      </c>
      <c r="C322">
        <v>21</v>
      </c>
      <c r="D322">
        <v>5</v>
      </c>
    </row>
    <row r="323" spans="1:4">
      <c r="A323">
        <v>322</v>
      </c>
      <c r="B323">
        <v>10368</v>
      </c>
      <c r="C323">
        <v>28</v>
      </c>
      <c r="D323">
        <v>13</v>
      </c>
    </row>
    <row r="324" spans="1:4">
      <c r="A324">
        <v>323</v>
      </c>
      <c r="B324">
        <v>10368</v>
      </c>
      <c r="C324">
        <v>57</v>
      </c>
      <c r="D324">
        <v>25</v>
      </c>
    </row>
    <row r="325" spans="1:4">
      <c r="A325">
        <v>324</v>
      </c>
      <c r="B325">
        <v>10368</v>
      </c>
      <c r="C325">
        <v>64</v>
      </c>
      <c r="D325">
        <v>35</v>
      </c>
    </row>
    <row r="326" spans="1:4">
      <c r="A326">
        <v>325</v>
      </c>
      <c r="B326">
        <v>10369</v>
      </c>
      <c r="C326">
        <v>29</v>
      </c>
      <c r="D326">
        <v>20</v>
      </c>
    </row>
    <row r="327" spans="1:4">
      <c r="A327">
        <v>326</v>
      </c>
      <c r="B327">
        <v>10369</v>
      </c>
      <c r="C327">
        <v>56</v>
      </c>
      <c r="D327">
        <v>18</v>
      </c>
    </row>
    <row r="328" spans="1:4">
      <c r="A328">
        <v>327</v>
      </c>
      <c r="B328">
        <v>10370</v>
      </c>
      <c r="C328">
        <v>1</v>
      </c>
      <c r="D328">
        <v>15</v>
      </c>
    </row>
    <row r="329" spans="1:4">
      <c r="A329">
        <v>328</v>
      </c>
      <c r="B329">
        <v>10370</v>
      </c>
      <c r="C329">
        <v>64</v>
      </c>
      <c r="D329">
        <v>30</v>
      </c>
    </row>
    <row r="330" spans="1:4">
      <c r="A330">
        <v>329</v>
      </c>
      <c r="B330">
        <v>10370</v>
      </c>
      <c r="C330">
        <v>74</v>
      </c>
      <c r="D330">
        <v>20</v>
      </c>
    </row>
    <row r="331" spans="1:4">
      <c r="A331">
        <v>330</v>
      </c>
      <c r="B331">
        <v>10371</v>
      </c>
      <c r="C331">
        <v>36</v>
      </c>
      <c r="D331">
        <v>6</v>
      </c>
    </row>
    <row r="332" spans="1:4">
      <c r="A332">
        <v>331</v>
      </c>
      <c r="B332">
        <v>10372</v>
      </c>
      <c r="C332">
        <v>20</v>
      </c>
      <c r="D332">
        <v>12</v>
      </c>
    </row>
    <row r="333" spans="1:4">
      <c r="A333">
        <v>332</v>
      </c>
      <c r="B333">
        <v>10372</v>
      </c>
      <c r="C333">
        <v>38</v>
      </c>
      <c r="D333">
        <v>40</v>
      </c>
    </row>
    <row r="334" spans="1:4">
      <c r="A334">
        <v>333</v>
      </c>
      <c r="B334">
        <v>10372</v>
      </c>
      <c r="C334">
        <v>60</v>
      </c>
      <c r="D334">
        <v>70</v>
      </c>
    </row>
    <row r="335" spans="1:4">
      <c r="A335">
        <v>334</v>
      </c>
      <c r="B335">
        <v>10372</v>
      </c>
      <c r="C335">
        <v>72</v>
      </c>
      <c r="D335">
        <v>42</v>
      </c>
    </row>
    <row r="336" spans="1:4">
      <c r="A336">
        <v>335</v>
      </c>
      <c r="B336">
        <v>10373</v>
      </c>
      <c r="C336">
        <v>58</v>
      </c>
      <c r="D336">
        <v>80</v>
      </c>
    </row>
    <row r="337" spans="1:4">
      <c r="A337">
        <v>336</v>
      </c>
      <c r="B337">
        <v>10373</v>
      </c>
      <c r="C337">
        <v>71</v>
      </c>
      <c r="D337">
        <v>50</v>
      </c>
    </row>
    <row r="338" spans="1:4">
      <c r="A338">
        <v>337</v>
      </c>
      <c r="B338">
        <v>10374</v>
      </c>
      <c r="C338">
        <v>31</v>
      </c>
      <c r="D338">
        <v>30</v>
      </c>
    </row>
    <row r="339" spans="1:4">
      <c r="A339">
        <v>338</v>
      </c>
      <c r="B339">
        <v>10374</v>
      </c>
      <c r="C339">
        <v>58</v>
      </c>
      <c r="D339">
        <v>15</v>
      </c>
    </row>
    <row r="340" spans="1:4">
      <c r="A340">
        <v>339</v>
      </c>
      <c r="B340">
        <v>10375</v>
      </c>
      <c r="C340">
        <v>14</v>
      </c>
      <c r="D340">
        <v>15</v>
      </c>
    </row>
    <row r="341" spans="1:4">
      <c r="A341">
        <v>340</v>
      </c>
      <c r="B341">
        <v>10375</v>
      </c>
      <c r="C341">
        <v>54</v>
      </c>
      <c r="D341">
        <v>10</v>
      </c>
    </row>
    <row r="342" spans="1:4">
      <c r="A342">
        <v>341</v>
      </c>
      <c r="B342">
        <v>10376</v>
      </c>
      <c r="C342">
        <v>31</v>
      </c>
      <c r="D342">
        <v>42</v>
      </c>
    </row>
    <row r="343" spans="1:4">
      <c r="A343">
        <v>342</v>
      </c>
      <c r="B343">
        <v>10377</v>
      </c>
      <c r="C343">
        <v>28</v>
      </c>
      <c r="D343">
        <v>20</v>
      </c>
    </row>
    <row r="344" spans="1:4">
      <c r="A344">
        <v>343</v>
      </c>
      <c r="B344">
        <v>10377</v>
      </c>
      <c r="C344">
        <v>39</v>
      </c>
      <c r="D344">
        <v>20</v>
      </c>
    </row>
    <row r="345" spans="1:4">
      <c r="A345">
        <v>344</v>
      </c>
      <c r="B345">
        <v>10378</v>
      </c>
      <c r="C345">
        <v>71</v>
      </c>
      <c r="D345">
        <v>6</v>
      </c>
    </row>
    <row r="346" spans="1:4">
      <c r="A346">
        <v>345</v>
      </c>
      <c r="B346">
        <v>10379</v>
      </c>
      <c r="C346">
        <v>41</v>
      </c>
      <c r="D346">
        <v>8</v>
      </c>
    </row>
    <row r="347" spans="1:4">
      <c r="A347">
        <v>346</v>
      </c>
      <c r="B347">
        <v>10379</v>
      </c>
      <c r="C347">
        <v>63</v>
      </c>
      <c r="D347">
        <v>16</v>
      </c>
    </row>
    <row r="348" spans="1:4">
      <c r="A348">
        <v>347</v>
      </c>
      <c r="B348">
        <v>10379</v>
      </c>
      <c r="C348">
        <v>65</v>
      </c>
      <c r="D348">
        <v>20</v>
      </c>
    </row>
    <row r="349" spans="1:4">
      <c r="A349">
        <v>348</v>
      </c>
      <c r="B349">
        <v>10380</v>
      </c>
      <c r="C349">
        <v>30</v>
      </c>
      <c r="D349">
        <v>18</v>
      </c>
    </row>
    <row r="350" spans="1:4">
      <c r="A350">
        <v>349</v>
      </c>
      <c r="B350">
        <v>10380</v>
      </c>
      <c r="C350">
        <v>53</v>
      </c>
      <c r="D350">
        <v>20</v>
      </c>
    </row>
    <row r="351" spans="1:4">
      <c r="A351">
        <v>350</v>
      </c>
      <c r="B351">
        <v>10380</v>
      </c>
      <c r="C351">
        <v>60</v>
      </c>
      <c r="D351">
        <v>6</v>
      </c>
    </row>
    <row r="352" spans="1:4">
      <c r="A352">
        <v>351</v>
      </c>
      <c r="B352">
        <v>10380</v>
      </c>
      <c r="C352">
        <v>70</v>
      </c>
      <c r="D352">
        <v>30</v>
      </c>
    </row>
    <row r="353" spans="1:4">
      <c r="A353">
        <v>352</v>
      </c>
      <c r="B353">
        <v>10381</v>
      </c>
      <c r="C353">
        <v>74</v>
      </c>
      <c r="D353">
        <v>14</v>
      </c>
    </row>
    <row r="354" spans="1:4">
      <c r="A354">
        <v>353</v>
      </c>
      <c r="B354">
        <v>10382</v>
      </c>
      <c r="C354">
        <v>5</v>
      </c>
      <c r="D354">
        <v>32</v>
      </c>
    </row>
    <row r="355" spans="1:4">
      <c r="A355">
        <v>354</v>
      </c>
      <c r="B355">
        <v>10382</v>
      </c>
      <c r="C355">
        <v>18</v>
      </c>
      <c r="D355">
        <v>9</v>
      </c>
    </row>
    <row r="356" spans="1:4">
      <c r="A356">
        <v>355</v>
      </c>
      <c r="B356">
        <v>10382</v>
      </c>
      <c r="C356">
        <v>29</v>
      </c>
      <c r="D356">
        <v>14</v>
      </c>
    </row>
    <row r="357" spans="1:4">
      <c r="A357">
        <v>356</v>
      </c>
      <c r="B357">
        <v>10382</v>
      </c>
      <c r="C357">
        <v>33</v>
      </c>
      <c r="D357">
        <v>60</v>
      </c>
    </row>
    <row r="358" spans="1:4">
      <c r="A358">
        <v>357</v>
      </c>
      <c r="B358">
        <v>10382</v>
      </c>
      <c r="C358">
        <v>74</v>
      </c>
      <c r="D358">
        <v>50</v>
      </c>
    </row>
    <row r="359" spans="1:4">
      <c r="A359">
        <v>358</v>
      </c>
      <c r="B359">
        <v>10383</v>
      </c>
      <c r="C359">
        <v>13</v>
      </c>
      <c r="D359">
        <v>20</v>
      </c>
    </row>
    <row r="360" spans="1:4">
      <c r="A360">
        <v>359</v>
      </c>
      <c r="B360">
        <v>10383</v>
      </c>
      <c r="C360">
        <v>50</v>
      </c>
      <c r="D360">
        <v>15</v>
      </c>
    </row>
    <row r="361" spans="1:4">
      <c r="A361">
        <v>360</v>
      </c>
      <c r="B361">
        <v>10383</v>
      </c>
      <c r="C361">
        <v>56</v>
      </c>
      <c r="D361">
        <v>20</v>
      </c>
    </row>
    <row r="362" spans="1:4">
      <c r="A362">
        <v>361</v>
      </c>
      <c r="B362">
        <v>10384</v>
      </c>
      <c r="C362">
        <v>20</v>
      </c>
      <c r="D362">
        <v>28</v>
      </c>
    </row>
    <row r="363" spans="1:4">
      <c r="A363">
        <v>362</v>
      </c>
      <c r="B363">
        <v>10384</v>
      </c>
      <c r="C363">
        <v>60</v>
      </c>
      <c r="D363">
        <v>15</v>
      </c>
    </row>
    <row r="364" spans="1:4">
      <c r="A364">
        <v>363</v>
      </c>
      <c r="B364">
        <v>10385</v>
      </c>
      <c r="C364">
        <v>7</v>
      </c>
      <c r="D364">
        <v>10</v>
      </c>
    </row>
    <row r="365" spans="1:4">
      <c r="A365">
        <v>364</v>
      </c>
      <c r="B365">
        <v>10385</v>
      </c>
      <c r="C365">
        <v>60</v>
      </c>
      <c r="D365">
        <v>20</v>
      </c>
    </row>
    <row r="366" spans="1:4">
      <c r="A366">
        <v>365</v>
      </c>
      <c r="B366">
        <v>10385</v>
      </c>
      <c r="C366">
        <v>68</v>
      </c>
      <c r="D366">
        <v>8</v>
      </c>
    </row>
    <row r="367" spans="1:4">
      <c r="A367">
        <v>366</v>
      </c>
      <c r="B367">
        <v>10386</v>
      </c>
      <c r="C367">
        <v>24</v>
      </c>
      <c r="D367">
        <v>15</v>
      </c>
    </row>
    <row r="368" spans="1:4">
      <c r="A368">
        <v>367</v>
      </c>
      <c r="B368">
        <v>10386</v>
      </c>
      <c r="C368">
        <v>34</v>
      </c>
      <c r="D368">
        <v>10</v>
      </c>
    </row>
    <row r="369" spans="1:4">
      <c r="A369">
        <v>368</v>
      </c>
      <c r="B369">
        <v>10387</v>
      </c>
      <c r="C369">
        <v>24</v>
      </c>
      <c r="D369">
        <v>15</v>
      </c>
    </row>
    <row r="370" spans="1:4">
      <c r="A370">
        <v>369</v>
      </c>
      <c r="B370">
        <v>10387</v>
      </c>
      <c r="C370">
        <v>28</v>
      </c>
      <c r="D370">
        <v>6</v>
      </c>
    </row>
    <row r="371" spans="1:4">
      <c r="A371">
        <v>370</v>
      </c>
      <c r="B371">
        <v>10387</v>
      </c>
      <c r="C371">
        <v>59</v>
      </c>
      <c r="D371">
        <v>12</v>
      </c>
    </row>
    <row r="372" spans="1:4">
      <c r="A372">
        <v>371</v>
      </c>
      <c r="B372">
        <v>10387</v>
      </c>
      <c r="C372">
        <v>71</v>
      </c>
      <c r="D372">
        <v>15</v>
      </c>
    </row>
    <row r="373" spans="1:4">
      <c r="A373">
        <v>372</v>
      </c>
      <c r="B373">
        <v>10388</v>
      </c>
      <c r="C373">
        <v>45</v>
      </c>
      <c r="D373">
        <v>15</v>
      </c>
    </row>
    <row r="374" spans="1:4">
      <c r="A374">
        <v>373</v>
      </c>
      <c r="B374">
        <v>10388</v>
      </c>
      <c r="C374">
        <v>52</v>
      </c>
      <c r="D374">
        <v>20</v>
      </c>
    </row>
    <row r="375" spans="1:4">
      <c r="A375">
        <v>374</v>
      </c>
      <c r="B375">
        <v>10388</v>
      </c>
      <c r="C375">
        <v>53</v>
      </c>
      <c r="D375">
        <v>40</v>
      </c>
    </row>
    <row r="376" spans="1:4">
      <c r="A376">
        <v>375</v>
      </c>
      <c r="B376">
        <v>10389</v>
      </c>
      <c r="C376">
        <v>10</v>
      </c>
      <c r="D376">
        <v>16</v>
      </c>
    </row>
    <row r="377" spans="1:4">
      <c r="A377">
        <v>376</v>
      </c>
      <c r="B377">
        <v>10389</v>
      </c>
      <c r="C377">
        <v>55</v>
      </c>
      <c r="D377">
        <v>15</v>
      </c>
    </row>
    <row r="378" spans="1:4">
      <c r="A378">
        <v>377</v>
      </c>
      <c r="B378">
        <v>10389</v>
      </c>
      <c r="C378">
        <v>62</v>
      </c>
      <c r="D378">
        <v>20</v>
      </c>
    </row>
    <row r="379" spans="1:4">
      <c r="A379">
        <v>378</v>
      </c>
      <c r="B379">
        <v>10389</v>
      </c>
      <c r="C379">
        <v>70</v>
      </c>
      <c r="D379">
        <v>30</v>
      </c>
    </row>
    <row r="380" spans="1:4">
      <c r="A380">
        <v>379</v>
      </c>
      <c r="B380">
        <v>10390</v>
      </c>
      <c r="C380">
        <v>31</v>
      </c>
      <c r="D380">
        <v>60</v>
      </c>
    </row>
    <row r="381" spans="1:4">
      <c r="A381">
        <v>380</v>
      </c>
      <c r="B381">
        <v>10390</v>
      </c>
      <c r="C381">
        <v>35</v>
      </c>
      <c r="D381">
        <v>40</v>
      </c>
    </row>
    <row r="382" spans="1:4">
      <c r="A382">
        <v>381</v>
      </c>
      <c r="B382">
        <v>10390</v>
      </c>
      <c r="C382">
        <v>46</v>
      </c>
      <c r="D382">
        <v>45</v>
      </c>
    </row>
    <row r="383" spans="1:4">
      <c r="A383">
        <v>382</v>
      </c>
      <c r="B383">
        <v>10390</v>
      </c>
      <c r="C383">
        <v>72</v>
      </c>
      <c r="D383">
        <v>24</v>
      </c>
    </row>
    <row r="384" spans="1:4">
      <c r="A384">
        <v>383</v>
      </c>
      <c r="B384">
        <v>10391</v>
      </c>
      <c r="C384">
        <v>13</v>
      </c>
      <c r="D384">
        <v>18</v>
      </c>
    </row>
    <row r="385" spans="1:4">
      <c r="A385">
        <v>384</v>
      </c>
      <c r="B385">
        <v>10392</v>
      </c>
      <c r="C385">
        <v>69</v>
      </c>
      <c r="D385">
        <v>50</v>
      </c>
    </row>
    <row r="386" spans="1:4">
      <c r="A386">
        <v>385</v>
      </c>
      <c r="B386">
        <v>10393</v>
      </c>
      <c r="C386">
        <v>2</v>
      </c>
      <c r="D386">
        <v>25</v>
      </c>
    </row>
    <row r="387" spans="1:4">
      <c r="A387">
        <v>386</v>
      </c>
      <c r="B387">
        <v>10393</v>
      </c>
      <c r="C387">
        <v>14</v>
      </c>
      <c r="D387">
        <v>42</v>
      </c>
    </row>
    <row r="388" spans="1:4">
      <c r="A388">
        <v>387</v>
      </c>
      <c r="B388">
        <v>10393</v>
      </c>
      <c r="C388">
        <v>25</v>
      </c>
      <c r="D388">
        <v>7</v>
      </c>
    </row>
    <row r="389" spans="1:4">
      <c r="A389">
        <v>388</v>
      </c>
      <c r="B389">
        <v>10393</v>
      </c>
      <c r="C389">
        <v>26</v>
      </c>
      <c r="D389">
        <v>70</v>
      </c>
    </row>
    <row r="390" spans="1:4">
      <c r="A390">
        <v>389</v>
      </c>
      <c r="B390">
        <v>10393</v>
      </c>
      <c r="C390">
        <v>31</v>
      </c>
      <c r="D390">
        <v>32</v>
      </c>
    </row>
    <row r="391" spans="1:4">
      <c r="A391">
        <v>390</v>
      </c>
      <c r="B391">
        <v>10394</v>
      </c>
      <c r="C391">
        <v>13</v>
      </c>
      <c r="D391">
        <v>10</v>
      </c>
    </row>
    <row r="392" spans="1:4">
      <c r="A392">
        <v>391</v>
      </c>
      <c r="B392">
        <v>10394</v>
      </c>
      <c r="C392">
        <v>62</v>
      </c>
      <c r="D392">
        <v>10</v>
      </c>
    </row>
    <row r="393" spans="1:4">
      <c r="A393">
        <v>392</v>
      </c>
      <c r="B393">
        <v>10395</v>
      </c>
      <c r="C393">
        <v>46</v>
      </c>
      <c r="D393">
        <v>28</v>
      </c>
    </row>
    <row r="394" spans="1:4">
      <c r="A394">
        <v>393</v>
      </c>
      <c r="B394">
        <v>10395</v>
      </c>
      <c r="C394">
        <v>53</v>
      </c>
      <c r="D394">
        <v>70</v>
      </c>
    </row>
    <row r="395" spans="1:4">
      <c r="A395">
        <v>394</v>
      </c>
      <c r="B395">
        <v>10395</v>
      </c>
      <c r="C395">
        <v>69</v>
      </c>
      <c r="D395">
        <v>8</v>
      </c>
    </row>
    <row r="396" spans="1:4">
      <c r="A396">
        <v>395</v>
      </c>
      <c r="B396">
        <v>10396</v>
      </c>
      <c r="C396">
        <v>23</v>
      </c>
      <c r="D396">
        <v>40</v>
      </c>
    </row>
    <row r="397" spans="1:4">
      <c r="A397">
        <v>396</v>
      </c>
      <c r="B397">
        <v>10396</v>
      </c>
      <c r="C397">
        <v>71</v>
      </c>
      <c r="D397">
        <v>60</v>
      </c>
    </row>
    <row r="398" spans="1:4">
      <c r="A398">
        <v>397</v>
      </c>
      <c r="B398">
        <v>10396</v>
      </c>
      <c r="C398">
        <v>72</v>
      </c>
      <c r="D398">
        <v>21</v>
      </c>
    </row>
    <row r="399" spans="1:4">
      <c r="A399">
        <v>398</v>
      </c>
      <c r="B399">
        <v>10397</v>
      </c>
      <c r="C399">
        <v>21</v>
      </c>
      <c r="D399">
        <v>10</v>
      </c>
    </row>
    <row r="400" spans="1:4">
      <c r="A400">
        <v>399</v>
      </c>
      <c r="B400">
        <v>10397</v>
      </c>
      <c r="C400">
        <v>51</v>
      </c>
      <c r="D400">
        <v>18</v>
      </c>
    </row>
    <row r="401" spans="1:4">
      <c r="A401">
        <v>400</v>
      </c>
      <c r="B401">
        <v>10398</v>
      </c>
      <c r="C401">
        <v>35</v>
      </c>
      <c r="D401">
        <v>30</v>
      </c>
    </row>
    <row r="402" spans="1:4">
      <c r="A402">
        <v>401</v>
      </c>
      <c r="B402">
        <v>10398</v>
      </c>
      <c r="C402">
        <v>55</v>
      </c>
      <c r="D402">
        <v>120</v>
      </c>
    </row>
    <row r="403" spans="1:4">
      <c r="A403">
        <v>402</v>
      </c>
      <c r="B403">
        <v>10399</v>
      </c>
      <c r="C403">
        <v>68</v>
      </c>
      <c r="D403">
        <v>60</v>
      </c>
    </row>
    <row r="404" spans="1:4">
      <c r="A404">
        <v>403</v>
      </c>
      <c r="B404">
        <v>10399</v>
      </c>
      <c r="C404">
        <v>71</v>
      </c>
      <c r="D404">
        <v>30</v>
      </c>
    </row>
    <row r="405" spans="1:4">
      <c r="A405">
        <v>404</v>
      </c>
      <c r="B405">
        <v>10399</v>
      </c>
      <c r="C405">
        <v>76</v>
      </c>
      <c r="D405">
        <v>35</v>
      </c>
    </row>
    <row r="406" spans="1:4">
      <c r="A406">
        <v>405</v>
      </c>
      <c r="B406">
        <v>10399</v>
      </c>
      <c r="C406">
        <v>77</v>
      </c>
      <c r="D406">
        <v>14</v>
      </c>
    </row>
    <row r="407" spans="1:4">
      <c r="A407">
        <v>406</v>
      </c>
      <c r="B407">
        <v>10400</v>
      </c>
      <c r="C407">
        <v>29</v>
      </c>
      <c r="D407">
        <v>21</v>
      </c>
    </row>
    <row r="408" spans="1:4">
      <c r="A408">
        <v>407</v>
      </c>
      <c r="B408">
        <v>10400</v>
      </c>
      <c r="C408">
        <v>35</v>
      </c>
      <c r="D408">
        <v>35</v>
      </c>
    </row>
    <row r="409" spans="1:4">
      <c r="A409">
        <v>408</v>
      </c>
      <c r="B409">
        <v>10400</v>
      </c>
      <c r="C409">
        <v>49</v>
      </c>
      <c r="D409">
        <v>30</v>
      </c>
    </row>
    <row r="410" spans="1:4">
      <c r="A410">
        <v>409</v>
      </c>
      <c r="B410">
        <v>10401</v>
      </c>
      <c r="C410">
        <v>30</v>
      </c>
      <c r="D410">
        <v>18</v>
      </c>
    </row>
    <row r="411" spans="1:4">
      <c r="A411">
        <v>410</v>
      </c>
      <c r="B411">
        <v>10401</v>
      </c>
      <c r="C411">
        <v>56</v>
      </c>
      <c r="D411">
        <v>70</v>
      </c>
    </row>
    <row r="412" spans="1:4">
      <c r="A412">
        <v>411</v>
      </c>
      <c r="B412">
        <v>10401</v>
      </c>
      <c r="C412">
        <v>65</v>
      </c>
      <c r="D412">
        <v>20</v>
      </c>
    </row>
    <row r="413" spans="1:4">
      <c r="A413">
        <v>412</v>
      </c>
      <c r="B413">
        <v>10401</v>
      </c>
      <c r="C413">
        <v>71</v>
      </c>
      <c r="D413">
        <v>60</v>
      </c>
    </row>
    <row r="414" spans="1:4">
      <c r="A414">
        <v>413</v>
      </c>
      <c r="B414">
        <v>10402</v>
      </c>
      <c r="C414">
        <v>23</v>
      </c>
      <c r="D414">
        <v>60</v>
      </c>
    </row>
    <row r="415" spans="1:4">
      <c r="A415">
        <v>414</v>
      </c>
      <c r="B415">
        <v>10402</v>
      </c>
      <c r="C415">
        <v>63</v>
      </c>
      <c r="D415">
        <v>65</v>
      </c>
    </row>
    <row r="416" spans="1:4">
      <c r="A416">
        <v>415</v>
      </c>
      <c r="B416">
        <v>10403</v>
      </c>
      <c r="C416">
        <v>16</v>
      </c>
      <c r="D416">
        <v>21</v>
      </c>
    </row>
    <row r="417" spans="1:4">
      <c r="A417">
        <v>416</v>
      </c>
      <c r="B417">
        <v>10403</v>
      </c>
      <c r="C417">
        <v>48</v>
      </c>
      <c r="D417">
        <v>70</v>
      </c>
    </row>
    <row r="418" spans="1:4">
      <c r="A418">
        <v>417</v>
      </c>
      <c r="B418">
        <v>10404</v>
      </c>
      <c r="C418">
        <v>26</v>
      </c>
      <c r="D418">
        <v>30</v>
      </c>
    </row>
    <row r="419" spans="1:4">
      <c r="A419">
        <v>418</v>
      </c>
      <c r="B419">
        <v>10404</v>
      </c>
      <c r="C419">
        <v>42</v>
      </c>
      <c r="D419">
        <v>40</v>
      </c>
    </row>
    <row r="420" spans="1:4">
      <c r="A420">
        <v>419</v>
      </c>
      <c r="B420">
        <v>10404</v>
      </c>
      <c r="C420">
        <v>49</v>
      </c>
      <c r="D420">
        <v>30</v>
      </c>
    </row>
    <row r="421" spans="1:4">
      <c r="A421">
        <v>420</v>
      </c>
      <c r="B421">
        <v>10405</v>
      </c>
      <c r="C421">
        <v>3</v>
      </c>
      <c r="D421">
        <v>50</v>
      </c>
    </row>
    <row r="422" spans="1:4">
      <c r="A422">
        <v>421</v>
      </c>
      <c r="B422">
        <v>10406</v>
      </c>
      <c r="C422">
        <v>1</v>
      </c>
      <c r="D422">
        <v>10</v>
      </c>
    </row>
    <row r="423" spans="1:4">
      <c r="A423">
        <v>422</v>
      </c>
      <c r="B423">
        <v>10406</v>
      </c>
      <c r="C423">
        <v>21</v>
      </c>
      <c r="D423">
        <v>30</v>
      </c>
    </row>
    <row r="424" spans="1:4">
      <c r="A424">
        <v>423</v>
      </c>
      <c r="B424">
        <v>10406</v>
      </c>
      <c r="C424">
        <v>28</v>
      </c>
      <c r="D424">
        <v>42</v>
      </c>
    </row>
    <row r="425" spans="1:4">
      <c r="A425">
        <v>424</v>
      </c>
      <c r="B425">
        <v>10406</v>
      </c>
      <c r="C425">
        <v>36</v>
      </c>
      <c r="D425">
        <v>5</v>
      </c>
    </row>
    <row r="426" spans="1:4">
      <c r="A426">
        <v>425</v>
      </c>
      <c r="B426">
        <v>10406</v>
      </c>
      <c r="C426">
        <v>40</v>
      </c>
      <c r="D426">
        <v>2</v>
      </c>
    </row>
    <row r="427" spans="1:4">
      <c r="A427">
        <v>426</v>
      </c>
      <c r="B427">
        <v>10407</v>
      </c>
      <c r="C427">
        <v>11</v>
      </c>
      <c r="D427">
        <v>30</v>
      </c>
    </row>
    <row r="428" spans="1:4">
      <c r="A428">
        <v>427</v>
      </c>
      <c r="B428">
        <v>10407</v>
      </c>
      <c r="C428">
        <v>69</v>
      </c>
      <c r="D428">
        <v>15</v>
      </c>
    </row>
    <row r="429" spans="1:4">
      <c r="A429">
        <v>428</v>
      </c>
      <c r="B429">
        <v>10407</v>
      </c>
      <c r="C429">
        <v>71</v>
      </c>
      <c r="D429">
        <v>15</v>
      </c>
    </row>
    <row r="430" spans="1:4">
      <c r="A430">
        <v>429</v>
      </c>
      <c r="B430">
        <v>10408</v>
      </c>
      <c r="C430">
        <v>37</v>
      </c>
      <c r="D430">
        <v>10</v>
      </c>
    </row>
    <row r="431" spans="1:4">
      <c r="A431">
        <v>430</v>
      </c>
      <c r="B431">
        <v>10408</v>
      </c>
      <c r="C431">
        <v>54</v>
      </c>
      <c r="D431">
        <v>6</v>
      </c>
    </row>
    <row r="432" spans="1:4">
      <c r="A432">
        <v>431</v>
      </c>
      <c r="B432">
        <v>10408</v>
      </c>
      <c r="C432">
        <v>62</v>
      </c>
      <c r="D432">
        <v>35</v>
      </c>
    </row>
    <row r="433" spans="1:4">
      <c r="A433">
        <v>432</v>
      </c>
      <c r="B433">
        <v>10409</v>
      </c>
      <c r="C433">
        <v>14</v>
      </c>
      <c r="D433">
        <v>12</v>
      </c>
    </row>
    <row r="434" spans="1:4">
      <c r="A434">
        <v>433</v>
      </c>
      <c r="B434">
        <v>10409</v>
      </c>
      <c r="C434">
        <v>21</v>
      </c>
      <c r="D434">
        <v>12</v>
      </c>
    </row>
    <row r="435" spans="1:4">
      <c r="A435">
        <v>434</v>
      </c>
      <c r="B435">
        <v>10410</v>
      </c>
      <c r="C435">
        <v>33</v>
      </c>
      <c r="D435">
        <v>49</v>
      </c>
    </row>
    <row r="436" spans="1:4">
      <c r="A436">
        <v>435</v>
      </c>
      <c r="B436">
        <v>10410</v>
      </c>
      <c r="C436">
        <v>59</v>
      </c>
      <c r="D436">
        <v>16</v>
      </c>
    </row>
    <row r="437" spans="1:4">
      <c r="A437">
        <v>436</v>
      </c>
      <c r="B437">
        <v>10411</v>
      </c>
      <c r="C437">
        <v>41</v>
      </c>
      <c r="D437">
        <v>25</v>
      </c>
    </row>
    <row r="438" spans="1:4">
      <c r="A438">
        <v>437</v>
      </c>
      <c r="B438">
        <v>10411</v>
      </c>
      <c r="C438">
        <v>44</v>
      </c>
      <c r="D438">
        <v>40</v>
      </c>
    </row>
    <row r="439" spans="1:4">
      <c r="A439">
        <v>438</v>
      </c>
      <c r="B439">
        <v>10411</v>
      </c>
      <c r="C439">
        <v>59</v>
      </c>
      <c r="D439">
        <v>9</v>
      </c>
    </row>
    <row r="440" spans="1:4">
      <c r="A440">
        <v>439</v>
      </c>
      <c r="B440">
        <v>10412</v>
      </c>
      <c r="C440">
        <v>14</v>
      </c>
      <c r="D440">
        <v>20</v>
      </c>
    </row>
    <row r="441" spans="1:4">
      <c r="A441">
        <v>440</v>
      </c>
      <c r="B441">
        <v>10413</v>
      </c>
      <c r="C441">
        <v>1</v>
      </c>
      <c r="D441">
        <v>24</v>
      </c>
    </row>
    <row r="442" spans="1:4">
      <c r="A442">
        <v>441</v>
      </c>
      <c r="B442">
        <v>10413</v>
      </c>
      <c r="C442">
        <v>62</v>
      </c>
      <c r="D442">
        <v>40</v>
      </c>
    </row>
    <row r="443" spans="1:4">
      <c r="A443">
        <v>442</v>
      </c>
      <c r="B443">
        <v>10413</v>
      </c>
      <c r="C443">
        <v>76</v>
      </c>
      <c r="D443">
        <v>14</v>
      </c>
    </row>
    <row r="444" spans="1:4">
      <c r="A444">
        <v>443</v>
      </c>
      <c r="B444">
        <v>10414</v>
      </c>
      <c r="C444">
        <v>19</v>
      </c>
      <c r="D444">
        <v>18</v>
      </c>
    </row>
    <row r="445" spans="1:4">
      <c r="A445">
        <v>444</v>
      </c>
      <c r="B445">
        <v>10414</v>
      </c>
      <c r="C445">
        <v>33</v>
      </c>
      <c r="D445">
        <v>50</v>
      </c>
    </row>
    <row r="446" spans="1:4">
      <c r="A446">
        <v>445</v>
      </c>
      <c r="B446">
        <v>10415</v>
      </c>
      <c r="C446">
        <v>17</v>
      </c>
      <c r="D446">
        <v>2</v>
      </c>
    </row>
    <row r="447" spans="1:4">
      <c r="A447">
        <v>446</v>
      </c>
      <c r="B447">
        <v>10415</v>
      </c>
      <c r="C447">
        <v>33</v>
      </c>
      <c r="D447">
        <v>20</v>
      </c>
    </row>
    <row r="448" spans="1:4">
      <c r="A448">
        <v>447</v>
      </c>
      <c r="B448">
        <v>10416</v>
      </c>
      <c r="C448">
        <v>19</v>
      </c>
      <c r="D448">
        <v>20</v>
      </c>
    </row>
    <row r="449" spans="1:4">
      <c r="A449">
        <v>448</v>
      </c>
      <c r="B449">
        <v>10416</v>
      </c>
      <c r="C449">
        <v>53</v>
      </c>
      <c r="D449">
        <v>10</v>
      </c>
    </row>
    <row r="450" spans="1:4">
      <c r="A450">
        <v>449</v>
      </c>
      <c r="B450">
        <v>10416</v>
      </c>
      <c r="C450">
        <v>57</v>
      </c>
      <c r="D450">
        <v>20</v>
      </c>
    </row>
    <row r="451" spans="1:4">
      <c r="A451">
        <v>450</v>
      </c>
      <c r="B451">
        <v>10417</v>
      </c>
      <c r="C451">
        <v>38</v>
      </c>
      <c r="D451">
        <v>50</v>
      </c>
    </row>
    <row r="452" spans="1:4">
      <c r="A452">
        <v>451</v>
      </c>
      <c r="B452">
        <v>10417</v>
      </c>
      <c r="C452">
        <v>46</v>
      </c>
      <c r="D452">
        <v>2</v>
      </c>
    </row>
    <row r="453" spans="1:4">
      <c r="A453">
        <v>452</v>
      </c>
      <c r="B453">
        <v>10417</v>
      </c>
      <c r="C453">
        <v>68</v>
      </c>
      <c r="D453">
        <v>36</v>
      </c>
    </row>
    <row r="454" spans="1:4">
      <c r="A454">
        <v>453</v>
      </c>
      <c r="B454">
        <v>10417</v>
      </c>
      <c r="C454">
        <v>77</v>
      </c>
      <c r="D454">
        <v>35</v>
      </c>
    </row>
    <row r="455" spans="1:4">
      <c r="A455">
        <v>454</v>
      </c>
      <c r="B455">
        <v>10418</v>
      </c>
      <c r="C455">
        <v>2</v>
      </c>
      <c r="D455">
        <v>60</v>
      </c>
    </row>
    <row r="456" spans="1:4">
      <c r="A456">
        <v>455</v>
      </c>
      <c r="B456">
        <v>10418</v>
      </c>
      <c r="C456">
        <v>47</v>
      </c>
      <c r="D456">
        <v>55</v>
      </c>
    </row>
    <row r="457" spans="1:4">
      <c r="A457">
        <v>456</v>
      </c>
      <c r="B457">
        <v>10418</v>
      </c>
      <c r="C457">
        <v>61</v>
      </c>
      <c r="D457">
        <v>16</v>
      </c>
    </row>
    <row r="458" spans="1:4">
      <c r="A458">
        <v>457</v>
      </c>
      <c r="B458">
        <v>10418</v>
      </c>
      <c r="C458">
        <v>74</v>
      </c>
      <c r="D458">
        <v>15</v>
      </c>
    </row>
    <row r="459" spans="1:4">
      <c r="A459">
        <v>458</v>
      </c>
      <c r="B459">
        <v>10419</v>
      </c>
      <c r="C459">
        <v>60</v>
      </c>
      <c r="D459">
        <v>60</v>
      </c>
    </row>
    <row r="460" spans="1:4">
      <c r="A460">
        <v>459</v>
      </c>
      <c r="B460">
        <v>10419</v>
      </c>
      <c r="C460">
        <v>69</v>
      </c>
      <c r="D460">
        <v>20</v>
      </c>
    </row>
    <row r="461" spans="1:4">
      <c r="A461">
        <v>460</v>
      </c>
      <c r="B461">
        <v>10420</v>
      </c>
      <c r="C461">
        <v>9</v>
      </c>
      <c r="D461">
        <v>20</v>
      </c>
    </row>
    <row r="462" spans="1:4">
      <c r="A462">
        <v>461</v>
      </c>
      <c r="B462">
        <v>10420</v>
      </c>
      <c r="C462">
        <v>13</v>
      </c>
      <c r="D462">
        <v>2</v>
      </c>
    </row>
    <row r="463" spans="1:4">
      <c r="A463">
        <v>462</v>
      </c>
      <c r="B463">
        <v>10420</v>
      </c>
      <c r="C463">
        <v>70</v>
      </c>
      <c r="D463">
        <v>8</v>
      </c>
    </row>
    <row r="464" spans="1:4">
      <c r="A464">
        <v>463</v>
      </c>
      <c r="B464">
        <v>10420</v>
      </c>
      <c r="C464">
        <v>73</v>
      </c>
      <c r="D464">
        <v>20</v>
      </c>
    </row>
    <row r="465" spans="1:4">
      <c r="A465">
        <v>464</v>
      </c>
      <c r="B465">
        <v>10421</v>
      </c>
      <c r="C465">
        <v>19</v>
      </c>
      <c r="D465">
        <v>4</v>
      </c>
    </row>
    <row r="466" spans="1:4">
      <c r="A466">
        <v>465</v>
      </c>
      <c r="B466">
        <v>10421</v>
      </c>
      <c r="C466">
        <v>26</v>
      </c>
      <c r="D466">
        <v>30</v>
      </c>
    </row>
    <row r="467" spans="1:4">
      <c r="A467">
        <v>466</v>
      </c>
      <c r="B467">
        <v>10421</v>
      </c>
      <c r="C467">
        <v>53</v>
      </c>
      <c r="D467">
        <v>15</v>
      </c>
    </row>
    <row r="468" spans="1:4">
      <c r="A468">
        <v>467</v>
      </c>
      <c r="B468">
        <v>10421</v>
      </c>
      <c r="C468">
        <v>77</v>
      </c>
      <c r="D468">
        <v>10</v>
      </c>
    </row>
    <row r="469" spans="1:4">
      <c r="A469">
        <v>468</v>
      </c>
      <c r="B469">
        <v>10422</v>
      </c>
      <c r="C469">
        <v>26</v>
      </c>
      <c r="D469">
        <v>2</v>
      </c>
    </row>
    <row r="470" spans="1:4">
      <c r="A470">
        <v>469</v>
      </c>
      <c r="B470">
        <v>10423</v>
      </c>
      <c r="C470">
        <v>31</v>
      </c>
      <c r="D470">
        <v>14</v>
      </c>
    </row>
    <row r="471" spans="1:4">
      <c r="A471">
        <v>470</v>
      </c>
      <c r="B471">
        <v>10423</v>
      </c>
      <c r="C471">
        <v>59</v>
      </c>
      <c r="D471">
        <v>20</v>
      </c>
    </row>
    <row r="472" spans="1:4">
      <c r="A472">
        <v>471</v>
      </c>
      <c r="B472">
        <v>10424</v>
      </c>
      <c r="C472">
        <v>35</v>
      </c>
      <c r="D472">
        <v>60</v>
      </c>
    </row>
    <row r="473" spans="1:4">
      <c r="A473">
        <v>472</v>
      </c>
      <c r="B473">
        <v>10424</v>
      </c>
      <c r="C473">
        <v>38</v>
      </c>
      <c r="D473">
        <v>49</v>
      </c>
    </row>
    <row r="474" spans="1:4">
      <c r="A474">
        <v>473</v>
      </c>
      <c r="B474">
        <v>10424</v>
      </c>
      <c r="C474">
        <v>68</v>
      </c>
      <c r="D474">
        <v>30</v>
      </c>
    </row>
    <row r="475" spans="1:4">
      <c r="A475">
        <v>474</v>
      </c>
      <c r="B475">
        <v>10425</v>
      </c>
      <c r="C475">
        <v>55</v>
      </c>
      <c r="D475">
        <v>10</v>
      </c>
    </row>
    <row r="476" spans="1:4">
      <c r="A476">
        <v>475</v>
      </c>
      <c r="B476">
        <v>10425</v>
      </c>
      <c r="C476">
        <v>76</v>
      </c>
      <c r="D476">
        <v>20</v>
      </c>
    </row>
    <row r="477" spans="1:4">
      <c r="A477">
        <v>476</v>
      </c>
      <c r="B477">
        <v>10426</v>
      </c>
      <c r="C477">
        <v>56</v>
      </c>
      <c r="D477">
        <v>5</v>
      </c>
    </row>
    <row r="478" spans="1:4">
      <c r="A478">
        <v>477</v>
      </c>
      <c r="B478">
        <v>10426</v>
      </c>
      <c r="C478">
        <v>64</v>
      </c>
      <c r="D478">
        <v>7</v>
      </c>
    </row>
    <row r="479" spans="1:4">
      <c r="A479">
        <v>478</v>
      </c>
      <c r="B479">
        <v>10427</v>
      </c>
      <c r="C479">
        <v>14</v>
      </c>
      <c r="D479">
        <v>35</v>
      </c>
    </row>
    <row r="480" spans="1:4">
      <c r="A480">
        <v>479</v>
      </c>
      <c r="B480">
        <v>10428</v>
      </c>
      <c r="C480">
        <v>46</v>
      </c>
      <c r="D480">
        <v>20</v>
      </c>
    </row>
    <row r="481" spans="1:4">
      <c r="A481">
        <v>480</v>
      </c>
      <c r="B481">
        <v>10429</v>
      </c>
      <c r="C481">
        <v>50</v>
      </c>
      <c r="D481">
        <v>40</v>
      </c>
    </row>
    <row r="482" spans="1:4">
      <c r="A482">
        <v>481</v>
      </c>
      <c r="B482">
        <v>10429</v>
      </c>
      <c r="C482">
        <v>63</v>
      </c>
      <c r="D482">
        <v>35</v>
      </c>
    </row>
    <row r="483" spans="1:4">
      <c r="A483">
        <v>482</v>
      </c>
      <c r="B483">
        <v>10430</v>
      </c>
      <c r="C483">
        <v>17</v>
      </c>
      <c r="D483">
        <v>45</v>
      </c>
    </row>
    <row r="484" spans="1:4">
      <c r="A484">
        <v>483</v>
      </c>
      <c r="B484">
        <v>10430</v>
      </c>
      <c r="C484">
        <v>21</v>
      </c>
      <c r="D484">
        <v>50</v>
      </c>
    </row>
    <row r="485" spans="1:4">
      <c r="A485">
        <v>484</v>
      </c>
      <c r="B485">
        <v>10430</v>
      </c>
      <c r="C485">
        <v>56</v>
      </c>
      <c r="D485">
        <v>30</v>
      </c>
    </row>
    <row r="486" spans="1:4">
      <c r="A486">
        <v>485</v>
      </c>
      <c r="B486">
        <v>10430</v>
      </c>
      <c r="C486">
        <v>59</v>
      </c>
      <c r="D486">
        <v>70</v>
      </c>
    </row>
    <row r="487" spans="1:4">
      <c r="A487">
        <v>486</v>
      </c>
      <c r="B487">
        <v>10431</v>
      </c>
      <c r="C487">
        <v>17</v>
      </c>
      <c r="D487">
        <v>50</v>
      </c>
    </row>
    <row r="488" spans="1:4">
      <c r="A488">
        <v>487</v>
      </c>
      <c r="B488">
        <v>10431</v>
      </c>
      <c r="C488">
        <v>40</v>
      </c>
      <c r="D488">
        <v>50</v>
      </c>
    </row>
    <row r="489" spans="1:4">
      <c r="A489">
        <v>488</v>
      </c>
      <c r="B489">
        <v>10431</v>
      </c>
      <c r="C489">
        <v>47</v>
      </c>
      <c r="D489">
        <v>30</v>
      </c>
    </row>
    <row r="490" spans="1:4">
      <c r="A490">
        <v>489</v>
      </c>
      <c r="B490">
        <v>10432</v>
      </c>
      <c r="C490">
        <v>26</v>
      </c>
      <c r="D490">
        <v>10</v>
      </c>
    </row>
    <row r="491" spans="1:4">
      <c r="A491">
        <v>490</v>
      </c>
      <c r="B491">
        <v>10432</v>
      </c>
      <c r="C491">
        <v>54</v>
      </c>
      <c r="D491">
        <v>40</v>
      </c>
    </row>
    <row r="492" spans="1:4">
      <c r="A492">
        <v>491</v>
      </c>
      <c r="B492">
        <v>10433</v>
      </c>
      <c r="C492">
        <v>56</v>
      </c>
      <c r="D492">
        <v>28</v>
      </c>
    </row>
    <row r="493" spans="1:4">
      <c r="A493">
        <v>492</v>
      </c>
      <c r="B493">
        <v>10434</v>
      </c>
      <c r="C493">
        <v>11</v>
      </c>
      <c r="D493">
        <v>6</v>
      </c>
    </row>
    <row r="494" spans="1:4">
      <c r="A494">
        <v>493</v>
      </c>
      <c r="B494">
        <v>10434</v>
      </c>
      <c r="C494">
        <v>76</v>
      </c>
      <c r="D494">
        <v>18</v>
      </c>
    </row>
    <row r="495" spans="1:4">
      <c r="A495">
        <v>494</v>
      </c>
      <c r="B495">
        <v>10435</v>
      </c>
      <c r="C495">
        <v>2</v>
      </c>
      <c r="D495">
        <v>10</v>
      </c>
    </row>
    <row r="496" spans="1:4">
      <c r="A496">
        <v>495</v>
      </c>
      <c r="B496">
        <v>10435</v>
      </c>
      <c r="C496">
        <v>22</v>
      </c>
      <c r="D496">
        <v>12</v>
      </c>
    </row>
    <row r="497" spans="1:4">
      <c r="A497">
        <v>496</v>
      </c>
      <c r="B497">
        <v>10435</v>
      </c>
      <c r="C497">
        <v>72</v>
      </c>
      <c r="D497">
        <v>10</v>
      </c>
    </row>
    <row r="498" spans="1:4">
      <c r="A498">
        <v>497</v>
      </c>
      <c r="B498">
        <v>10436</v>
      </c>
      <c r="C498">
        <v>46</v>
      </c>
      <c r="D498">
        <v>5</v>
      </c>
    </row>
    <row r="499" spans="1:4">
      <c r="A499">
        <v>498</v>
      </c>
      <c r="B499">
        <v>10436</v>
      </c>
      <c r="C499">
        <v>56</v>
      </c>
      <c r="D499">
        <v>40</v>
      </c>
    </row>
    <row r="500" spans="1:4">
      <c r="A500">
        <v>499</v>
      </c>
      <c r="B500">
        <v>10436</v>
      </c>
      <c r="C500">
        <v>64</v>
      </c>
      <c r="D500">
        <v>30</v>
      </c>
    </row>
    <row r="501" spans="1:4">
      <c r="A501">
        <v>500</v>
      </c>
      <c r="B501">
        <v>10436</v>
      </c>
      <c r="C501">
        <v>75</v>
      </c>
      <c r="D501">
        <v>24</v>
      </c>
    </row>
    <row r="502" spans="1:4">
      <c r="A502">
        <v>501</v>
      </c>
      <c r="B502">
        <v>10437</v>
      </c>
      <c r="C502">
        <v>53</v>
      </c>
      <c r="D502">
        <v>15</v>
      </c>
    </row>
    <row r="503" spans="1:4">
      <c r="A503">
        <v>502</v>
      </c>
      <c r="B503">
        <v>10438</v>
      </c>
      <c r="C503">
        <v>19</v>
      </c>
      <c r="D503">
        <v>15</v>
      </c>
    </row>
    <row r="504" spans="1:4">
      <c r="A504">
        <v>503</v>
      </c>
      <c r="B504">
        <v>10438</v>
      </c>
      <c r="C504">
        <v>34</v>
      </c>
      <c r="D504">
        <v>20</v>
      </c>
    </row>
    <row r="505" spans="1:4">
      <c r="A505">
        <v>504</v>
      </c>
      <c r="B505">
        <v>10438</v>
      </c>
      <c r="C505">
        <v>57</v>
      </c>
      <c r="D505">
        <v>15</v>
      </c>
    </row>
    <row r="506" spans="1:4">
      <c r="A506">
        <v>505</v>
      </c>
      <c r="B506">
        <v>10439</v>
      </c>
      <c r="C506">
        <v>12</v>
      </c>
      <c r="D506">
        <v>15</v>
      </c>
    </row>
    <row r="507" spans="1:4">
      <c r="A507">
        <v>506</v>
      </c>
      <c r="B507">
        <v>10439</v>
      </c>
      <c r="C507">
        <v>16</v>
      </c>
      <c r="D507">
        <v>16</v>
      </c>
    </row>
    <row r="508" spans="1:4">
      <c r="A508">
        <v>507</v>
      </c>
      <c r="B508">
        <v>10439</v>
      </c>
      <c r="C508">
        <v>64</v>
      </c>
      <c r="D508">
        <v>6</v>
      </c>
    </row>
    <row r="509" spans="1:4">
      <c r="A509">
        <v>508</v>
      </c>
      <c r="B509">
        <v>10439</v>
      </c>
      <c r="C509">
        <v>74</v>
      </c>
      <c r="D509">
        <v>30</v>
      </c>
    </row>
    <row r="510" spans="1:4">
      <c r="A510">
        <v>509</v>
      </c>
      <c r="B510">
        <v>10440</v>
      </c>
      <c r="C510">
        <v>2</v>
      </c>
      <c r="D510">
        <v>45</v>
      </c>
    </row>
    <row r="511" spans="1:4">
      <c r="A511">
        <v>510</v>
      </c>
      <c r="B511">
        <v>10440</v>
      </c>
      <c r="C511">
        <v>16</v>
      </c>
      <c r="D511">
        <v>49</v>
      </c>
    </row>
    <row r="512" spans="1:4">
      <c r="A512">
        <v>511</v>
      </c>
      <c r="B512">
        <v>10440</v>
      </c>
      <c r="C512">
        <v>29</v>
      </c>
      <c r="D512">
        <v>24</v>
      </c>
    </row>
    <row r="513" spans="1:4">
      <c r="A513">
        <v>512</v>
      </c>
      <c r="B513">
        <v>10440</v>
      </c>
      <c r="C513">
        <v>61</v>
      </c>
      <c r="D513">
        <v>90</v>
      </c>
    </row>
    <row r="514" spans="1:4">
      <c r="A514">
        <v>513</v>
      </c>
      <c r="B514">
        <v>10441</v>
      </c>
      <c r="C514">
        <v>27</v>
      </c>
      <c r="D514">
        <v>50</v>
      </c>
    </row>
    <row r="515" spans="1:4">
      <c r="A515">
        <v>514</v>
      </c>
      <c r="B515">
        <v>10442</v>
      </c>
      <c r="C515">
        <v>11</v>
      </c>
      <c r="D515">
        <v>30</v>
      </c>
    </row>
    <row r="516" spans="1:4">
      <c r="A516">
        <v>515</v>
      </c>
      <c r="B516">
        <v>10442</v>
      </c>
      <c r="C516">
        <v>54</v>
      </c>
      <c r="D516">
        <v>80</v>
      </c>
    </row>
    <row r="517" spans="1:4">
      <c r="A517">
        <v>516</v>
      </c>
      <c r="B517">
        <v>10442</v>
      </c>
      <c r="C517">
        <v>66</v>
      </c>
      <c r="D517">
        <v>60</v>
      </c>
    </row>
    <row r="518" spans="1:4">
      <c r="A518">
        <v>517</v>
      </c>
      <c r="B518">
        <v>10443</v>
      </c>
      <c r="C518">
        <v>11</v>
      </c>
      <c r="D518">
        <v>6</v>
      </c>
    </row>
    <row r="519" spans="1:4">
      <c r="A519">
        <v>518</v>
      </c>
      <c r="B519">
        <v>10443</v>
      </c>
      <c r="C519">
        <v>28</v>
      </c>
      <c r="D519">
        <v>12</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97"/>
  <sheetViews>
    <sheetView workbookViewId="0">
      <pane ySplit="1" topLeftCell="A2" activePane="bottomLeft" state="frozen"/>
      <selection pane="bottomLeft" activeCell="J10" sqref="J10"/>
    </sheetView>
  </sheetViews>
  <sheetFormatPr defaultRowHeight="14.5"/>
  <cols>
    <col min="1" max="1" width="12.54296875" bestFit="1" customWidth="1"/>
    <col min="2" max="2" width="16" bestFit="1" customWidth="1"/>
    <col min="3" max="3" width="16.26953125" bestFit="1" customWidth="1"/>
    <col min="4" max="4" width="20" customWidth="1"/>
    <col min="5" max="5" width="14.26953125" bestFit="1" customWidth="1"/>
    <col min="6" max="6" width="17" bestFit="1" customWidth="1"/>
    <col min="7" max="8" width="16" bestFit="1" customWidth="1"/>
  </cols>
  <sheetData>
    <row r="1" spans="1:8">
      <c r="A1" s="2" t="s">
        <v>460</v>
      </c>
      <c r="B1" s="2" t="s">
        <v>19</v>
      </c>
      <c r="C1" s="2" t="s">
        <v>413</v>
      </c>
      <c r="D1" s="2" t="s">
        <v>463</v>
      </c>
      <c r="E1" s="2" t="s">
        <v>464</v>
      </c>
      <c r="F1" s="8" t="s">
        <v>787</v>
      </c>
      <c r="G1" s="2" t="s">
        <v>788</v>
      </c>
      <c r="H1" s="2" t="s">
        <v>789</v>
      </c>
    </row>
    <row r="2" spans="1:8">
      <c r="A2">
        <v>10248</v>
      </c>
      <c r="B2">
        <v>90</v>
      </c>
      <c r="C2">
        <v>5</v>
      </c>
      <c r="D2" s="1">
        <v>35250</v>
      </c>
      <c r="E2">
        <v>3</v>
      </c>
      <c r="F2" t="str">
        <f>IF(OR(Πίνακας6[[#This Row],[ShipperID]]=1,Πίνακας6[[#This Row],[ShipperID]]=3),"Fast shipping lane","Standard shipping")</f>
        <v>Fast shipping lane</v>
      </c>
      <c r="G2" t="str">
        <f>VLOOKUP(Πίνακας6[[#This Row],[ShipperID]],Πίνακας8[#All],2,FALSE)</f>
        <v>Federal Shipping</v>
      </c>
      <c r="H2" t="str">
        <f>_xlfn.XLOOKUP(Πίνακας6[[#This Row],[ShipperID]],shippers!A:A,shippers!B:B,,FALSE)</f>
        <v>Federal Shipping</v>
      </c>
    </row>
    <row r="3" spans="1:8">
      <c r="A3">
        <v>10249</v>
      </c>
      <c r="B3">
        <v>81</v>
      </c>
      <c r="C3">
        <v>6</v>
      </c>
      <c r="D3" s="1">
        <v>35251</v>
      </c>
      <c r="E3">
        <v>1</v>
      </c>
      <c r="F3" t="str">
        <f>IF(OR(Πίνακας6[[#This Row],[ShipperID]]=1,Πίνακας6[[#This Row],[ShipperID]]=3),"Fast shipping lane","Standard shipping")</f>
        <v>Fast shipping lane</v>
      </c>
      <c r="G3" t="str">
        <f>VLOOKUP(Πίνακας6[[#This Row],[ShipperID]],Πίνακας8[#All],2,FALSE)</f>
        <v>Speedy Express</v>
      </c>
      <c r="H3" t="str">
        <f>_xlfn.XLOOKUP(Πίνακας6[[#This Row],[ShipperID]],shippers!A:A,shippers!B:B,,FALSE)</f>
        <v>Speedy Express</v>
      </c>
    </row>
    <row r="4" spans="1:8">
      <c r="A4">
        <v>10250</v>
      </c>
      <c r="B4">
        <v>34</v>
      </c>
      <c r="C4">
        <v>4</v>
      </c>
      <c r="D4" s="1">
        <v>35254</v>
      </c>
      <c r="E4">
        <v>2</v>
      </c>
      <c r="F4" t="str">
        <f>IF(OR(Πίνακας6[[#This Row],[ShipperID]]=1,Πίνακας6[[#This Row],[ShipperID]]=3),"Fast shipping lane","Standard shipping")</f>
        <v>Standard shipping</v>
      </c>
      <c r="G4" t="str">
        <f>VLOOKUP(Πίνακας6[[#This Row],[ShipperID]],Πίνακας8[#All],2,FALSE)</f>
        <v>United Package</v>
      </c>
      <c r="H4" t="str">
        <f>_xlfn.XLOOKUP(Πίνακας6[[#This Row],[ShipperID]],shippers!A:A,shippers!B:B,,FALSE)</f>
        <v>United Package</v>
      </c>
    </row>
    <row r="5" spans="1:8">
      <c r="A5">
        <v>10251</v>
      </c>
      <c r="B5">
        <v>84</v>
      </c>
      <c r="C5">
        <v>3</v>
      </c>
      <c r="D5" s="1">
        <v>35254</v>
      </c>
      <c r="E5">
        <v>1</v>
      </c>
      <c r="F5" t="str">
        <f>IF(OR(Πίνακας6[[#This Row],[ShipperID]]=1,Πίνακας6[[#This Row],[ShipperID]]=3),"Fast shipping lane","Standard shipping")</f>
        <v>Fast shipping lane</v>
      </c>
      <c r="G5" t="str">
        <f>VLOOKUP(Πίνακας6[[#This Row],[ShipperID]],Πίνακας8[#All],2,FALSE)</f>
        <v>Speedy Express</v>
      </c>
      <c r="H5" t="str">
        <f>_xlfn.XLOOKUP(Πίνακας6[[#This Row],[ShipperID]],shippers!A:A,shippers!B:B,,FALSE)</f>
        <v>Speedy Express</v>
      </c>
    </row>
    <row r="6" spans="1:8">
      <c r="A6">
        <v>10252</v>
      </c>
      <c r="B6">
        <v>76</v>
      </c>
      <c r="C6">
        <v>4</v>
      </c>
      <c r="D6" s="1">
        <v>35255</v>
      </c>
      <c r="E6">
        <v>2</v>
      </c>
      <c r="F6" t="str">
        <f>IF(OR(Πίνακας6[[#This Row],[ShipperID]]=1,Πίνακας6[[#This Row],[ShipperID]]=3),"Fast shipping lane","Standard shipping")</f>
        <v>Standard shipping</v>
      </c>
      <c r="G6" t="str">
        <f>VLOOKUP(Πίνακας6[[#This Row],[ShipperID]],Πίνακας8[#All],2,FALSE)</f>
        <v>United Package</v>
      </c>
      <c r="H6" t="str">
        <f>_xlfn.XLOOKUP(Πίνακας6[[#This Row],[ShipperID]],shippers!A:A,shippers!B:B,,FALSE)</f>
        <v>United Package</v>
      </c>
    </row>
    <row r="7" spans="1:8">
      <c r="A7">
        <v>10253</v>
      </c>
      <c r="B7">
        <v>34</v>
      </c>
      <c r="C7">
        <v>3</v>
      </c>
      <c r="D7" s="1">
        <v>35256</v>
      </c>
      <c r="E7">
        <v>2</v>
      </c>
      <c r="F7" t="str">
        <f>IF(OR(Πίνακας6[[#This Row],[ShipperID]]=1,Πίνακας6[[#This Row],[ShipperID]]=3),"Fast shipping lane","Standard shipping")</f>
        <v>Standard shipping</v>
      </c>
      <c r="G7" t="str">
        <f>VLOOKUP(Πίνακας6[[#This Row],[ShipperID]],Πίνακας8[#All],2,FALSE)</f>
        <v>United Package</v>
      </c>
      <c r="H7" t="str">
        <f>_xlfn.XLOOKUP(Πίνακας6[[#This Row],[ShipperID]],shippers!A:A,shippers!B:B,,FALSE)</f>
        <v>United Package</v>
      </c>
    </row>
    <row r="8" spans="1:8">
      <c r="A8">
        <v>10254</v>
      </c>
      <c r="B8">
        <v>14</v>
      </c>
      <c r="C8">
        <v>5</v>
      </c>
      <c r="D8" s="1">
        <v>35257</v>
      </c>
      <c r="E8">
        <v>2</v>
      </c>
      <c r="F8" t="str">
        <f>IF(OR(Πίνακας6[[#This Row],[ShipperID]]=1,Πίνακας6[[#This Row],[ShipperID]]=3),"Fast shipping lane","Standard shipping")</f>
        <v>Standard shipping</v>
      </c>
      <c r="G8" t="str">
        <f>VLOOKUP(Πίνακας6[[#This Row],[ShipperID]],Πίνακας8[#All],2,FALSE)</f>
        <v>United Package</v>
      </c>
      <c r="H8" t="str">
        <f>_xlfn.XLOOKUP(Πίνακας6[[#This Row],[ShipperID]],shippers!A:A,shippers!B:B,,FALSE)</f>
        <v>United Package</v>
      </c>
    </row>
    <row r="9" spans="1:8">
      <c r="A9">
        <v>10255</v>
      </c>
      <c r="B9">
        <v>68</v>
      </c>
      <c r="C9">
        <v>9</v>
      </c>
      <c r="D9" s="1">
        <v>35258</v>
      </c>
      <c r="E9">
        <v>3</v>
      </c>
      <c r="F9" t="str">
        <f>IF(OR(Πίνακας6[[#This Row],[ShipperID]]=1,Πίνακας6[[#This Row],[ShipperID]]=3),"Fast shipping lane","Standard shipping")</f>
        <v>Fast shipping lane</v>
      </c>
      <c r="G9" t="str">
        <f>VLOOKUP(Πίνακας6[[#This Row],[ShipperID]],Πίνακας8[#All],2,FALSE)</f>
        <v>Federal Shipping</v>
      </c>
      <c r="H9" t="str">
        <f>_xlfn.XLOOKUP(Πίνακας6[[#This Row],[ShipperID]],shippers!A:A,shippers!B:B,,FALSE)</f>
        <v>Federal Shipping</v>
      </c>
    </row>
    <row r="10" spans="1:8">
      <c r="A10">
        <v>10256</v>
      </c>
      <c r="B10">
        <v>88</v>
      </c>
      <c r="C10">
        <v>3</v>
      </c>
      <c r="D10" s="1">
        <v>35261</v>
      </c>
      <c r="E10">
        <v>2</v>
      </c>
      <c r="F10" t="str">
        <f>IF(OR(Πίνακας6[[#This Row],[ShipperID]]=1,Πίνακας6[[#This Row],[ShipperID]]=3),"Fast shipping lane","Standard shipping")</f>
        <v>Standard shipping</v>
      </c>
      <c r="G10" t="str">
        <f>VLOOKUP(Πίνακας6[[#This Row],[ShipperID]],Πίνακας8[#All],2,FALSE)</f>
        <v>United Package</v>
      </c>
      <c r="H10" t="str">
        <f>_xlfn.XLOOKUP(Πίνακας6[[#This Row],[ShipperID]],shippers!A:A,shippers!B:B,,FALSE)</f>
        <v>United Package</v>
      </c>
    </row>
    <row r="11" spans="1:8">
      <c r="A11">
        <v>10257</v>
      </c>
      <c r="B11">
        <v>35</v>
      </c>
      <c r="C11">
        <v>4</v>
      </c>
      <c r="D11" s="1">
        <v>35262</v>
      </c>
      <c r="E11">
        <v>3</v>
      </c>
      <c r="F11" t="str">
        <f>IF(OR(Πίνακας6[[#This Row],[ShipperID]]=1,Πίνακας6[[#This Row],[ShipperID]]=3),"Fast shipping lane","Standard shipping")</f>
        <v>Fast shipping lane</v>
      </c>
      <c r="G11" t="str">
        <f>VLOOKUP(Πίνακας6[[#This Row],[ShipperID]],Πίνακας8[#All],2,FALSE)</f>
        <v>Federal Shipping</v>
      </c>
      <c r="H11" t="str">
        <f>_xlfn.XLOOKUP(Πίνακας6[[#This Row],[ShipperID]],shippers!A:A,shippers!B:B,,FALSE)</f>
        <v>Federal Shipping</v>
      </c>
    </row>
    <row r="12" spans="1:8">
      <c r="A12">
        <v>10258</v>
      </c>
      <c r="B12">
        <v>20</v>
      </c>
      <c r="C12">
        <v>1</v>
      </c>
      <c r="D12" s="1">
        <v>35263</v>
      </c>
      <c r="E12">
        <v>1</v>
      </c>
      <c r="F12" t="str">
        <f>IF(OR(Πίνακας6[[#This Row],[ShipperID]]=1,Πίνακας6[[#This Row],[ShipperID]]=3),"Fast shipping lane","Standard shipping")</f>
        <v>Fast shipping lane</v>
      </c>
      <c r="G12" t="str">
        <f>VLOOKUP(Πίνακας6[[#This Row],[ShipperID]],Πίνακας8[#All],2,FALSE)</f>
        <v>Speedy Express</v>
      </c>
      <c r="H12" t="str">
        <f>_xlfn.XLOOKUP(Πίνακας6[[#This Row],[ShipperID]],shippers!A:A,shippers!B:B,,FALSE)</f>
        <v>Speedy Express</v>
      </c>
    </row>
    <row r="13" spans="1:8">
      <c r="A13">
        <v>10259</v>
      </c>
      <c r="B13">
        <v>13</v>
      </c>
      <c r="C13">
        <v>4</v>
      </c>
      <c r="D13" s="1">
        <v>35264</v>
      </c>
      <c r="E13">
        <v>3</v>
      </c>
      <c r="F13" t="str">
        <f>IF(OR(Πίνακας6[[#This Row],[ShipperID]]=1,Πίνακας6[[#This Row],[ShipperID]]=3),"Fast shipping lane","Standard shipping")</f>
        <v>Fast shipping lane</v>
      </c>
      <c r="G13" t="str">
        <f>VLOOKUP(Πίνακας6[[#This Row],[ShipperID]],Πίνακας8[#All],2,FALSE)</f>
        <v>Federal Shipping</v>
      </c>
      <c r="H13" t="str">
        <f>_xlfn.XLOOKUP(Πίνακας6[[#This Row],[ShipperID]],shippers!A:A,shippers!B:B,,FALSE)</f>
        <v>Federal Shipping</v>
      </c>
    </row>
    <row r="14" spans="1:8">
      <c r="A14">
        <v>10260</v>
      </c>
      <c r="B14">
        <v>55</v>
      </c>
      <c r="C14">
        <v>4</v>
      </c>
      <c r="D14" s="1">
        <v>35265</v>
      </c>
      <c r="E14">
        <v>1</v>
      </c>
      <c r="F14" t="str">
        <f>IF(OR(Πίνακας6[[#This Row],[ShipperID]]=1,Πίνακας6[[#This Row],[ShipperID]]=3),"Fast shipping lane","Standard shipping")</f>
        <v>Fast shipping lane</v>
      </c>
      <c r="G14" t="str">
        <f>VLOOKUP(Πίνακας6[[#This Row],[ShipperID]],Πίνακας8[#All],2,FALSE)</f>
        <v>Speedy Express</v>
      </c>
      <c r="H14" t="str">
        <f>_xlfn.XLOOKUP(Πίνακας6[[#This Row],[ShipperID]],shippers!A:A,shippers!B:B,,FALSE)</f>
        <v>Speedy Express</v>
      </c>
    </row>
    <row r="15" spans="1:8">
      <c r="A15">
        <v>10261</v>
      </c>
      <c r="B15">
        <v>61</v>
      </c>
      <c r="C15">
        <v>4</v>
      </c>
      <c r="D15" s="1">
        <v>35265</v>
      </c>
      <c r="E15">
        <v>2</v>
      </c>
      <c r="F15" t="str">
        <f>IF(OR(Πίνακας6[[#This Row],[ShipperID]]=1,Πίνακας6[[#This Row],[ShipperID]]=3),"Fast shipping lane","Standard shipping")</f>
        <v>Standard shipping</v>
      </c>
      <c r="G15" t="str">
        <f>VLOOKUP(Πίνακας6[[#This Row],[ShipperID]],Πίνακας8[#All],2,FALSE)</f>
        <v>United Package</v>
      </c>
      <c r="H15" t="str">
        <f>_xlfn.XLOOKUP(Πίνακας6[[#This Row],[ShipperID]],shippers!A:A,shippers!B:B,,FALSE)</f>
        <v>United Package</v>
      </c>
    </row>
    <row r="16" spans="1:8">
      <c r="A16">
        <v>10262</v>
      </c>
      <c r="B16">
        <v>65</v>
      </c>
      <c r="C16">
        <v>8</v>
      </c>
      <c r="D16" s="1">
        <v>35268</v>
      </c>
      <c r="E16">
        <v>3</v>
      </c>
      <c r="F16" t="str">
        <f>IF(OR(Πίνακας6[[#This Row],[ShipperID]]=1,Πίνακας6[[#This Row],[ShipperID]]=3),"Fast shipping lane","Standard shipping")</f>
        <v>Fast shipping lane</v>
      </c>
      <c r="G16" t="str">
        <f>VLOOKUP(Πίνακας6[[#This Row],[ShipperID]],Πίνακας8[#All],2,FALSE)</f>
        <v>Federal Shipping</v>
      </c>
      <c r="H16" t="str">
        <f>_xlfn.XLOOKUP(Πίνακας6[[#This Row],[ShipperID]],shippers!A:A,shippers!B:B,,FALSE)</f>
        <v>Federal Shipping</v>
      </c>
    </row>
    <row r="17" spans="1:8">
      <c r="A17">
        <v>10263</v>
      </c>
      <c r="B17">
        <v>20</v>
      </c>
      <c r="C17">
        <v>9</v>
      </c>
      <c r="D17" s="1">
        <v>35269</v>
      </c>
      <c r="E17">
        <v>3</v>
      </c>
      <c r="F17" t="str">
        <f>IF(OR(Πίνακας6[[#This Row],[ShipperID]]=1,Πίνακας6[[#This Row],[ShipperID]]=3),"Fast shipping lane","Standard shipping")</f>
        <v>Fast shipping lane</v>
      </c>
      <c r="G17" t="str">
        <f>VLOOKUP(Πίνακας6[[#This Row],[ShipperID]],Πίνακας8[#All],2,FALSE)</f>
        <v>Federal Shipping</v>
      </c>
      <c r="H17" t="str">
        <f>_xlfn.XLOOKUP(Πίνακας6[[#This Row],[ShipperID]],shippers!A:A,shippers!B:B,,FALSE)</f>
        <v>Federal Shipping</v>
      </c>
    </row>
    <row r="18" spans="1:8">
      <c r="A18">
        <v>10264</v>
      </c>
      <c r="B18">
        <v>24</v>
      </c>
      <c r="C18">
        <v>6</v>
      </c>
      <c r="D18" s="1">
        <v>35270</v>
      </c>
      <c r="E18">
        <v>3</v>
      </c>
      <c r="F18" t="str">
        <f>IF(OR(Πίνακας6[[#This Row],[ShipperID]]=1,Πίνακας6[[#This Row],[ShipperID]]=3),"Fast shipping lane","Standard shipping")</f>
        <v>Fast shipping lane</v>
      </c>
      <c r="G18" t="str">
        <f>VLOOKUP(Πίνακας6[[#This Row],[ShipperID]],Πίνακας8[#All],2,FALSE)</f>
        <v>Federal Shipping</v>
      </c>
      <c r="H18" t="str">
        <f>_xlfn.XLOOKUP(Πίνακας6[[#This Row],[ShipperID]],shippers!A:A,shippers!B:B,,FALSE)</f>
        <v>Federal Shipping</v>
      </c>
    </row>
    <row r="19" spans="1:8">
      <c r="A19">
        <v>10265</v>
      </c>
      <c r="B19">
        <v>7</v>
      </c>
      <c r="C19">
        <v>2</v>
      </c>
      <c r="D19" s="1">
        <v>35271</v>
      </c>
      <c r="E19">
        <v>1</v>
      </c>
      <c r="F19" t="str">
        <f>IF(OR(Πίνακας6[[#This Row],[ShipperID]]=1,Πίνακας6[[#This Row],[ShipperID]]=3),"Fast shipping lane","Standard shipping")</f>
        <v>Fast shipping lane</v>
      </c>
      <c r="G19" t="str">
        <f>VLOOKUP(Πίνακας6[[#This Row],[ShipperID]],Πίνακας8[#All],2,FALSE)</f>
        <v>Speedy Express</v>
      </c>
      <c r="H19" t="str">
        <f>_xlfn.XLOOKUP(Πίνακας6[[#This Row],[ShipperID]],shippers!A:A,shippers!B:B,,FALSE)</f>
        <v>Speedy Express</v>
      </c>
    </row>
    <row r="20" spans="1:8">
      <c r="A20">
        <v>10266</v>
      </c>
      <c r="B20">
        <v>87</v>
      </c>
      <c r="C20">
        <v>3</v>
      </c>
      <c r="D20" s="1">
        <v>35272</v>
      </c>
      <c r="E20">
        <v>3</v>
      </c>
      <c r="F20" t="str">
        <f>IF(OR(Πίνακας6[[#This Row],[ShipperID]]=1,Πίνακας6[[#This Row],[ShipperID]]=3),"Fast shipping lane","Standard shipping")</f>
        <v>Fast shipping lane</v>
      </c>
      <c r="G20" t="str">
        <f>VLOOKUP(Πίνακας6[[#This Row],[ShipperID]],Πίνακας8[#All],2,FALSE)</f>
        <v>Federal Shipping</v>
      </c>
      <c r="H20" t="str">
        <f>_xlfn.XLOOKUP(Πίνακας6[[#This Row],[ShipperID]],shippers!A:A,shippers!B:B,,FALSE)</f>
        <v>Federal Shipping</v>
      </c>
    </row>
    <row r="21" spans="1:8">
      <c r="A21">
        <v>10267</v>
      </c>
      <c r="B21">
        <v>25</v>
      </c>
      <c r="C21">
        <v>4</v>
      </c>
      <c r="D21" s="1">
        <v>35275</v>
      </c>
      <c r="E21">
        <v>1</v>
      </c>
      <c r="F21" t="str">
        <f>IF(OR(Πίνακας6[[#This Row],[ShipperID]]=1,Πίνακας6[[#This Row],[ShipperID]]=3),"Fast shipping lane","Standard shipping")</f>
        <v>Fast shipping lane</v>
      </c>
      <c r="G21" t="str">
        <f>VLOOKUP(Πίνακας6[[#This Row],[ShipperID]],Πίνακας8[#All],2,FALSE)</f>
        <v>Speedy Express</v>
      </c>
      <c r="H21" t="str">
        <f>_xlfn.XLOOKUP(Πίνακας6[[#This Row],[ShipperID]],shippers!A:A,shippers!B:B,,FALSE)</f>
        <v>Speedy Express</v>
      </c>
    </row>
    <row r="22" spans="1:8">
      <c r="A22">
        <v>10268</v>
      </c>
      <c r="B22">
        <v>33</v>
      </c>
      <c r="C22">
        <v>8</v>
      </c>
      <c r="D22" s="1">
        <v>35276</v>
      </c>
      <c r="E22">
        <v>3</v>
      </c>
      <c r="F22" t="str">
        <f>IF(OR(Πίνακας6[[#This Row],[ShipperID]]=1,Πίνακας6[[#This Row],[ShipperID]]=3),"Fast shipping lane","Standard shipping")</f>
        <v>Fast shipping lane</v>
      </c>
      <c r="G22" t="str">
        <f>VLOOKUP(Πίνακας6[[#This Row],[ShipperID]],Πίνακας8[#All],2,FALSE)</f>
        <v>Federal Shipping</v>
      </c>
      <c r="H22" t="str">
        <f>_xlfn.XLOOKUP(Πίνακας6[[#This Row],[ShipperID]],shippers!A:A,shippers!B:B,,FALSE)</f>
        <v>Federal Shipping</v>
      </c>
    </row>
    <row r="23" spans="1:8">
      <c r="A23">
        <v>10269</v>
      </c>
      <c r="B23">
        <v>89</v>
      </c>
      <c r="C23">
        <v>5</v>
      </c>
      <c r="D23" s="1">
        <v>35277</v>
      </c>
      <c r="E23">
        <v>1</v>
      </c>
      <c r="F23" t="str">
        <f>IF(OR(Πίνακας6[[#This Row],[ShipperID]]=1,Πίνακας6[[#This Row],[ShipperID]]=3),"Fast shipping lane","Standard shipping")</f>
        <v>Fast shipping lane</v>
      </c>
      <c r="G23" t="str">
        <f>VLOOKUP(Πίνακας6[[#This Row],[ShipperID]],Πίνακας8[#All],2,FALSE)</f>
        <v>Speedy Express</v>
      </c>
      <c r="H23" t="str">
        <f>_xlfn.XLOOKUP(Πίνακας6[[#This Row],[ShipperID]],shippers!A:A,shippers!B:B,,FALSE)</f>
        <v>Speedy Express</v>
      </c>
    </row>
    <row r="24" spans="1:8">
      <c r="A24">
        <v>10270</v>
      </c>
      <c r="B24">
        <v>87</v>
      </c>
      <c r="C24">
        <v>1</v>
      </c>
      <c r="D24" s="1">
        <v>35278</v>
      </c>
      <c r="E24">
        <v>1</v>
      </c>
      <c r="F24" t="str">
        <f>IF(OR(Πίνακας6[[#This Row],[ShipperID]]=1,Πίνακας6[[#This Row],[ShipperID]]=3),"Fast shipping lane","Standard shipping")</f>
        <v>Fast shipping lane</v>
      </c>
      <c r="G24" t="str">
        <f>VLOOKUP(Πίνακας6[[#This Row],[ShipperID]],Πίνακας8[#All],2,FALSE)</f>
        <v>Speedy Express</v>
      </c>
      <c r="H24" t="str">
        <f>_xlfn.XLOOKUP(Πίνακας6[[#This Row],[ShipperID]],shippers!A:A,shippers!B:B,,FALSE)</f>
        <v>Speedy Express</v>
      </c>
    </row>
    <row r="25" spans="1:8">
      <c r="A25">
        <v>10271</v>
      </c>
      <c r="B25">
        <v>75</v>
      </c>
      <c r="C25">
        <v>6</v>
      </c>
      <c r="D25" s="1">
        <v>35278</v>
      </c>
      <c r="E25">
        <v>2</v>
      </c>
      <c r="F25" t="str">
        <f>IF(OR(Πίνακας6[[#This Row],[ShipperID]]=1,Πίνακας6[[#This Row],[ShipperID]]=3),"Fast shipping lane","Standard shipping")</f>
        <v>Standard shipping</v>
      </c>
      <c r="G25" t="str">
        <f>VLOOKUP(Πίνακας6[[#This Row],[ShipperID]],Πίνακας8[#All],2,FALSE)</f>
        <v>United Package</v>
      </c>
      <c r="H25" t="str">
        <f>_xlfn.XLOOKUP(Πίνακας6[[#This Row],[ShipperID]],shippers!A:A,shippers!B:B,,FALSE)</f>
        <v>United Package</v>
      </c>
    </row>
    <row r="26" spans="1:8">
      <c r="A26">
        <v>10272</v>
      </c>
      <c r="B26">
        <v>65</v>
      </c>
      <c r="C26">
        <v>6</v>
      </c>
      <c r="D26" s="1">
        <v>35279</v>
      </c>
      <c r="E26">
        <v>2</v>
      </c>
      <c r="F26" t="str">
        <f>IF(OR(Πίνακας6[[#This Row],[ShipperID]]=1,Πίνακας6[[#This Row],[ShipperID]]=3),"Fast shipping lane","Standard shipping")</f>
        <v>Standard shipping</v>
      </c>
      <c r="G26" t="str">
        <f>VLOOKUP(Πίνακας6[[#This Row],[ShipperID]],Πίνακας8[#All],2,FALSE)</f>
        <v>United Package</v>
      </c>
      <c r="H26" t="str">
        <f>_xlfn.XLOOKUP(Πίνακας6[[#This Row],[ShipperID]],shippers!A:A,shippers!B:B,,FALSE)</f>
        <v>United Package</v>
      </c>
    </row>
    <row r="27" spans="1:8">
      <c r="A27">
        <v>10273</v>
      </c>
      <c r="B27">
        <v>63</v>
      </c>
      <c r="C27">
        <v>3</v>
      </c>
      <c r="D27" s="1">
        <v>35282</v>
      </c>
      <c r="E27">
        <v>3</v>
      </c>
      <c r="F27" t="str">
        <f>IF(OR(Πίνακας6[[#This Row],[ShipperID]]=1,Πίνακας6[[#This Row],[ShipperID]]=3),"Fast shipping lane","Standard shipping")</f>
        <v>Fast shipping lane</v>
      </c>
      <c r="G27" t="str">
        <f>VLOOKUP(Πίνακας6[[#This Row],[ShipperID]],Πίνακας8[#All],2,FALSE)</f>
        <v>Federal Shipping</v>
      </c>
      <c r="H27" t="str">
        <f>_xlfn.XLOOKUP(Πίνακας6[[#This Row],[ShipperID]],shippers!A:A,shippers!B:B,,FALSE)</f>
        <v>Federal Shipping</v>
      </c>
    </row>
    <row r="28" spans="1:8">
      <c r="A28">
        <v>10274</v>
      </c>
      <c r="B28">
        <v>85</v>
      </c>
      <c r="C28">
        <v>6</v>
      </c>
      <c r="D28" s="1">
        <v>35283</v>
      </c>
      <c r="E28">
        <v>1</v>
      </c>
      <c r="F28" t="str">
        <f>IF(OR(Πίνακας6[[#This Row],[ShipperID]]=1,Πίνακας6[[#This Row],[ShipperID]]=3),"Fast shipping lane","Standard shipping")</f>
        <v>Fast shipping lane</v>
      </c>
      <c r="G28" t="str">
        <f>VLOOKUP(Πίνακας6[[#This Row],[ShipperID]],Πίνακας8[#All],2,FALSE)</f>
        <v>Speedy Express</v>
      </c>
      <c r="H28" t="str">
        <f>_xlfn.XLOOKUP(Πίνακας6[[#This Row],[ShipperID]],shippers!A:A,shippers!B:B,,FALSE)</f>
        <v>Speedy Express</v>
      </c>
    </row>
    <row r="29" spans="1:8">
      <c r="A29">
        <v>10275</v>
      </c>
      <c r="B29">
        <v>49</v>
      </c>
      <c r="C29">
        <v>1</v>
      </c>
      <c r="D29" s="1">
        <v>35284</v>
      </c>
      <c r="E29">
        <v>1</v>
      </c>
      <c r="F29" t="str">
        <f>IF(OR(Πίνακας6[[#This Row],[ShipperID]]=1,Πίνακας6[[#This Row],[ShipperID]]=3),"Fast shipping lane","Standard shipping")</f>
        <v>Fast shipping lane</v>
      </c>
      <c r="G29" t="str">
        <f>VLOOKUP(Πίνακας6[[#This Row],[ShipperID]],Πίνακας8[#All],2,FALSE)</f>
        <v>Speedy Express</v>
      </c>
      <c r="H29" t="str">
        <f>_xlfn.XLOOKUP(Πίνακας6[[#This Row],[ShipperID]],shippers!A:A,shippers!B:B,,FALSE)</f>
        <v>Speedy Express</v>
      </c>
    </row>
    <row r="30" spans="1:8">
      <c r="A30">
        <v>10276</v>
      </c>
      <c r="B30">
        <v>80</v>
      </c>
      <c r="C30">
        <v>8</v>
      </c>
      <c r="D30" s="1">
        <v>35285</v>
      </c>
      <c r="E30">
        <v>3</v>
      </c>
      <c r="F30" t="str">
        <f>IF(OR(Πίνακας6[[#This Row],[ShipperID]]=1,Πίνακας6[[#This Row],[ShipperID]]=3),"Fast shipping lane","Standard shipping")</f>
        <v>Fast shipping lane</v>
      </c>
      <c r="G30" t="str">
        <f>VLOOKUP(Πίνακας6[[#This Row],[ShipperID]],Πίνακας8[#All],2,FALSE)</f>
        <v>Federal Shipping</v>
      </c>
      <c r="H30" t="str">
        <f>_xlfn.XLOOKUP(Πίνακας6[[#This Row],[ShipperID]],shippers!A:A,shippers!B:B,,FALSE)</f>
        <v>Federal Shipping</v>
      </c>
    </row>
    <row r="31" spans="1:8">
      <c r="A31">
        <v>10277</v>
      </c>
      <c r="B31">
        <v>52</v>
      </c>
      <c r="C31">
        <v>2</v>
      </c>
      <c r="D31" s="1">
        <v>35286</v>
      </c>
      <c r="E31">
        <v>3</v>
      </c>
      <c r="F31" t="str">
        <f>IF(OR(Πίνακας6[[#This Row],[ShipperID]]=1,Πίνακας6[[#This Row],[ShipperID]]=3),"Fast shipping lane","Standard shipping")</f>
        <v>Fast shipping lane</v>
      </c>
      <c r="G31" t="str">
        <f>VLOOKUP(Πίνακας6[[#This Row],[ShipperID]],Πίνακας8[#All],2,FALSE)</f>
        <v>Federal Shipping</v>
      </c>
      <c r="H31" t="str">
        <f>_xlfn.XLOOKUP(Πίνακας6[[#This Row],[ShipperID]],shippers!A:A,shippers!B:B,,FALSE)</f>
        <v>Federal Shipping</v>
      </c>
    </row>
    <row r="32" spans="1:8">
      <c r="A32">
        <v>10278</v>
      </c>
      <c r="B32">
        <v>5</v>
      </c>
      <c r="C32">
        <v>8</v>
      </c>
      <c r="D32" s="1">
        <v>35289</v>
      </c>
      <c r="E32">
        <v>2</v>
      </c>
      <c r="F32" t="str">
        <f>IF(OR(Πίνακας6[[#This Row],[ShipperID]]=1,Πίνακας6[[#This Row],[ShipperID]]=3),"Fast shipping lane","Standard shipping")</f>
        <v>Standard shipping</v>
      </c>
      <c r="G32" t="str">
        <f>VLOOKUP(Πίνακας6[[#This Row],[ShipperID]],Πίνακας8[#All],2,FALSE)</f>
        <v>United Package</v>
      </c>
      <c r="H32" t="str">
        <f>_xlfn.XLOOKUP(Πίνακας6[[#This Row],[ShipperID]],shippers!A:A,shippers!B:B,,FALSE)</f>
        <v>United Package</v>
      </c>
    </row>
    <row r="33" spans="1:8">
      <c r="A33">
        <v>10279</v>
      </c>
      <c r="B33">
        <v>44</v>
      </c>
      <c r="C33">
        <v>8</v>
      </c>
      <c r="D33" s="1">
        <v>35290</v>
      </c>
      <c r="E33">
        <v>2</v>
      </c>
      <c r="F33" t="str">
        <f>IF(OR(Πίνακας6[[#This Row],[ShipperID]]=1,Πίνακας6[[#This Row],[ShipperID]]=3),"Fast shipping lane","Standard shipping")</f>
        <v>Standard shipping</v>
      </c>
      <c r="G33" t="str">
        <f>VLOOKUP(Πίνακας6[[#This Row],[ShipperID]],Πίνακας8[#All],2,FALSE)</f>
        <v>United Package</v>
      </c>
      <c r="H33" t="str">
        <f>_xlfn.XLOOKUP(Πίνακας6[[#This Row],[ShipperID]],shippers!A:A,shippers!B:B,,FALSE)</f>
        <v>United Package</v>
      </c>
    </row>
    <row r="34" spans="1:8">
      <c r="A34">
        <v>10280</v>
      </c>
      <c r="B34">
        <v>5</v>
      </c>
      <c r="C34">
        <v>2</v>
      </c>
      <c r="D34" s="1">
        <v>35291</v>
      </c>
      <c r="E34">
        <v>1</v>
      </c>
      <c r="F34" t="str">
        <f>IF(OR(Πίνακας6[[#This Row],[ShipperID]]=1,Πίνακας6[[#This Row],[ShipperID]]=3),"Fast shipping lane","Standard shipping")</f>
        <v>Fast shipping lane</v>
      </c>
      <c r="G34" t="str">
        <f>VLOOKUP(Πίνακας6[[#This Row],[ShipperID]],Πίνακας8[#All],2,FALSE)</f>
        <v>Speedy Express</v>
      </c>
      <c r="H34" t="str">
        <f>_xlfn.XLOOKUP(Πίνακας6[[#This Row],[ShipperID]],shippers!A:A,shippers!B:B,,FALSE)</f>
        <v>Speedy Express</v>
      </c>
    </row>
    <row r="35" spans="1:8">
      <c r="A35">
        <v>10281</v>
      </c>
      <c r="B35">
        <v>69</v>
      </c>
      <c r="C35">
        <v>4</v>
      </c>
      <c r="D35" s="1">
        <v>35291</v>
      </c>
      <c r="E35">
        <v>1</v>
      </c>
      <c r="F35" t="str">
        <f>IF(OR(Πίνακας6[[#This Row],[ShipperID]]=1,Πίνακας6[[#This Row],[ShipperID]]=3),"Fast shipping lane","Standard shipping")</f>
        <v>Fast shipping lane</v>
      </c>
      <c r="G35" t="str">
        <f>VLOOKUP(Πίνακας6[[#This Row],[ShipperID]],Πίνακας8[#All],2,FALSE)</f>
        <v>Speedy Express</v>
      </c>
      <c r="H35" t="str">
        <f>_xlfn.XLOOKUP(Πίνακας6[[#This Row],[ShipperID]],shippers!A:A,shippers!B:B,,FALSE)</f>
        <v>Speedy Express</v>
      </c>
    </row>
    <row r="36" spans="1:8">
      <c r="A36">
        <v>10282</v>
      </c>
      <c r="B36">
        <v>69</v>
      </c>
      <c r="C36">
        <v>4</v>
      </c>
      <c r="D36" s="1">
        <v>35292</v>
      </c>
      <c r="E36">
        <v>1</v>
      </c>
      <c r="F36" t="str">
        <f>IF(OR(Πίνακας6[[#This Row],[ShipperID]]=1,Πίνακας6[[#This Row],[ShipperID]]=3),"Fast shipping lane","Standard shipping")</f>
        <v>Fast shipping lane</v>
      </c>
      <c r="G36" t="str">
        <f>VLOOKUP(Πίνακας6[[#This Row],[ShipperID]],Πίνακας8[#All],2,FALSE)</f>
        <v>Speedy Express</v>
      </c>
      <c r="H36" t="str">
        <f>_xlfn.XLOOKUP(Πίνακας6[[#This Row],[ShipperID]],shippers!A:A,shippers!B:B,,FALSE)</f>
        <v>Speedy Express</v>
      </c>
    </row>
    <row r="37" spans="1:8">
      <c r="A37">
        <v>10283</v>
      </c>
      <c r="B37">
        <v>46</v>
      </c>
      <c r="C37">
        <v>3</v>
      </c>
      <c r="D37" s="1">
        <v>35293</v>
      </c>
      <c r="E37">
        <v>3</v>
      </c>
      <c r="F37" t="str">
        <f>IF(OR(Πίνακας6[[#This Row],[ShipperID]]=1,Πίνακας6[[#This Row],[ShipperID]]=3),"Fast shipping lane","Standard shipping")</f>
        <v>Fast shipping lane</v>
      </c>
      <c r="G37" t="str">
        <f>VLOOKUP(Πίνακας6[[#This Row],[ShipperID]],Πίνακας8[#All],2,FALSE)</f>
        <v>Federal Shipping</v>
      </c>
      <c r="H37" t="str">
        <f>_xlfn.XLOOKUP(Πίνακας6[[#This Row],[ShipperID]],shippers!A:A,shippers!B:B,,FALSE)</f>
        <v>Federal Shipping</v>
      </c>
    </row>
    <row r="38" spans="1:8">
      <c r="A38">
        <v>10284</v>
      </c>
      <c r="B38">
        <v>44</v>
      </c>
      <c r="C38">
        <v>4</v>
      </c>
      <c r="D38" s="1">
        <v>35296</v>
      </c>
      <c r="E38">
        <v>1</v>
      </c>
      <c r="F38" t="str">
        <f>IF(OR(Πίνακας6[[#This Row],[ShipperID]]=1,Πίνακας6[[#This Row],[ShipperID]]=3),"Fast shipping lane","Standard shipping")</f>
        <v>Fast shipping lane</v>
      </c>
      <c r="G38" t="str">
        <f>VLOOKUP(Πίνακας6[[#This Row],[ShipperID]],Πίνακας8[#All],2,FALSE)</f>
        <v>Speedy Express</v>
      </c>
      <c r="H38" t="str">
        <f>_xlfn.XLOOKUP(Πίνακας6[[#This Row],[ShipperID]],shippers!A:A,shippers!B:B,,FALSE)</f>
        <v>Speedy Express</v>
      </c>
    </row>
    <row r="39" spans="1:8">
      <c r="A39">
        <v>10285</v>
      </c>
      <c r="B39">
        <v>63</v>
      </c>
      <c r="C39">
        <v>1</v>
      </c>
      <c r="D39" s="1">
        <v>35297</v>
      </c>
      <c r="E39">
        <v>2</v>
      </c>
      <c r="F39" t="str">
        <f>IF(OR(Πίνακας6[[#This Row],[ShipperID]]=1,Πίνακας6[[#This Row],[ShipperID]]=3),"Fast shipping lane","Standard shipping")</f>
        <v>Standard shipping</v>
      </c>
      <c r="G39" t="str">
        <f>VLOOKUP(Πίνακας6[[#This Row],[ShipperID]],Πίνακας8[#All],2,FALSE)</f>
        <v>United Package</v>
      </c>
      <c r="H39" t="str">
        <f>_xlfn.XLOOKUP(Πίνακας6[[#This Row],[ShipperID]],shippers!A:A,shippers!B:B,,FALSE)</f>
        <v>United Package</v>
      </c>
    </row>
    <row r="40" spans="1:8">
      <c r="A40">
        <v>10286</v>
      </c>
      <c r="B40">
        <v>63</v>
      </c>
      <c r="C40">
        <v>8</v>
      </c>
      <c r="D40" s="1">
        <v>35298</v>
      </c>
      <c r="E40">
        <v>3</v>
      </c>
      <c r="F40" t="str">
        <f>IF(OR(Πίνακας6[[#This Row],[ShipperID]]=1,Πίνακας6[[#This Row],[ShipperID]]=3),"Fast shipping lane","Standard shipping")</f>
        <v>Fast shipping lane</v>
      </c>
      <c r="G40" t="str">
        <f>VLOOKUP(Πίνακας6[[#This Row],[ShipperID]],Πίνακας8[#All],2,FALSE)</f>
        <v>Federal Shipping</v>
      </c>
      <c r="H40" t="str">
        <f>_xlfn.XLOOKUP(Πίνακας6[[#This Row],[ShipperID]],shippers!A:A,shippers!B:B,,FALSE)</f>
        <v>Federal Shipping</v>
      </c>
    </row>
    <row r="41" spans="1:8">
      <c r="A41">
        <v>10287</v>
      </c>
      <c r="B41">
        <v>67</v>
      </c>
      <c r="C41">
        <v>8</v>
      </c>
      <c r="D41" s="1">
        <v>35299</v>
      </c>
      <c r="E41">
        <v>3</v>
      </c>
      <c r="F41" t="str">
        <f>IF(OR(Πίνακας6[[#This Row],[ShipperID]]=1,Πίνακας6[[#This Row],[ShipperID]]=3),"Fast shipping lane","Standard shipping")</f>
        <v>Fast shipping lane</v>
      </c>
      <c r="G41" t="str">
        <f>VLOOKUP(Πίνακας6[[#This Row],[ShipperID]],Πίνακας8[#All],2,FALSE)</f>
        <v>Federal Shipping</v>
      </c>
      <c r="H41" t="str">
        <f>_xlfn.XLOOKUP(Πίνακας6[[#This Row],[ShipperID]],shippers!A:A,shippers!B:B,,FALSE)</f>
        <v>Federal Shipping</v>
      </c>
    </row>
    <row r="42" spans="1:8">
      <c r="A42">
        <v>10288</v>
      </c>
      <c r="B42">
        <v>66</v>
      </c>
      <c r="C42">
        <v>4</v>
      </c>
      <c r="D42" s="1">
        <v>35300</v>
      </c>
      <c r="E42">
        <v>1</v>
      </c>
      <c r="F42" t="str">
        <f>IF(OR(Πίνακας6[[#This Row],[ShipperID]]=1,Πίνακας6[[#This Row],[ShipperID]]=3),"Fast shipping lane","Standard shipping")</f>
        <v>Fast shipping lane</v>
      </c>
      <c r="G42" t="str">
        <f>VLOOKUP(Πίνακας6[[#This Row],[ShipperID]],Πίνακας8[#All],2,FALSE)</f>
        <v>Speedy Express</v>
      </c>
      <c r="H42" t="str">
        <f>_xlfn.XLOOKUP(Πίνακας6[[#This Row],[ShipperID]],shippers!A:A,shippers!B:B,,FALSE)</f>
        <v>Speedy Express</v>
      </c>
    </row>
    <row r="43" spans="1:8">
      <c r="A43">
        <v>10289</v>
      </c>
      <c r="B43">
        <v>11</v>
      </c>
      <c r="C43">
        <v>7</v>
      </c>
      <c r="D43" s="1">
        <v>35303</v>
      </c>
      <c r="E43">
        <v>3</v>
      </c>
      <c r="F43" t="str">
        <f>IF(OR(Πίνακας6[[#This Row],[ShipperID]]=1,Πίνακας6[[#This Row],[ShipperID]]=3),"Fast shipping lane","Standard shipping")</f>
        <v>Fast shipping lane</v>
      </c>
      <c r="G43" t="str">
        <f>VLOOKUP(Πίνακας6[[#This Row],[ShipperID]],Πίνακας8[#All],2,FALSE)</f>
        <v>Federal Shipping</v>
      </c>
      <c r="H43" t="str">
        <f>_xlfn.XLOOKUP(Πίνακας6[[#This Row],[ShipperID]],shippers!A:A,shippers!B:B,,FALSE)</f>
        <v>Federal Shipping</v>
      </c>
    </row>
    <row r="44" spans="1:8">
      <c r="A44">
        <v>10290</v>
      </c>
      <c r="B44">
        <v>15</v>
      </c>
      <c r="C44">
        <v>8</v>
      </c>
      <c r="D44" s="1">
        <v>35304</v>
      </c>
      <c r="E44">
        <v>1</v>
      </c>
      <c r="F44" t="str">
        <f>IF(OR(Πίνακας6[[#This Row],[ShipperID]]=1,Πίνακας6[[#This Row],[ShipperID]]=3),"Fast shipping lane","Standard shipping")</f>
        <v>Fast shipping lane</v>
      </c>
      <c r="G44" t="str">
        <f>VLOOKUP(Πίνακας6[[#This Row],[ShipperID]],Πίνακας8[#All],2,FALSE)</f>
        <v>Speedy Express</v>
      </c>
      <c r="H44" t="str">
        <f>_xlfn.XLOOKUP(Πίνακας6[[#This Row],[ShipperID]],shippers!A:A,shippers!B:B,,FALSE)</f>
        <v>Speedy Express</v>
      </c>
    </row>
    <row r="45" spans="1:8">
      <c r="A45">
        <v>10291</v>
      </c>
      <c r="B45">
        <v>61</v>
      </c>
      <c r="C45">
        <v>6</v>
      </c>
      <c r="D45" s="1">
        <v>35304</v>
      </c>
      <c r="E45">
        <v>2</v>
      </c>
      <c r="F45" t="str">
        <f>IF(OR(Πίνακας6[[#This Row],[ShipperID]]=1,Πίνακας6[[#This Row],[ShipperID]]=3),"Fast shipping lane","Standard shipping")</f>
        <v>Standard shipping</v>
      </c>
      <c r="G45" t="str">
        <f>VLOOKUP(Πίνακας6[[#This Row],[ShipperID]],Πίνακας8[#All],2,FALSE)</f>
        <v>United Package</v>
      </c>
      <c r="H45" t="str">
        <f>_xlfn.XLOOKUP(Πίνακας6[[#This Row],[ShipperID]],shippers!A:A,shippers!B:B,,FALSE)</f>
        <v>United Package</v>
      </c>
    </row>
    <row r="46" spans="1:8">
      <c r="A46">
        <v>10292</v>
      </c>
      <c r="B46">
        <v>81</v>
      </c>
      <c r="C46">
        <v>1</v>
      </c>
      <c r="D46" s="1">
        <v>35305</v>
      </c>
      <c r="E46">
        <v>2</v>
      </c>
      <c r="F46" t="str">
        <f>IF(OR(Πίνακας6[[#This Row],[ShipperID]]=1,Πίνακας6[[#This Row],[ShipperID]]=3),"Fast shipping lane","Standard shipping")</f>
        <v>Standard shipping</v>
      </c>
      <c r="G46" t="str">
        <f>VLOOKUP(Πίνακας6[[#This Row],[ShipperID]],Πίνακας8[#All],2,FALSE)</f>
        <v>United Package</v>
      </c>
      <c r="H46" t="str">
        <f>_xlfn.XLOOKUP(Πίνακας6[[#This Row],[ShipperID]],shippers!A:A,shippers!B:B,,FALSE)</f>
        <v>United Package</v>
      </c>
    </row>
    <row r="47" spans="1:8">
      <c r="A47">
        <v>10293</v>
      </c>
      <c r="B47">
        <v>80</v>
      </c>
      <c r="C47">
        <v>1</v>
      </c>
      <c r="D47" s="1">
        <v>35306</v>
      </c>
      <c r="E47">
        <v>3</v>
      </c>
      <c r="F47" t="str">
        <f>IF(OR(Πίνακας6[[#This Row],[ShipperID]]=1,Πίνακας6[[#This Row],[ShipperID]]=3),"Fast shipping lane","Standard shipping")</f>
        <v>Fast shipping lane</v>
      </c>
      <c r="G47" t="str">
        <f>VLOOKUP(Πίνακας6[[#This Row],[ShipperID]],Πίνακας8[#All],2,FALSE)</f>
        <v>Federal Shipping</v>
      </c>
      <c r="H47" t="str">
        <f>_xlfn.XLOOKUP(Πίνακας6[[#This Row],[ShipperID]],shippers!A:A,shippers!B:B,,FALSE)</f>
        <v>Federal Shipping</v>
      </c>
    </row>
    <row r="48" spans="1:8">
      <c r="A48">
        <v>10294</v>
      </c>
      <c r="B48">
        <v>65</v>
      </c>
      <c r="C48">
        <v>4</v>
      </c>
      <c r="D48" s="1">
        <v>35307</v>
      </c>
      <c r="E48">
        <v>2</v>
      </c>
      <c r="F48" t="str">
        <f>IF(OR(Πίνακας6[[#This Row],[ShipperID]]=1,Πίνακας6[[#This Row],[ShipperID]]=3),"Fast shipping lane","Standard shipping")</f>
        <v>Standard shipping</v>
      </c>
      <c r="G48" t="str">
        <f>VLOOKUP(Πίνακας6[[#This Row],[ShipperID]],Πίνακας8[#All],2,FALSE)</f>
        <v>United Package</v>
      </c>
      <c r="H48" t="str">
        <f>_xlfn.XLOOKUP(Πίνακας6[[#This Row],[ShipperID]],shippers!A:A,shippers!B:B,,FALSE)</f>
        <v>United Package</v>
      </c>
    </row>
    <row r="49" spans="1:8">
      <c r="A49">
        <v>10295</v>
      </c>
      <c r="B49">
        <v>85</v>
      </c>
      <c r="C49">
        <v>2</v>
      </c>
      <c r="D49" s="1">
        <v>35310</v>
      </c>
      <c r="E49">
        <v>2</v>
      </c>
      <c r="F49" t="str">
        <f>IF(OR(Πίνακας6[[#This Row],[ShipperID]]=1,Πίνακας6[[#This Row],[ShipperID]]=3),"Fast shipping lane","Standard shipping")</f>
        <v>Standard shipping</v>
      </c>
      <c r="G49" t="str">
        <f>VLOOKUP(Πίνακας6[[#This Row],[ShipperID]],Πίνακας8[#All],2,FALSE)</f>
        <v>United Package</v>
      </c>
      <c r="H49" t="str">
        <f>_xlfn.XLOOKUP(Πίνακας6[[#This Row],[ShipperID]],shippers!A:A,shippers!B:B,,FALSE)</f>
        <v>United Package</v>
      </c>
    </row>
    <row r="50" spans="1:8">
      <c r="A50">
        <v>10296</v>
      </c>
      <c r="B50">
        <v>46</v>
      </c>
      <c r="C50">
        <v>6</v>
      </c>
      <c r="D50" s="1">
        <v>35311</v>
      </c>
      <c r="E50">
        <v>1</v>
      </c>
      <c r="F50" t="str">
        <f>IF(OR(Πίνακας6[[#This Row],[ShipperID]]=1,Πίνακας6[[#This Row],[ShipperID]]=3),"Fast shipping lane","Standard shipping")</f>
        <v>Fast shipping lane</v>
      </c>
      <c r="G50" t="str">
        <f>VLOOKUP(Πίνακας6[[#This Row],[ShipperID]],Πίνακας8[#All],2,FALSE)</f>
        <v>Speedy Express</v>
      </c>
      <c r="H50" t="str">
        <f>_xlfn.XLOOKUP(Πίνακας6[[#This Row],[ShipperID]],shippers!A:A,shippers!B:B,,FALSE)</f>
        <v>Speedy Express</v>
      </c>
    </row>
    <row r="51" spans="1:8">
      <c r="A51">
        <v>10297</v>
      </c>
      <c r="B51">
        <v>7</v>
      </c>
      <c r="C51">
        <v>5</v>
      </c>
      <c r="D51" s="1">
        <v>35312</v>
      </c>
      <c r="E51">
        <v>2</v>
      </c>
      <c r="F51" t="str">
        <f>IF(OR(Πίνακας6[[#This Row],[ShipperID]]=1,Πίνακας6[[#This Row],[ShipperID]]=3),"Fast shipping lane","Standard shipping")</f>
        <v>Standard shipping</v>
      </c>
      <c r="G51" t="str">
        <f>VLOOKUP(Πίνακας6[[#This Row],[ShipperID]],Πίνακας8[#All],2,FALSE)</f>
        <v>United Package</v>
      </c>
      <c r="H51" t="str">
        <f>_xlfn.XLOOKUP(Πίνακας6[[#This Row],[ShipperID]],shippers!A:A,shippers!B:B,,FALSE)</f>
        <v>United Package</v>
      </c>
    </row>
    <row r="52" spans="1:8">
      <c r="A52">
        <v>10298</v>
      </c>
      <c r="B52">
        <v>37</v>
      </c>
      <c r="C52">
        <v>6</v>
      </c>
      <c r="D52" s="1">
        <v>35313</v>
      </c>
      <c r="E52">
        <v>2</v>
      </c>
      <c r="F52" t="str">
        <f>IF(OR(Πίνακας6[[#This Row],[ShipperID]]=1,Πίνακας6[[#This Row],[ShipperID]]=3),"Fast shipping lane","Standard shipping")</f>
        <v>Standard shipping</v>
      </c>
      <c r="G52" t="str">
        <f>VLOOKUP(Πίνακας6[[#This Row],[ShipperID]],Πίνακας8[#All],2,FALSE)</f>
        <v>United Package</v>
      </c>
      <c r="H52" t="str">
        <f>_xlfn.XLOOKUP(Πίνακας6[[#This Row],[ShipperID]],shippers!A:A,shippers!B:B,,FALSE)</f>
        <v>United Package</v>
      </c>
    </row>
    <row r="53" spans="1:8">
      <c r="A53">
        <v>10299</v>
      </c>
      <c r="B53">
        <v>67</v>
      </c>
      <c r="C53">
        <v>4</v>
      </c>
      <c r="D53" s="1">
        <v>35314</v>
      </c>
      <c r="E53">
        <v>2</v>
      </c>
      <c r="F53" t="str">
        <f>IF(OR(Πίνακας6[[#This Row],[ShipperID]]=1,Πίνακας6[[#This Row],[ShipperID]]=3),"Fast shipping lane","Standard shipping")</f>
        <v>Standard shipping</v>
      </c>
      <c r="G53" t="str">
        <f>VLOOKUP(Πίνακας6[[#This Row],[ShipperID]],Πίνακας8[#All],2,FALSE)</f>
        <v>United Package</v>
      </c>
      <c r="H53" t="str">
        <f>_xlfn.XLOOKUP(Πίνακας6[[#This Row],[ShipperID]],shippers!A:A,shippers!B:B,,FALSE)</f>
        <v>United Package</v>
      </c>
    </row>
    <row r="54" spans="1:8">
      <c r="A54">
        <v>10300</v>
      </c>
      <c r="B54">
        <v>49</v>
      </c>
      <c r="C54">
        <v>2</v>
      </c>
      <c r="D54" s="1">
        <v>35317</v>
      </c>
      <c r="E54">
        <v>2</v>
      </c>
      <c r="F54" t="str">
        <f>IF(OR(Πίνακας6[[#This Row],[ShipperID]]=1,Πίνακας6[[#This Row],[ShipperID]]=3),"Fast shipping lane","Standard shipping")</f>
        <v>Standard shipping</v>
      </c>
      <c r="G54" t="str">
        <f>VLOOKUP(Πίνακας6[[#This Row],[ShipperID]],Πίνακας8[#All],2,FALSE)</f>
        <v>United Package</v>
      </c>
      <c r="H54" t="str">
        <f>_xlfn.XLOOKUP(Πίνακας6[[#This Row],[ShipperID]],shippers!A:A,shippers!B:B,,FALSE)</f>
        <v>United Package</v>
      </c>
    </row>
    <row r="55" spans="1:8">
      <c r="A55">
        <v>10301</v>
      </c>
      <c r="B55">
        <v>86</v>
      </c>
      <c r="C55">
        <v>8</v>
      </c>
      <c r="D55" s="1">
        <v>35317</v>
      </c>
      <c r="E55">
        <v>2</v>
      </c>
      <c r="F55" t="str">
        <f>IF(OR(Πίνακας6[[#This Row],[ShipperID]]=1,Πίνακας6[[#This Row],[ShipperID]]=3),"Fast shipping lane","Standard shipping")</f>
        <v>Standard shipping</v>
      </c>
      <c r="G55" t="str">
        <f>VLOOKUP(Πίνακας6[[#This Row],[ShipperID]],Πίνακας8[#All],2,FALSE)</f>
        <v>United Package</v>
      </c>
      <c r="H55" t="str">
        <f>_xlfn.XLOOKUP(Πίνακας6[[#This Row],[ShipperID]],shippers!A:A,shippers!B:B,,FALSE)</f>
        <v>United Package</v>
      </c>
    </row>
    <row r="56" spans="1:8">
      <c r="A56">
        <v>10302</v>
      </c>
      <c r="B56">
        <v>76</v>
      </c>
      <c r="C56">
        <v>4</v>
      </c>
      <c r="D56" s="1">
        <v>35318</v>
      </c>
      <c r="E56">
        <v>2</v>
      </c>
      <c r="F56" t="str">
        <f>IF(OR(Πίνακας6[[#This Row],[ShipperID]]=1,Πίνακας6[[#This Row],[ShipperID]]=3),"Fast shipping lane","Standard shipping")</f>
        <v>Standard shipping</v>
      </c>
      <c r="G56" t="str">
        <f>VLOOKUP(Πίνακας6[[#This Row],[ShipperID]],Πίνακας8[#All],2,FALSE)</f>
        <v>United Package</v>
      </c>
      <c r="H56" t="str">
        <f>_xlfn.XLOOKUP(Πίνακας6[[#This Row],[ShipperID]],shippers!A:A,shippers!B:B,,FALSE)</f>
        <v>United Package</v>
      </c>
    </row>
    <row r="57" spans="1:8">
      <c r="A57">
        <v>10303</v>
      </c>
      <c r="B57">
        <v>30</v>
      </c>
      <c r="C57">
        <v>7</v>
      </c>
      <c r="D57" s="1">
        <v>35319</v>
      </c>
      <c r="E57">
        <v>2</v>
      </c>
      <c r="F57" t="str">
        <f>IF(OR(Πίνακας6[[#This Row],[ShipperID]]=1,Πίνακας6[[#This Row],[ShipperID]]=3),"Fast shipping lane","Standard shipping")</f>
        <v>Standard shipping</v>
      </c>
      <c r="G57" t="str">
        <f>VLOOKUP(Πίνακας6[[#This Row],[ShipperID]],Πίνακας8[#All],2,FALSE)</f>
        <v>United Package</v>
      </c>
      <c r="H57" t="str">
        <f>_xlfn.XLOOKUP(Πίνακας6[[#This Row],[ShipperID]],shippers!A:A,shippers!B:B,,FALSE)</f>
        <v>United Package</v>
      </c>
    </row>
    <row r="58" spans="1:8">
      <c r="A58">
        <v>10304</v>
      </c>
      <c r="B58">
        <v>80</v>
      </c>
      <c r="C58">
        <v>1</v>
      </c>
      <c r="D58" s="1">
        <v>35320</v>
      </c>
      <c r="E58">
        <v>2</v>
      </c>
      <c r="F58" t="str">
        <f>IF(OR(Πίνακας6[[#This Row],[ShipperID]]=1,Πίνακας6[[#This Row],[ShipperID]]=3),"Fast shipping lane","Standard shipping")</f>
        <v>Standard shipping</v>
      </c>
      <c r="G58" t="str">
        <f>VLOOKUP(Πίνακας6[[#This Row],[ShipperID]],Πίνακας8[#All],2,FALSE)</f>
        <v>United Package</v>
      </c>
      <c r="H58" t="str">
        <f>_xlfn.XLOOKUP(Πίνακας6[[#This Row],[ShipperID]],shippers!A:A,shippers!B:B,,FALSE)</f>
        <v>United Package</v>
      </c>
    </row>
    <row r="59" spans="1:8">
      <c r="A59">
        <v>10305</v>
      </c>
      <c r="B59">
        <v>55</v>
      </c>
      <c r="C59">
        <v>8</v>
      </c>
      <c r="D59" s="1">
        <v>35321</v>
      </c>
      <c r="E59">
        <v>3</v>
      </c>
      <c r="F59" t="str">
        <f>IF(OR(Πίνακας6[[#This Row],[ShipperID]]=1,Πίνακας6[[#This Row],[ShipperID]]=3),"Fast shipping lane","Standard shipping")</f>
        <v>Fast shipping lane</v>
      </c>
      <c r="G59" t="str">
        <f>VLOOKUP(Πίνακας6[[#This Row],[ShipperID]],Πίνακας8[#All],2,FALSE)</f>
        <v>Federal Shipping</v>
      </c>
      <c r="H59" t="str">
        <f>_xlfn.XLOOKUP(Πίνακας6[[#This Row],[ShipperID]],shippers!A:A,shippers!B:B,,FALSE)</f>
        <v>Federal Shipping</v>
      </c>
    </row>
    <row r="60" spans="1:8">
      <c r="A60">
        <v>10306</v>
      </c>
      <c r="B60">
        <v>69</v>
      </c>
      <c r="C60">
        <v>1</v>
      </c>
      <c r="D60" s="1">
        <v>35324</v>
      </c>
      <c r="E60">
        <v>3</v>
      </c>
      <c r="F60" t="str">
        <f>IF(OR(Πίνακας6[[#This Row],[ShipperID]]=1,Πίνακας6[[#This Row],[ShipperID]]=3),"Fast shipping lane","Standard shipping")</f>
        <v>Fast shipping lane</v>
      </c>
      <c r="G60" t="str">
        <f>VLOOKUP(Πίνακας6[[#This Row],[ShipperID]],Πίνακας8[#All],2,FALSE)</f>
        <v>Federal Shipping</v>
      </c>
      <c r="H60" t="str">
        <f>_xlfn.XLOOKUP(Πίνακας6[[#This Row],[ShipperID]],shippers!A:A,shippers!B:B,,FALSE)</f>
        <v>Federal Shipping</v>
      </c>
    </row>
    <row r="61" spans="1:8">
      <c r="A61">
        <v>10307</v>
      </c>
      <c r="B61">
        <v>48</v>
      </c>
      <c r="C61">
        <v>2</v>
      </c>
      <c r="D61" s="1">
        <v>35325</v>
      </c>
      <c r="E61">
        <v>2</v>
      </c>
      <c r="F61" t="str">
        <f>IF(OR(Πίνακας6[[#This Row],[ShipperID]]=1,Πίνακας6[[#This Row],[ShipperID]]=3),"Fast shipping lane","Standard shipping")</f>
        <v>Standard shipping</v>
      </c>
      <c r="G61" t="str">
        <f>VLOOKUP(Πίνακας6[[#This Row],[ShipperID]],Πίνακας8[#All],2,FALSE)</f>
        <v>United Package</v>
      </c>
      <c r="H61" t="str">
        <f>_xlfn.XLOOKUP(Πίνακας6[[#This Row],[ShipperID]],shippers!A:A,shippers!B:B,,FALSE)</f>
        <v>United Package</v>
      </c>
    </row>
    <row r="62" spans="1:8">
      <c r="A62">
        <v>10308</v>
      </c>
      <c r="B62">
        <v>2</v>
      </c>
      <c r="C62">
        <v>7</v>
      </c>
      <c r="D62" s="1">
        <v>35326</v>
      </c>
      <c r="E62">
        <v>3</v>
      </c>
      <c r="F62" t="str">
        <f>IF(OR(Πίνακας6[[#This Row],[ShipperID]]=1,Πίνακας6[[#This Row],[ShipperID]]=3),"Fast shipping lane","Standard shipping")</f>
        <v>Fast shipping lane</v>
      </c>
      <c r="G62" t="str">
        <f>VLOOKUP(Πίνακας6[[#This Row],[ShipperID]],Πίνακας8[#All],2,FALSE)</f>
        <v>Federal Shipping</v>
      </c>
      <c r="H62" t="str">
        <f>_xlfn.XLOOKUP(Πίνακας6[[#This Row],[ShipperID]],shippers!A:A,shippers!B:B,,FALSE)</f>
        <v>Federal Shipping</v>
      </c>
    </row>
    <row r="63" spans="1:8">
      <c r="A63">
        <v>10309</v>
      </c>
      <c r="B63">
        <v>37</v>
      </c>
      <c r="C63">
        <v>3</v>
      </c>
      <c r="D63" s="1">
        <v>35327</v>
      </c>
      <c r="E63">
        <v>1</v>
      </c>
      <c r="F63" t="str">
        <f>IF(OR(Πίνακας6[[#This Row],[ShipperID]]=1,Πίνακας6[[#This Row],[ShipperID]]=3),"Fast shipping lane","Standard shipping")</f>
        <v>Fast shipping lane</v>
      </c>
      <c r="G63" t="str">
        <f>VLOOKUP(Πίνακας6[[#This Row],[ShipperID]],Πίνακας8[#All],2,FALSE)</f>
        <v>Speedy Express</v>
      </c>
      <c r="H63" t="str">
        <f>_xlfn.XLOOKUP(Πίνακας6[[#This Row],[ShipperID]],shippers!A:A,shippers!B:B,,FALSE)</f>
        <v>Speedy Express</v>
      </c>
    </row>
    <row r="64" spans="1:8">
      <c r="A64">
        <v>10310</v>
      </c>
      <c r="B64">
        <v>77</v>
      </c>
      <c r="C64">
        <v>8</v>
      </c>
      <c r="D64" s="1">
        <v>35328</v>
      </c>
      <c r="E64">
        <v>2</v>
      </c>
      <c r="F64" t="str">
        <f>IF(OR(Πίνακας6[[#This Row],[ShipperID]]=1,Πίνακας6[[#This Row],[ShipperID]]=3),"Fast shipping lane","Standard shipping")</f>
        <v>Standard shipping</v>
      </c>
      <c r="G64" t="str">
        <f>VLOOKUP(Πίνακας6[[#This Row],[ShipperID]],Πίνακας8[#All],2,FALSE)</f>
        <v>United Package</v>
      </c>
      <c r="H64" t="str">
        <f>_xlfn.XLOOKUP(Πίνακας6[[#This Row],[ShipperID]],shippers!A:A,shippers!B:B,,FALSE)</f>
        <v>United Package</v>
      </c>
    </row>
    <row r="65" spans="1:8">
      <c r="A65">
        <v>10311</v>
      </c>
      <c r="B65">
        <v>18</v>
      </c>
      <c r="C65">
        <v>1</v>
      </c>
      <c r="D65" s="1">
        <v>35328</v>
      </c>
      <c r="E65">
        <v>3</v>
      </c>
      <c r="F65" t="str">
        <f>IF(OR(Πίνακας6[[#This Row],[ShipperID]]=1,Πίνακας6[[#This Row],[ShipperID]]=3),"Fast shipping lane","Standard shipping")</f>
        <v>Fast shipping lane</v>
      </c>
      <c r="G65" t="str">
        <f>VLOOKUP(Πίνακας6[[#This Row],[ShipperID]],Πίνακας8[#All],2,FALSE)</f>
        <v>Federal Shipping</v>
      </c>
      <c r="H65" t="str">
        <f>_xlfn.XLOOKUP(Πίνακας6[[#This Row],[ShipperID]],shippers!A:A,shippers!B:B,,FALSE)</f>
        <v>Federal Shipping</v>
      </c>
    </row>
    <row r="66" spans="1:8">
      <c r="A66">
        <v>10312</v>
      </c>
      <c r="B66">
        <v>86</v>
      </c>
      <c r="C66">
        <v>2</v>
      </c>
      <c r="D66" s="1">
        <v>35331</v>
      </c>
      <c r="E66">
        <v>2</v>
      </c>
      <c r="F66" t="str">
        <f>IF(OR(Πίνακας6[[#This Row],[ShipperID]]=1,Πίνακας6[[#This Row],[ShipperID]]=3),"Fast shipping lane","Standard shipping")</f>
        <v>Standard shipping</v>
      </c>
      <c r="G66" t="str">
        <f>VLOOKUP(Πίνακας6[[#This Row],[ShipperID]],Πίνακας8[#All],2,FALSE)</f>
        <v>United Package</v>
      </c>
      <c r="H66" t="str">
        <f>_xlfn.XLOOKUP(Πίνακας6[[#This Row],[ShipperID]],shippers!A:A,shippers!B:B,,FALSE)</f>
        <v>United Package</v>
      </c>
    </row>
    <row r="67" spans="1:8">
      <c r="A67">
        <v>10313</v>
      </c>
      <c r="B67">
        <v>63</v>
      </c>
      <c r="C67">
        <v>2</v>
      </c>
      <c r="D67" s="1">
        <v>35332</v>
      </c>
      <c r="E67">
        <v>2</v>
      </c>
      <c r="F67" t="str">
        <f>IF(OR(Πίνακας6[[#This Row],[ShipperID]]=1,Πίνακας6[[#This Row],[ShipperID]]=3),"Fast shipping lane","Standard shipping")</f>
        <v>Standard shipping</v>
      </c>
      <c r="G67" t="str">
        <f>VLOOKUP(Πίνακας6[[#This Row],[ShipperID]],Πίνακας8[#All],2,FALSE)</f>
        <v>United Package</v>
      </c>
      <c r="H67" t="str">
        <f>_xlfn.XLOOKUP(Πίνακας6[[#This Row],[ShipperID]],shippers!A:A,shippers!B:B,,FALSE)</f>
        <v>United Package</v>
      </c>
    </row>
    <row r="68" spans="1:8">
      <c r="A68">
        <v>10314</v>
      </c>
      <c r="B68">
        <v>65</v>
      </c>
      <c r="C68">
        <v>1</v>
      </c>
      <c r="D68" s="1">
        <v>35333</v>
      </c>
      <c r="E68">
        <v>2</v>
      </c>
      <c r="F68" t="str">
        <f>IF(OR(Πίνακας6[[#This Row],[ShipperID]]=1,Πίνακας6[[#This Row],[ShipperID]]=3),"Fast shipping lane","Standard shipping")</f>
        <v>Standard shipping</v>
      </c>
      <c r="G68" t="str">
        <f>VLOOKUP(Πίνακας6[[#This Row],[ShipperID]],Πίνακας8[#All],2,FALSE)</f>
        <v>United Package</v>
      </c>
      <c r="H68" t="str">
        <f>_xlfn.XLOOKUP(Πίνακας6[[#This Row],[ShipperID]],shippers!A:A,shippers!B:B,,FALSE)</f>
        <v>United Package</v>
      </c>
    </row>
    <row r="69" spans="1:8">
      <c r="A69">
        <v>10315</v>
      </c>
      <c r="B69">
        <v>38</v>
      </c>
      <c r="C69">
        <v>4</v>
      </c>
      <c r="D69" s="1">
        <v>35334</v>
      </c>
      <c r="E69">
        <v>2</v>
      </c>
      <c r="F69" t="str">
        <f>IF(OR(Πίνακας6[[#This Row],[ShipperID]]=1,Πίνακας6[[#This Row],[ShipperID]]=3),"Fast shipping lane","Standard shipping")</f>
        <v>Standard shipping</v>
      </c>
      <c r="G69" t="str">
        <f>VLOOKUP(Πίνακας6[[#This Row],[ShipperID]],Πίνακας8[#All],2,FALSE)</f>
        <v>United Package</v>
      </c>
      <c r="H69" t="str">
        <f>_xlfn.XLOOKUP(Πίνακας6[[#This Row],[ShipperID]],shippers!A:A,shippers!B:B,,FALSE)</f>
        <v>United Package</v>
      </c>
    </row>
    <row r="70" spans="1:8">
      <c r="A70">
        <v>10316</v>
      </c>
      <c r="B70">
        <v>65</v>
      </c>
      <c r="C70">
        <v>1</v>
      </c>
      <c r="D70" s="1">
        <v>35335</v>
      </c>
      <c r="E70">
        <v>3</v>
      </c>
      <c r="F70" t="str">
        <f>IF(OR(Πίνακας6[[#This Row],[ShipperID]]=1,Πίνακας6[[#This Row],[ShipperID]]=3),"Fast shipping lane","Standard shipping")</f>
        <v>Fast shipping lane</v>
      </c>
      <c r="G70" t="str">
        <f>VLOOKUP(Πίνακας6[[#This Row],[ShipperID]],Πίνακας8[#All],2,FALSE)</f>
        <v>Federal Shipping</v>
      </c>
      <c r="H70" t="str">
        <f>_xlfn.XLOOKUP(Πίνακας6[[#This Row],[ShipperID]],shippers!A:A,shippers!B:B,,FALSE)</f>
        <v>Federal Shipping</v>
      </c>
    </row>
    <row r="71" spans="1:8">
      <c r="A71">
        <v>10317</v>
      </c>
      <c r="B71">
        <v>48</v>
      </c>
      <c r="C71">
        <v>6</v>
      </c>
      <c r="D71" s="1">
        <v>35338</v>
      </c>
      <c r="E71">
        <v>1</v>
      </c>
      <c r="F71" t="str">
        <f>IF(OR(Πίνακας6[[#This Row],[ShipperID]]=1,Πίνακας6[[#This Row],[ShipperID]]=3),"Fast shipping lane","Standard shipping")</f>
        <v>Fast shipping lane</v>
      </c>
      <c r="G71" t="str">
        <f>VLOOKUP(Πίνακας6[[#This Row],[ShipperID]],Πίνακας8[#All],2,FALSE)</f>
        <v>Speedy Express</v>
      </c>
      <c r="H71" t="str">
        <f>_xlfn.XLOOKUP(Πίνακας6[[#This Row],[ShipperID]],shippers!A:A,shippers!B:B,,FALSE)</f>
        <v>Speedy Express</v>
      </c>
    </row>
    <row r="72" spans="1:8">
      <c r="A72">
        <v>10318</v>
      </c>
      <c r="B72">
        <v>38</v>
      </c>
      <c r="C72">
        <v>8</v>
      </c>
      <c r="D72" s="1">
        <v>35339</v>
      </c>
      <c r="E72">
        <v>2</v>
      </c>
      <c r="F72" t="str">
        <f>IF(OR(Πίνακας6[[#This Row],[ShipperID]]=1,Πίνακας6[[#This Row],[ShipperID]]=3),"Fast shipping lane","Standard shipping")</f>
        <v>Standard shipping</v>
      </c>
      <c r="G72" t="str">
        <f>VLOOKUP(Πίνακας6[[#This Row],[ShipperID]],Πίνακας8[#All],2,FALSE)</f>
        <v>United Package</v>
      </c>
      <c r="H72" t="str">
        <f>_xlfn.XLOOKUP(Πίνακας6[[#This Row],[ShipperID]],shippers!A:A,shippers!B:B,,FALSE)</f>
        <v>United Package</v>
      </c>
    </row>
    <row r="73" spans="1:8">
      <c r="A73">
        <v>10319</v>
      </c>
      <c r="B73">
        <v>80</v>
      </c>
      <c r="C73">
        <v>7</v>
      </c>
      <c r="D73" s="1">
        <v>35340</v>
      </c>
      <c r="E73">
        <v>3</v>
      </c>
      <c r="F73" t="str">
        <f>IF(OR(Πίνακας6[[#This Row],[ShipperID]]=1,Πίνακας6[[#This Row],[ShipperID]]=3),"Fast shipping lane","Standard shipping")</f>
        <v>Fast shipping lane</v>
      </c>
      <c r="G73" t="str">
        <f>VLOOKUP(Πίνακας6[[#This Row],[ShipperID]],Πίνακας8[#All],2,FALSE)</f>
        <v>Federal Shipping</v>
      </c>
      <c r="H73" t="str">
        <f>_xlfn.XLOOKUP(Πίνακας6[[#This Row],[ShipperID]],shippers!A:A,shippers!B:B,,FALSE)</f>
        <v>Federal Shipping</v>
      </c>
    </row>
    <row r="74" spans="1:8">
      <c r="A74">
        <v>10320</v>
      </c>
      <c r="B74">
        <v>87</v>
      </c>
      <c r="C74">
        <v>5</v>
      </c>
      <c r="D74" s="1">
        <v>35341</v>
      </c>
      <c r="E74">
        <v>3</v>
      </c>
      <c r="F74" t="str">
        <f>IF(OR(Πίνακας6[[#This Row],[ShipperID]]=1,Πίνακας6[[#This Row],[ShipperID]]=3),"Fast shipping lane","Standard shipping")</f>
        <v>Fast shipping lane</v>
      </c>
      <c r="G74" t="str">
        <f>VLOOKUP(Πίνακας6[[#This Row],[ShipperID]],Πίνακας8[#All],2,FALSE)</f>
        <v>Federal Shipping</v>
      </c>
      <c r="H74" t="str">
        <f>_xlfn.XLOOKUP(Πίνακας6[[#This Row],[ShipperID]],shippers!A:A,shippers!B:B,,FALSE)</f>
        <v>Federal Shipping</v>
      </c>
    </row>
    <row r="75" spans="1:8">
      <c r="A75">
        <v>10321</v>
      </c>
      <c r="B75">
        <v>38</v>
      </c>
      <c r="C75">
        <v>3</v>
      </c>
      <c r="D75" s="1">
        <v>35341</v>
      </c>
      <c r="E75">
        <v>2</v>
      </c>
      <c r="F75" t="str">
        <f>IF(OR(Πίνακας6[[#This Row],[ShipperID]]=1,Πίνακας6[[#This Row],[ShipperID]]=3),"Fast shipping lane","Standard shipping")</f>
        <v>Standard shipping</v>
      </c>
      <c r="G75" t="str">
        <f>VLOOKUP(Πίνακας6[[#This Row],[ShipperID]],Πίνακας8[#All],2,FALSE)</f>
        <v>United Package</v>
      </c>
      <c r="H75" t="str">
        <f>_xlfn.XLOOKUP(Πίνακας6[[#This Row],[ShipperID]],shippers!A:A,shippers!B:B,,FALSE)</f>
        <v>United Package</v>
      </c>
    </row>
    <row r="76" spans="1:8">
      <c r="A76">
        <v>10322</v>
      </c>
      <c r="B76">
        <v>58</v>
      </c>
      <c r="C76">
        <v>7</v>
      </c>
      <c r="D76" s="1">
        <v>35342</v>
      </c>
      <c r="E76">
        <v>3</v>
      </c>
      <c r="F76" t="str">
        <f>IF(OR(Πίνακας6[[#This Row],[ShipperID]]=1,Πίνακας6[[#This Row],[ShipperID]]=3),"Fast shipping lane","Standard shipping")</f>
        <v>Fast shipping lane</v>
      </c>
      <c r="G76" t="str">
        <f>VLOOKUP(Πίνακας6[[#This Row],[ShipperID]],Πίνακας8[#All],2,FALSE)</f>
        <v>Federal Shipping</v>
      </c>
      <c r="H76" t="str">
        <f>_xlfn.XLOOKUP(Πίνακας6[[#This Row],[ShipperID]],shippers!A:A,shippers!B:B,,FALSE)</f>
        <v>Federal Shipping</v>
      </c>
    </row>
    <row r="77" spans="1:8">
      <c r="A77">
        <v>10323</v>
      </c>
      <c r="B77">
        <v>39</v>
      </c>
      <c r="C77">
        <v>4</v>
      </c>
      <c r="D77" s="1">
        <v>35345</v>
      </c>
      <c r="E77">
        <v>1</v>
      </c>
      <c r="F77" t="str">
        <f>IF(OR(Πίνακας6[[#This Row],[ShipperID]]=1,Πίνακας6[[#This Row],[ShipperID]]=3),"Fast shipping lane","Standard shipping")</f>
        <v>Fast shipping lane</v>
      </c>
      <c r="G77" t="str">
        <f>VLOOKUP(Πίνακας6[[#This Row],[ShipperID]],Πίνακας8[#All],2,FALSE)</f>
        <v>Speedy Express</v>
      </c>
      <c r="H77" t="str">
        <f>_xlfn.XLOOKUP(Πίνακας6[[#This Row],[ShipperID]],shippers!A:A,shippers!B:B,,FALSE)</f>
        <v>Speedy Express</v>
      </c>
    </row>
    <row r="78" spans="1:8">
      <c r="A78">
        <v>10324</v>
      </c>
      <c r="B78">
        <v>71</v>
      </c>
      <c r="C78">
        <v>9</v>
      </c>
      <c r="D78" s="1">
        <v>35346</v>
      </c>
      <c r="E78">
        <v>1</v>
      </c>
      <c r="F78" t="str">
        <f>IF(OR(Πίνακας6[[#This Row],[ShipperID]]=1,Πίνακας6[[#This Row],[ShipperID]]=3),"Fast shipping lane","Standard shipping")</f>
        <v>Fast shipping lane</v>
      </c>
      <c r="G78" t="str">
        <f>VLOOKUP(Πίνακας6[[#This Row],[ShipperID]],Πίνακας8[#All],2,FALSE)</f>
        <v>Speedy Express</v>
      </c>
      <c r="H78" t="str">
        <f>_xlfn.XLOOKUP(Πίνακας6[[#This Row],[ShipperID]],shippers!A:A,shippers!B:B,,FALSE)</f>
        <v>Speedy Express</v>
      </c>
    </row>
    <row r="79" spans="1:8">
      <c r="A79">
        <v>10325</v>
      </c>
      <c r="B79">
        <v>39</v>
      </c>
      <c r="C79">
        <v>1</v>
      </c>
      <c r="D79" s="1">
        <v>35347</v>
      </c>
      <c r="E79">
        <v>3</v>
      </c>
      <c r="F79" t="str">
        <f>IF(OR(Πίνακας6[[#This Row],[ShipperID]]=1,Πίνακας6[[#This Row],[ShipperID]]=3),"Fast shipping lane","Standard shipping")</f>
        <v>Fast shipping lane</v>
      </c>
      <c r="G79" t="str">
        <f>VLOOKUP(Πίνακας6[[#This Row],[ShipperID]],Πίνακας8[#All],2,FALSE)</f>
        <v>Federal Shipping</v>
      </c>
      <c r="H79" t="str">
        <f>_xlfn.XLOOKUP(Πίνακας6[[#This Row],[ShipperID]],shippers!A:A,shippers!B:B,,FALSE)</f>
        <v>Federal Shipping</v>
      </c>
    </row>
    <row r="80" spans="1:8">
      <c r="A80">
        <v>10326</v>
      </c>
      <c r="B80">
        <v>8</v>
      </c>
      <c r="C80">
        <v>4</v>
      </c>
      <c r="D80" s="1">
        <v>35348</v>
      </c>
      <c r="E80">
        <v>2</v>
      </c>
      <c r="F80" t="str">
        <f>IF(OR(Πίνακας6[[#This Row],[ShipperID]]=1,Πίνακας6[[#This Row],[ShipperID]]=3),"Fast shipping lane","Standard shipping")</f>
        <v>Standard shipping</v>
      </c>
      <c r="G80" t="str">
        <f>VLOOKUP(Πίνακας6[[#This Row],[ShipperID]],Πίνακας8[#All],2,FALSE)</f>
        <v>United Package</v>
      </c>
      <c r="H80" t="str">
        <f>_xlfn.XLOOKUP(Πίνακας6[[#This Row],[ShipperID]],shippers!A:A,shippers!B:B,,FALSE)</f>
        <v>United Package</v>
      </c>
    </row>
    <row r="81" spans="1:8">
      <c r="A81">
        <v>10327</v>
      </c>
      <c r="B81">
        <v>24</v>
      </c>
      <c r="C81">
        <v>2</v>
      </c>
      <c r="D81" s="1">
        <v>35349</v>
      </c>
      <c r="E81">
        <v>1</v>
      </c>
      <c r="F81" t="str">
        <f>IF(OR(Πίνακας6[[#This Row],[ShipperID]]=1,Πίνακας6[[#This Row],[ShipperID]]=3),"Fast shipping lane","Standard shipping")</f>
        <v>Fast shipping lane</v>
      </c>
      <c r="G81" t="str">
        <f>VLOOKUP(Πίνακας6[[#This Row],[ShipperID]],Πίνακας8[#All],2,FALSE)</f>
        <v>Speedy Express</v>
      </c>
      <c r="H81" t="str">
        <f>_xlfn.XLOOKUP(Πίνακας6[[#This Row],[ShipperID]],shippers!A:A,shippers!B:B,,FALSE)</f>
        <v>Speedy Express</v>
      </c>
    </row>
    <row r="82" spans="1:8">
      <c r="A82">
        <v>10328</v>
      </c>
      <c r="B82">
        <v>28</v>
      </c>
      <c r="C82">
        <v>4</v>
      </c>
      <c r="D82" s="1">
        <v>35352</v>
      </c>
      <c r="E82">
        <v>3</v>
      </c>
      <c r="F82" t="str">
        <f>IF(OR(Πίνακας6[[#This Row],[ShipperID]]=1,Πίνακας6[[#This Row],[ShipperID]]=3),"Fast shipping lane","Standard shipping")</f>
        <v>Fast shipping lane</v>
      </c>
      <c r="G82" t="str">
        <f>VLOOKUP(Πίνακας6[[#This Row],[ShipperID]],Πίνακας8[#All],2,FALSE)</f>
        <v>Federal Shipping</v>
      </c>
      <c r="H82" t="str">
        <f>_xlfn.XLOOKUP(Πίνακας6[[#This Row],[ShipperID]],shippers!A:A,shippers!B:B,,FALSE)</f>
        <v>Federal Shipping</v>
      </c>
    </row>
    <row r="83" spans="1:8">
      <c r="A83">
        <v>10329</v>
      </c>
      <c r="B83">
        <v>75</v>
      </c>
      <c r="C83">
        <v>4</v>
      </c>
      <c r="D83" s="1">
        <v>35353</v>
      </c>
      <c r="E83">
        <v>2</v>
      </c>
      <c r="F83" t="str">
        <f>IF(OR(Πίνακας6[[#This Row],[ShipperID]]=1,Πίνακας6[[#This Row],[ShipperID]]=3),"Fast shipping lane","Standard shipping")</f>
        <v>Standard shipping</v>
      </c>
      <c r="G83" t="str">
        <f>VLOOKUP(Πίνακας6[[#This Row],[ShipperID]],Πίνακας8[#All],2,FALSE)</f>
        <v>United Package</v>
      </c>
      <c r="H83" t="str">
        <f>_xlfn.XLOOKUP(Πίνακας6[[#This Row],[ShipperID]],shippers!A:A,shippers!B:B,,FALSE)</f>
        <v>United Package</v>
      </c>
    </row>
    <row r="84" spans="1:8">
      <c r="A84">
        <v>10330</v>
      </c>
      <c r="B84">
        <v>46</v>
      </c>
      <c r="C84">
        <v>3</v>
      </c>
      <c r="D84" s="1">
        <v>35354</v>
      </c>
      <c r="E84">
        <v>1</v>
      </c>
      <c r="F84" t="str">
        <f>IF(OR(Πίνακας6[[#This Row],[ShipperID]]=1,Πίνακας6[[#This Row],[ShipperID]]=3),"Fast shipping lane","Standard shipping")</f>
        <v>Fast shipping lane</v>
      </c>
      <c r="G84" t="str">
        <f>VLOOKUP(Πίνακας6[[#This Row],[ShipperID]],Πίνακας8[#All],2,FALSE)</f>
        <v>Speedy Express</v>
      </c>
      <c r="H84" t="str">
        <f>_xlfn.XLOOKUP(Πίνακας6[[#This Row],[ShipperID]],shippers!A:A,shippers!B:B,,FALSE)</f>
        <v>Speedy Express</v>
      </c>
    </row>
    <row r="85" spans="1:8">
      <c r="A85">
        <v>10331</v>
      </c>
      <c r="B85">
        <v>9</v>
      </c>
      <c r="C85">
        <v>9</v>
      </c>
      <c r="D85" s="1">
        <v>35354</v>
      </c>
      <c r="E85">
        <v>1</v>
      </c>
      <c r="F85" t="str">
        <f>IF(OR(Πίνακας6[[#This Row],[ShipperID]]=1,Πίνακας6[[#This Row],[ShipperID]]=3),"Fast shipping lane","Standard shipping")</f>
        <v>Fast shipping lane</v>
      </c>
      <c r="G85" t="str">
        <f>VLOOKUP(Πίνακας6[[#This Row],[ShipperID]],Πίνακας8[#All],2,FALSE)</f>
        <v>Speedy Express</v>
      </c>
      <c r="H85" t="str">
        <f>_xlfn.XLOOKUP(Πίνακας6[[#This Row],[ShipperID]],shippers!A:A,shippers!B:B,,FALSE)</f>
        <v>Speedy Express</v>
      </c>
    </row>
    <row r="86" spans="1:8">
      <c r="A86">
        <v>10332</v>
      </c>
      <c r="B86">
        <v>51</v>
      </c>
      <c r="C86">
        <v>3</v>
      </c>
      <c r="D86" s="1">
        <v>35355</v>
      </c>
      <c r="E86">
        <v>2</v>
      </c>
      <c r="F86" t="str">
        <f>IF(OR(Πίνακας6[[#This Row],[ShipperID]]=1,Πίνακας6[[#This Row],[ShipperID]]=3),"Fast shipping lane","Standard shipping")</f>
        <v>Standard shipping</v>
      </c>
      <c r="G86" t="str">
        <f>VLOOKUP(Πίνακας6[[#This Row],[ShipperID]],Πίνακας8[#All],2,FALSE)</f>
        <v>United Package</v>
      </c>
      <c r="H86" t="str">
        <f>_xlfn.XLOOKUP(Πίνακας6[[#This Row],[ShipperID]],shippers!A:A,shippers!B:B,,FALSE)</f>
        <v>United Package</v>
      </c>
    </row>
    <row r="87" spans="1:8">
      <c r="A87">
        <v>10333</v>
      </c>
      <c r="B87">
        <v>87</v>
      </c>
      <c r="C87">
        <v>5</v>
      </c>
      <c r="D87" s="1">
        <v>35356</v>
      </c>
      <c r="E87">
        <v>3</v>
      </c>
      <c r="F87" t="str">
        <f>IF(OR(Πίνακας6[[#This Row],[ShipperID]]=1,Πίνακας6[[#This Row],[ShipperID]]=3),"Fast shipping lane","Standard shipping")</f>
        <v>Fast shipping lane</v>
      </c>
      <c r="G87" t="str">
        <f>VLOOKUP(Πίνακας6[[#This Row],[ShipperID]],Πίνακας8[#All],2,FALSE)</f>
        <v>Federal Shipping</v>
      </c>
      <c r="H87" t="str">
        <f>_xlfn.XLOOKUP(Πίνακας6[[#This Row],[ShipperID]],shippers!A:A,shippers!B:B,,FALSE)</f>
        <v>Federal Shipping</v>
      </c>
    </row>
    <row r="88" spans="1:8">
      <c r="A88">
        <v>10334</v>
      </c>
      <c r="B88">
        <v>84</v>
      </c>
      <c r="C88">
        <v>8</v>
      </c>
      <c r="D88" s="1">
        <v>35359</v>
      </c>
      <c r="E88">
        <v>2</v>
      </c>
      <c r="F88" t="str">
        <f>IF(OR(Πίνακας6[[#This Row],[ShipperID]]=1,Πίνακας6[[#This Row],[ShipperID]]=3),"Fast shipping lane","Standard shipping")</f>
        <v>Standard shipping</v>
      </c>
      <c r="G88" t="str">
        <f>VLOOKUP(Πίνακας6[[#This Row],[ShipperID]],Πίνακας8[#All],2,FALSE)</f>
        <v>United Package</v>
      </c>
      <c r="H88" t="str">
        <f>_xlfn.XLOOKUP(Πίνακας6[[#This Row],[ShipperID]],shippers!A:A,shippers!B:B,,FALSE)</f>
        <v>United Package</v>
      </c>
    </row>
    <row r="89" spans="1:8">
      <c r="A89">
        <v>10335</v>
      </c>
      <c r="B89">
        <v>37</v>
      </c>
      <c r="C89">
        <v>7</v>
      </c>
      <c r="D89" s="1">
        <v>35360</v>
      </c>
      <c r="E89">
        <v>2</v>
      </c>
      <c r="F89" t="str">
        <f>IF(OR(Πίνακας6[[#This Row],[ShipperID]]=1,Πίνακας6[[#This Row],[ShipperID]]=3),"Fast shipping lane","Standard shipping")</f>
        <v>Standard shipping</v>
      </c>
      <c r="G89" t="str">
        <f>VLOOKUP(Πίνακας6[[#This Row],[ShipperID]],Πίνακας8[#All],2,FALSE)</f>
        <v>United Package</v>
      </c>
      <c r="H89" t="str">
        <f>_xlfn.XLOOKUP(Πίνακας6[[#This Row],[ShipperID]],shippers!A:A,shippers!B:B,,FALSE)</f>
        <v>United Package</v>
      </c>
    </row>
    <row r="90" spans="1:8">
      <c r="A90">
        <v>10336</v>
      </c>
      <c r="B90">
        <v>60</v>
      </c>
      <c r="C90">
        <v>7</v>
      </c>
      <c r="D90" s="1">
        <v>35361</v>
      </c>
      <c r="E90">
        <v>2</v>
      </c>
      <c r="F90" t="str">
        <f>IF(OR(Πίνακας6[[#This Row],[ShipperID]]=1,Πίνακας6[[#This Row],[ShipperID]]=3),"Fast shipping lane","Standard shipping")</f>
        <v>Standard shipping</v>
      </c>
      <c r="G90" t="str">
        <f>VLOOKUP(Πίνακας6[[#This Row],[ShipperID]],Πίνακας8[#All],2,FALSE)</f>
        <v>United Package</v>
      </c>
      <c r="H90" t="str">
        <f>_xlfn.XLOOKUP(Πίνακας6[[#This Row],[ShipperID]],shippers!A:A,shippers!B:B,,FALSE)</f>
        <v>United Package</v>
      </c>
    </row>
    <row r="91" spans="1:8">
      <c r="A91">
        <v>10337</v>
      </c>
      <c r="B91">
        <v>25</v>
      </c>
      <c r="C91">
        <v>4</v>
      </c>
      <c r="D91" s="1">
        <v>35362</v>
      </c>
      <c r="E91">
        <v>3</v>
      </c>
      <c r="F91" t="str">
        <f>IF(OR(Πίνακας6[[#This Row],[ShipperID]]=1,Πίνακας6[[#This Row],[ShipperID]]=3),"Fast shipping lane","Standard shipping")</f>
        <v>Fast shipping lane</v>
      </c>
      <c r="G91" t="str">
        <f>VLOOKUP(Πίνακας6[[#This Row],[ShipperID]],Πίνακας8[#All],2,FALSE)</f>
        <v>Federal Shipping</v>
      </c>
      <c r="H91" t="str">
        <f>_xlfn.XLOOKUP(Πίνακας6[[#This Row],[ShipperID]],shippers!A:A,shippers!B:B,,FALSE)</f>
        <v>Federal Shipping</v>
      </c>
    </row>
    <row r="92" spans="1:8">
      <c r="A92">
        <v>10338</v>
      </c>
      <c r="B92">
        <v>55</v>
      </c>
      <c r="C92">
        <v>4</v>
      </c>
      <c r="D92" s="1">
        <v>35363</v>
      </c>
      <c r="E92">
        <v>3</v>
      </c>
      <c r="F92" t="str">
        <f>IF(OR(Πίνακας6[[#This Row],[ShipperID]]=1,Πίνακας6[[#This Row],[ShipperID]]=3),"Fast shipping lane","Standard shipping")</f>
        <v>Fast shipping lane</v>
      </c>
      <c r="G92" t="str">
        <f>VLOOKUP(Πίνακας6[[#This Row],[ShipperID]],Πίνακας8[#All],2,FALSE)</f>
        <v>Federal Shipping</v>
      </c>
      <c r="H92" t="str">
        <f>_xlfn.XLOOKUP(Πίνακας6[[#This Row],[ShipperID]],shippers!A:A,shippers!B:B,,FALSE)</f>
        <v>Federal Shipping</v>
      </c>
    </row>
    <row r="93" spans="1:8">
      <c r="A93">
        <v>10339</v>
      </c>
      <c r="B93">
        <v>51</v>
      </c>
      <c r="C93">
        <v>2</v>
      </c>
      <c r="D93" s="1">
        <v>35366</v>
      </c>
      <c r="E93">
        <v>2</v>
      </c>
      <c r="F93" t="str">
        <f>IF(OR(Πίνακας6[[#This Row],[ShipperID]]=1,Πίνακας6[[#This Row],[ShipperID]]=3),"Fast shipping lane","Standard shipping")</f>
        <v>Standard shipping</v>
      </c>
      <c r="G93" t="str">
        <f>VLOOKUP(Πίνακας6[[#This Row],[ShipperID]],Πίνακας8[#All],2,FALSE)</f>
        <v>United Package</v>
      </c>
      <c r="H93" t="str">
        <f>_xlfn.XLOOKUP(Πίνακας6[[#This Row],[ShipperID]],shippers!A:A,shippers!B:B,,FALSE)</f>
        <v>United Package</v>
      </c>
    </row>
    <row r="94" spans="1:8">
      <c r="A94">
        <v>10340</v>
      </c>
      <c r="B94">
        <v>9</v>
      </c>
      <c r="C94">
        <v>1</v>
      </c>
      <c r="D94" s="1">
        <v>35367</v>
      </c>
      <c r="E94">
        <v>3</v>
      </c>
      <c r="F94" t="str">
        <f>IF(OR(Πίνακας6[[#This Row],[ShipperID]]=1,Πίνακας6[[#This Row],[ShipperID]]=3),"Fast shipping lane","Standard shipping")</f>
        <v>Fast shipping lane</v>
      </c>
      <c r="G94" t="str">
        <f>VLOOKUP(Πίνακας6[[#This Row],[ShipperID]],Πίνακας8[#All],2,FALSE)</f>
        <v>Federal Shipping</v>
      </c>
      <c r="H94" t="str">
        <f>_xlfn.XLOOKUP(Πίνακας6[[#This Row],[ShipperID]],shippers!A:A,shippers!B:B,,FALSE)</f>
        <v>Federal Shipping</v>
      </c>
    </row>
    <row r="95" spans="1:8">
      <c r="A95">
        <v>10341</v>
      </c>
      <c r="B95">
        <v>73</v>
      </c>
      <c r="C95">
        <v>7</v>
      </c>
      <c r="D95" s="1">
        <v>35367</v>
      </c>
      <c r="E95">
        <v>3</v>
      </c>
      <c r="F95" t="str">
        <f>IF(OR(Πίνακας6[[#This Row],[ShipperID]]=1,Πίνακας6[[#This Row],[ShipperID]]=3),"Fast shipping lane","Standard shipping")</f>
        <v>Fast shipping lane</v>
      </c>
      <c r="G95" t="str">
        <f>VLOOKUP(Πίνακας6[[#This Row],[ShipperID]],Πίνακας8[#All],2,FALSE)</f>
        <v>Federal Shipping</v>
      </c>
      <c r="H95" t="str">
        <f>_xlfn.XLOOKUP(Πίνακας6[[#This Row],[ShipperID]],shippers!A:A,shippers!B:B,,FALSE)</f>
        <v>Federal Shipping</v>
      </c>
    </row>
    <row r="96" spans="1:8">
      <c r="A96">
        <v>10342</v>
      </c>
      <c r="B96">
        <v>25</v>
      </c>
      <c r="C96">
        <v>4</v>
      </c>
      <c r="D96" s="1">
        <v>35368</v>
      </c>
      <c r="E96">
        <v>2</v>
      </c>
      <c r="F96" t="str">
        <f>IF(OR(Πίνακας6[[#This Row],[ShipperID]]=1,Πίνακας6[[#This Row],[ShipperID]]=3),"Fast shipping lane","Standard shipping")</f>
        <v>Standard shipping</v>
      </c>
      <c r="G96" t="str">
        <f>VLOOKUP(Πίνακας6[[#This Row],[ShipperID]],Πίνακας8[#All],2,FALSE)</f>
        <v>United Package</v>
      </c>
      <c r="H96" t="str">
        <f>_xlfn.XLOOKUP(Πίνακας6[[#This Row],[ShipperID]],shippers!A:A,shippers!B:B,,FALSE)</f>
        <v>United Package</v>
      </c>
    </row>
    <row r="97" spans="1:8">
      <c r="A97">
        <v>10343</v>
      </c>
      <c r="B97">
        <v>44</v>
      </c>
      <c r="C97">
        <v>4</v>
      </c>
      <c r="D97" s="1">
        <v>35369</v>
      </c>
      <c r="E97">
        <v>1</v>
      </c>
      <c r="F97" t="str">
        <f>IF(OR(Πίνακας6[[#This Row],[ShipperID]]=1,Πίνακας6[[#This Row],[ShipperID]]=3),"Fast shipping lane","Standard shipping")</f>
        <v>Fast shipping lane</v>
      </c>
      <c r="G97" t="str">
        <f>VLOOKUP(Πίνακας6[[#This Row],[ShipperID]],Πίνακας8[#All],2,FALSE)</f>
        <v>Speedy Express</v>
      </c>
      <c r="H97" t="str">
        <f>_xlfn.XLOOKUP(Πίνακας6[[#This Row],[ShipperID]],shippers!A:A,shippers!B:B,,FALSE)</f>
        <v>Speedy Express</v>
      </c>
    </row>
    <row r="98" spans="1:8">
      <c r="A98">
        <v>10344</v>
      </c>
      <c r="B98">
        <v>89</v>
      </c>
      <c r="C98">
        <v>4</v>
      </c>
      <c r="D98" s="1">
        <v>35370</v>
      </c>
      <c r="E98">
        <v>2</v>
      </c>
      <c r="F98" t="str">
        <f>IF(OR(Πίνακας6[[#This Row],[ShipperID]]=1,Πίνακας6[[#This Row],[ShipperID]]=3),"Fast shipping lane","Standard shipping")</f>
        <v>Standard shipping</v>
      </c>
      <c r="G98" t="str">
        <f>VLOOKUP(Πίνακας6[[#This Row],[ShipperID]],Πίνακας8[#All],2,FALSE)</f>
        <v>United Package</v>
      </c>
      <c r="H98" t="str">
        <f>_xlfn.XLOOKUP(Πίνακας6[[#This Row],[ShipperID]],shippers!A:A,shippers!B:B,,FALSE)</f>
        <v>United Package</v>
      </c>
    </row>
    <row r="99" spans="1:8">
      <c r="A99">
        <v>10345</v>
      </c>
      <c r="B99">
        <v>63</v>
      </c>
      <c r="C99">
        <v>2</v>
      </c>
      <c r="D99" s="1">
        <v>35373</v>
      </c>
      <c r="E99">
        <v>2</v>
      </c>
      <c r="F99" t="str">
        <f>IF(OR(Πίνακας6[[#This Row],[ShipperID]]=1,Πίνακας6[[#This Row],[ShipperID]]=3),"Fast shipping lane","Standard shipping")</f>
        <v>Standard shipping</v>
      </c>
      <c r="G99" t="str">
        <f>VLOOKUP(Πίνακας6[[#This Row],[ShipperID]],Πίνακας8[#All],2,FALSE)</f>
        <v>United Package</v>
      </c>
      <c r="H99" t="str">
        <f>_xlfn.XLOOKUP(Πίνακας6[[#This Row],[ShipperID]],shippers!A:A,shippers!B:B,,FALSE)</f>
        <v>United Package</v>
      </c>
    </row>
    <row r="100" spans="1:8">
      <c r="A100">
        <v>10346</v>
      </c>
      <c r="B100">
        <v>65</v>
      </c>
      <c r="C100">
        <v>3</v>
      </c>
      <c r="D100" s="1">
        <v>35374</v>
      </c>
      <c r="E100">
        <v>3</v>
      </c>
      <c r="F100" t="str">
        <f>IF(OR(Πίνακας6[[#This Row],[ShipperID]]=1,Πίνακας6[[#This Row],[ShipperID]]=3),"Fast shipping lane","Standard shipping")</f>
        <v>Fast shipping lane</v>
      </c>
      <c r="G100" t="str">
        <f>VLOOKUP(Πίνακας6[[#This Row],[ShipperID]],Πίνακας8[#All],2,FALSE)</f>
        <v>Federal Shipping</v>
      </c>
      <c r="H100" t="str">
        <f>_xlfn.XLOOKUP(Πίνακας6[[#This Row],[ShipperID]],shippers!A:A,shippers!B:B,,FALSE)</f>
        <v>Federal Shipping</v>
      </c>
    </row>
    <row r="101" spans="1:8">
      <c r="A101">
        <v>10347</v>
      </c>
      <c r="B101">
        <v>21</v>
      </c>
      <c r="C101">
        <v>4</v>
      </c>
      <c r="D101" s="1">
        <v>35375</v>
      </c>
      <c r="E101">
        <v>3</v>
      </c>
      <c r="F101" t="str">
        <f>IF(OR(Πίνακας6[[#This Row],[ShipperID]]=1,Πίνακας6[[#This Row],[ShipperID]]=3),"Fast shipping lane","Standard shipping")</f>
        <v>Fast shipping lane</v>
      </c>
      <c r="G101" t="str">
        <f>VLOOKUP(Πίνακας6[[#This Row],[ShipperID]],Πίνακας8[#All],2,FALSE)</f>
        <v>Federal Shipping</v>
      </c>
      <c r="H101" t="str">
        <f>_xlfn.XLOOKUP(Πίνακας6[[#This Row],[ShipperID]],shippers!A:A,shippers!B:B,,FALSE)</f>
        <v>Federal Shipping</v>
      </c>
    </row>
    <row r="102" spans="1:8">
      <c r="A102">
        <v>10348</v>
      </c>
      <c r="B102">
        <v>86</v>
      </c>
      <c r="C102">
        <v>4</v>
      </c>
      <c r="D102" s="1">
        <v>35376</v>
      </c>
      <c r="E102">
        <v>2</v>
      </c>
      <c r="F102" t="str">
        <f>IF(OR(Πίνακας6[[#This Row],[ShipperID]]=1,Πίνακας6[[#This Row],[ShipperID]]=3),"Fast shipping lane","Standard shipping")</f>
        <v>Standard shipping</v>
      </c>
      <c r="G102" t="str">
        <f>VLOOKUP(Πίνακας6[[#This Row],[ShipperID]],Πίνακας8[#All],2,FALSE)</f>
        <v>United Package</v>
      </c>
      <c r="H102" t="str">
        <f>_xlfn.XLOOKUP(Πίνακας6[[#This Row],[ShipperID]],shippers!A:A,shippers!B:B,,FALSE)</f>
        <v>United Package</v>
      </c>
    </row>
    <row r="103" spans="1:8">
      <c r="A103">
        <v>10349</v>
      </c>
      <c r="B103">
        <v>75</v>
      </c>
      <c r="C103">
        <v>7</v>
      </c>
      <c r="D103" s="1">
        <v>35377</v>
      </c>
      <c r="E103">
        <v>1</v>
      </c>
      <c r="F103" t="str">
        <f>IF(OR(Πίνακας6[[#This Row],[ShipperID]]=1,Πίνακας6[[#This Row],[ShipperID]]=3),"Fast shipping lane","Standard shipping")</f>
        <v>Fast shipping lane</v>
      </c>
      <c r="G103" t="str">
        <f>VLOOKUP(Πίνακας6[[#This Row],[ShipperID]],Πίνακας8[#All],2,FALSE)</f>
        <v>Speedy Express</v>
      </c>
      <c r="H103" t="str">
        <f>_xlfn.XLOOKUP(Πίνακας6[[#This Row],[ShipperID]],shippers!A:A,shippers!B:B,,FALSE)</f>
        <v>Speedy Express</v>
      </c>
    </row>
    <row r="104" spans="1:8">
      <c r="A104">
        <v>10350</v>
      </c>
      <c r="B104">
        <v>41</v>
      </c>
      <c r="C104">
        <v>6</v>
      </c>
      <c r="D104" s="1">
        <v>35380</v>
      </c>
      <c r="E104">
        <v>2</v>
      </c>
      <c r="F104" t="str">
        <f>IF(OR(Πίνακας6[[#This Row],[ShipperID]]=1,Πίνακας6[[#This Row],[ShipperID]]=3),"Fast shipping lane","Standard shipping")</f>
        <v>Standard shipping</v>
      </c>
      <c r="G104" t="str">
        <f>VLOOKUP(Πίνακας6[[#This Row],[ShipperID]],Πίνακας8[#All],2,FALSE)</f>
        <v>United Package</v>
      </c>
      <c r="H104" t="str">
        <f>_xlfn.XLOOKUP(Πίνακας6[[#This Row],[ShipperID]],shippers!A:A,shippers!B:B,,FALSE)</f>
        <v>United Package</v>
      </c>
    </row>
    <row r="105" spans="1:8">
      <c r="A105">
        <v>10351</v>
      </c>
      <c r="B105">
        <v>20</v>
      </c>
      <c r="C105">
        <v>1</v>
      </c>
      <c r="D105" s="1">
        <v>35380</v>
      </c>
      <c r="E105">
        <v>1</v>
      </c>
      <c r="F105" t="str">
        <f>IF(OR(Πίνακας6[[#This Row],[ShipperID]]=1,Πίνακας6[[#This Row],[ShipperID]]=3),"Fast shipping lane","Standard shipping")</f>
        <v>Fast shipping lane</v>
      </c>
      <c r="G105" t="str">
        <f>VLOOKUP(Πίνακας6[[#This Row],[ShipperID]],Πίνακας8[#All],2,FALSE)</f>
        <v>Speedy Express</v>
      </c>
      <c r="H105" t="str">
        <f>_xlfn.XLOOKUP(Πίνακας6[[#This Row],[ShipperID]],shippers!A:A,shippers!B:B,,FALSE)</f>
        <v>Speedy Express</v>
      </c>
    </row>
    <row r="106" spans="1:8">
      <c r="A106">
        <v>10352</v>
      </c>
      <c r="B106">
        <v>28</v>
      </c>
      <c r="C106">
        <v>3</v>
      </c>
      <c r="D106" s="1">
        <v>35381</v>
      </c>
      <c r="E106">
        <v>3</v>
      </c>
      <c r="F106" t="str">
        <f>IF(OR(Πίνακας6[[#This Row],[ShipperID]]=1,Πίνακας6[[#This Row],[ShipperID]]=3),"Fast shipping lane","Standard shipping")</f>
        <v>Fast shipping lane</v>
      </c>
      <c r="G106" t="str">
        <f>VLOOKUP(Πίνακας6[[#This Row],[ShipperID]],Πίνακας8[#All],2,FALSE)</f>
        <v>Federal Shipping</v>
      </c>
      <c r="H106" t="str">
        <f>_xlfn.XLOOKUP(Πίνακας6[[#This Row],[ShipperID]],shippers!A:A,shippers!B:B,,FALSE)</f>
        <v>Federal Shipping</v>
      </c>
    </row>
    <row r="107" spans="1:8">
      <c r="A107">
        <v>10353</v>
      </c>
      <c r="B107">
        <v>59</v>
      </c>
      <c r="C107">
        <v>7</v>
      </c>
      <c r="D107" s="1">
        <v>35382</v>
      </c>
      <c r="E107">
        <v>3</v>
      </c>
      <c r="F107" t="str">
        <f>IF(OR(Πίνακας6[[#This Row],[ShipperID]]=1,Πίνακας6[[#This Row],[ShipperID]]=3),"Fast shipping lane","Standard shipping")</f>
        <v>Fast shipping lane</v>
      </c>
      <c r="G107" t="str">
        <f>VLOOKUP(Πίνακας6[[#This Row],[ShipperID]],Πίνακας8[#All],2,FALSE)</f>
        <v>Federal Shipping</v>
      </c>
      <c r="H107" t="str">
        <f>_xlfn.XLOOKUP(Πίνακας6[[#This Row],[ShipperID]],shippers!A:A,shippers!B:B,,FALSE)</f>
        <v>Federal Shipping</v>
      </c>
    </row>
    <row r="108" spans="1:8">
      <c r="A108">
        <v>10354</v>
      </c>
      <c r="B108">
        <v>58</v>
      </c>
      <c r="C108">
        <v>8</v>
      </c>
      <c r="D108" s="1">
        <v>35383</v>
      </c>
      <c r="E108">
        <v>3</v>
      </c>
      <c r="F108" t="str">
        <f>IF(OR(Πίνακας6[[#This Row],[ShipperID]]=1,Πίνακας6[[#This Row],[ShipperID]]=3),"Fast shipping lane","Standard shipping")</f>
        <v>Fast shipping lane</v>
      </c>
      <c r="G108" t="str">
        <f>VLOOKUP(Πίνακας6[[#This Row],[ShipperID]],Πίνακας8[#All],2,FALSE)</f>
        <v>Federal Shipping</v>
      </c>
      <c r="H108" t="str">
        <f>_xlfn.XLOOKUP(Πίνακας6[[#This Row],[ShipperID]],shippers!A:A,shippers!B:B,,FALSE)</f>
        <v>Federal Shipping</v>
      </c>
    </row>
    <row r="109" spans="1:8">
      <c r="A109">
        <v>10355</v>
      </c>
      <c r="B109">
        <v>4</v>
      </c>
      <c r="C109">
        <v>6</v>
      </c>
      <c r="D109" s="1">
        <v>35384</v>
      </c>
      <c r="E109">
        <v>1</v>
      </c>
      <c r="F109" t="str">
        <f>IF(OR(Πίνακας6[[#This Row],[ShipperID]]=1,Πίνακας6[[#This Row],[ShipperID]]=3),"Fast shipping lane","Standard shipping")</f>
        <v>Fast shipping lane</v>
      </c>
      <c r="G109" t="str">
        <f>VLOOKUP(Πίνακας6[[#This Row],[ShipperID]],Πίνακας8[#All],2,FALSE)</f>
        <v>Speedy Express</v>
      </c>
      <c r="H109" t="str">
        <f>_xlfn.XLOOKUP(Πίνακας6[[#This Row],[ShipperID]],shippers!A:A,shippers!B:B,,FALSE)</f>
        <v>Speedy Express</v>
      </c>
    </row>
    <row r="110" spans="1:8">
      <c r="A110">
        <v>10356</v>
      </c>
      <c r="B110">
        <v>86</v>
      </c>
      <c r="C110">
        <v>6</v>
      </c>
      <c r="D110" s="1">
        <v>35387</v>
      </c>
      <c r="E110">
        <v>2</v>
      </c>
      <c r="F110" t="str">
        <f>IF(OR(Πίνακας6[[#This Row],[ShipperID]]=1,Πίνακας6[[#This Row],[ShipperID]]=3),"Fast shipping lane","Standard shipping")</f>
        <v>Standard shipping</v>
      </c>
      <c r="G110" t="str">
        <f>VLOOKUP(Πίνακας6[[#This Row],[ShipperID]],Πίνακας8[#All],2,FALSE)</f>
        <v>United Package</v>
      </c>
      <c r="H110" t="str">
        <f>_xlfn.XLOOKUP(Πίνακας6[[#This Row],[ShipperID]],shippers!A:A,shippers!B:B,,FALSE)</f>
        <v>United Package</v>
      </c>
    </row>
    <row r="111" spans="1:8">
      <c r="A111">
        <v>10357</v>
      </c>
      <c r="B111">
        <v>46</v>
      </c>
      <c r="C111">
        <v>1</v>
      </c>
      <c r="D111" s="1">
        <v>35388</v>
      </c>
      <c r="E111">
        <v>3</v>
      </c>
      <c r="F111" t="str">
        <f>IF(OR(Πίνακας6[[#This Row],[ShipperID]]=1,Πίνακας6[[#This Row],[ShipperID]]=3),"Fast shipping lane","Standard shipping")</f>
        <v>Fast shipping lane</v>
      </c>
      <c r="G111" t="str">
        <f>VLOOKUP(Πίνακας6[[#This Row],[ShipperID]],Πίνακας8[#All],2,FALSE)</f>
        <v>Federal Shipping</v>
      </c>
      <c r="H111" t="str">
        <f>_xlfn.XLOOKUP(Πίνακας6[[#This Row],[ShipperID]],shippers!A:A,shippers!B:B,,FALSE)</f>
        <v>Federal Shipping</v>
      </c>
    </row>
    <row r="112" spans="1:8">
      <c r="A112">
        <v>10358</v>
      </c>
      <c r="B112">
        <v>41</v>
      </c>
      <c r="C112">
        <v>5</v>
      </c>
      <c r="D112" s="1">
        <v>35389</v>
      </c>
      <c r="E112">
        <v>1</v>
      </c>
      <c r="F112" t="str">
        <f>IF(OR(Πίνακας6[[#This Row],[ShipperID]]=1,Πίνακας6[[#This Row],[ShipperID]]=3),"Fast shipping lane","Standard shipping")</f>
        <v>Fast shipping lane</v>
      </c>
      <c r="G112" t="str">
        <f>VLOOKUP(Πίνακας6[[#This Row],[ShipperID]],Πίνακας8[#All],2,FALSE)</f>
        <v>Speedy Express</v>
      </c>
      <c r="H112" t="str">
        <f>_xlfn.XLOOKUP(Πίνακας6[[#This Row],[ShipperID]],shippers!A:A,shippers!B:B,,FALSE)</f>
        <v>Speedy Express</v>
      </c>
    </row>
    <row r="113" spans="1:8">
      <c r="A113">
        <v>10359</v>
      </c>
      <c r="B113">
        <v>72</v>
      </c>
      <c r="C113">
        <v>5</v>
      </c>
      <c r="D113" s="1">
        <v>35390</v>
      </c>
      <c r="E113">
        <v>3</v>
      </c>
      <c r="F113" t="str">
        <f>IF(OR(Πίνακας6[[#This Row],[ShipperID]]=1,Πίνακας6[[#This Row],[ShipperID]]=3),"Fast shipping lane","Standard shipping")</f>
        <v>Fast shipping lane</v>
      </c>
      <c r="G113" t="str">
        <f>VLOOKUP(Πίνακας6[[#This Row],[ShipperID]],Πίνακας8[#All],2,FALSE)</f>
        <v>Federal Shipping</v>
      </c>
      <c r="H113" t="str">
        <f>_xlfn.XLOOKUP(Πίνακας6[[#This Row],[ShipperID]],shippers!A:A,shippers!B:B,,FALSE)</f>
        <v>Federal Shipping</v>
      </c>
    </row>
    <row r="114" spans="1:8">
      <c r="A114">
        <v>10360</v>
      </c>
      <c r="B114">
        <v>7</v>
      </c>
      <c r="C114">
        <v>4</v>
      </c>
      <c r="D114" s="1">
        <v>35391</v>
      </c>
      <c r="E114">
        <v>3</v>
      </c>
      <c r="F114" t="str">
        <f>IF(OR(Πίνακας6[[#This Row],[ShipperID]]=1,Πίνακας6[[#This Row],[ShipperID]]=3),"Fast shipping lane","Standard shipping")</f>
        <v>Fast shipping lane</v>
      </c>
      <c r="G114" t="str">
        <f>VLOOKUP(Πίνακας6[[#This Row],[ShipperID]],Πίνακας8[#All],2,FALSE)</f>
        <v>Federal Shipping</v>
      </c>
      <c r="H114" t="str">
        <f>_xlfn.XLOOKUP(Πίνακας6[[#This Row],[ShipperID]],shippers!A:A,shippers!B:B,,FALSE)</f>
        <v>Federal Shipping</v>
      </c>
    </row>
    <row r="115" spans="1:8">
      <c r="A115">
        <v>10361</v>
      </c>
      <c r="B115">
        <v>63</v>
      </c>
      <c r="C115">
        <v>1</v>
      </c>
      <c r="D115" s="1">
        <v>35391</v>
      </c>
      <c r="E115">
        <v>2</v>
      </c>
      <c r="F115" t="str">
        <f>IF(OR(Πίνακας6[[#This Row],[ShipperID]]=1,Πίνακας6[[#This Row],[ShipperID]]=3),"Fast shipping lane","Standard shipping")</f>
        <v>Standard shipping</v>
      </c>
      <c r="G115" t="str">
        <f>VLOOKUP(Πίνακας6[[#This Row],[ShipperID]],Πίνακας8[#All],2,FALSE)</f>
        <v>United Package</v>
      </c>
      <c r="H115" t="str">
        <f>_xlfn.XLOOKUP(Πίνακας6[[#This Row],[ShipperID]],shippers!A:A,shippers!B:B,,FALSE)</f>
        <v>United Package</v>
      </c>
    </row>
    <row r="116" spans="1:8">
      <c r="A116">
        <v>10362</v>
      </c>
      <c r="B116">
        <v>9</v>
      </c>
      <c r="C116">
        <v>3</v>
      </c>
      <c r="D116" s="1">
        <v>35394</v>
      </c>
      <c r="E116">
        <v>1</v>
      </c>
      <c r="F116" t="str">
        <f>IF(OR(Πίνακας6[[#This Row],[ShipperID]]=1,Πίνακας6[[#This Row],[ShipperID]]=3),"Fast shipping lane","Standard shipping")</f>
        <v>Fast shipping lane</v>
      </c>
      <c r="G116" t="str">
        <f>VLOOKUP(Πίνακας6[[#This Row],[ShipperID]],Πίνακας8[#All],2,FALSE)</f>
        <v>Speedy Express</v>
      </c>
      <c r="H116" t="str">
        <f>_xlfn.XLOOKUP(Πίνακας6[[#This Row],[ShipperID]],shippers!A:A,shippers!B:B,,FALSE)</f>
        <v>Speedy Express</v>
      </c>
    </row>
    <row r="117" spans="1:8">
      <c r="A117">
        <v>10363</v>
      </c>
      <c r="B117">
        <v>17</v>
      </c>
      <c r="C117">
        <v>4</v>
      </c>
      <c r="D117" s="1">
        <v>35395</v>
      </c>
      <c r="E117">
        <v>3</v>
      </c>
      <c r="F117" t="str">
        <f>IF(OR(Πίνακας6[[#This Row],[ShipperID]]=1,Πίνακας6[[#This Row],[ShipperID]]=3),"Fast shipping lane","Standard shipping")</f>
        <v>Fast shipping lane</v>
      </c>
      <c r="G117" t="str">
        <f>VLOOKUP(Πίνακας6[[#This Row],[ShipperID]],Πίνακας8[#All],2,FALSE)</f>
        <v>Federal Shipping</v>
      </c>
      <c r="H117" t="str">
        <f>_xlfn.XLOOKUP(Πίνακας6[[#This Row],[ShipperID]],shippers!A:A,shippers!B:B,,FALSE)</f>
        <v>Federal Shipping</v>
      </c>
    </row>
    <row r="118" spans="1:8">
      <c r="A118">
        <v>10364</v>
      </c>
      <c r="B118">
        <v>19</v>
      </c>
      <c r="C118">
        <v>1</v>
      </c>
      <c r="D118" s="1">
        <v>35395</v>
      </c>
      <c r="E118">
        <v>1</v>
      </c>
      <c r="F118" t="str">
        <f>IF(OR(Πίνακας6[[#This Row],[ShipperID]]=1,Πίνακας6[[#This Row],[ShipperID]]=3),"Fast shipping lane","Standard shipping")</f>
        <v>Fast shipping lane</v>
      </c>
      <c r="G118" t="str">
        <f>VLOOKUP(Πίνακας6[[#This Row],[ShipperID]],Πίνακας8[#All],2,FALSE)</f>
        <v>Speedy Express</v>
      </c>
      <c r="H118" t="str">
        <f>_xlfn.XLOOKUP(Πίνακας6[[#This Row],[ShipperID]],shippers!A:A,shippers!B:B,,FALSE)</f>
        <v>Speedy Express</v>
      </c>
    </row>
    <row r="119" spans="1:8">
      <c r="A119">
        <v>10365</v>
      </c>
      <c r="B119">
        <v>3</v>
      </c>
      <c r="C119">
        <v>3</v>
      </c>
      <c r="D119" s="1">
        <v>35396</v>
      </c>
      <c r="E119">
        <v>2</v>
      </c>
      <c r="F119" t="str">
        <f>IF(OR(Πίνακας6[[#This Row],[ShipperID]]=1,Πίνακας6[[#This Row],[ShipperID]]=3),"Fast shipping lane","Standard shipping")</f>
        <v>Standard shipping</v>
      </c>
      <c r="G119" t="str">
        <f>VLOOKUP(Πίνακας6[[#This Row],[ShipperID]],Πίνακας8[#All],2,FALSE)</f>
        <v>United Package</v>
      </c>
      <c r="H119" t="str">
        <f>_xlfn.XLOOKUP(Πίνακας6[[#This Row],[ShipperID]],shippers!A:A,shippers!B:B,,FALSE)</f>
        <v>United Package</v>
      </c>
    </row>
    <row r="120" spans="1:8">
      <c r="A120">
        <v>10366</v>
      </c>
      <c r="B120">
        <v>29</v>
      </c>
      <c r="C120">
        <v>8</v>
      </c>
      <c r="D120" s="1">
        <v>35397</v>
      </c>
      <c r="E120">
        <v>2</v>
      </c>
      <c r="F120" t="str">
        <f>IF(OR(Πίνακας6[[#This Row],[ShipperID]]=1,Πίνακας6[[#This Row],[ShipperID]]=3),"Fast shipping lane","Standard shipping")</f>
        <v>Standard shipping</v>
      </c>
      <c r="G120" t="str">
        <f>VLOOKUP(Πίνακας6[[#This Row],[ShipperID]],Πίνακας8[#All],2,FALSE)</f>
        <v>United Package</v>
      </c>
      <c r="H120" t="str">
        <f>_xlfn.XLOOKUP(Πίνακας6[[#This Row],[ShipperID]],shippers!A:A,shippers!B:B,,FALSE)</f>
        <v>United Package</v>
      </c>
    </row>
    <row r="121" spans="1:8">
      <c r="A121">
        <v>10367</v>
      </c>
      <c r="B121">
        <v>83</v>
      </c>
      <c r="C121">
        <v>7</v>
      </c>
      <c r="D121" s="1">
        <v>35397</v>
      </c>
      <c r="E121">
        <v>3</v>
      </c>
      <c r="F121" t="str">
        <f>IF(OR(Πίνακας6[[#This Row],[ShipperID]]=1,Πίνακας6[[#This Row],[ShipperID]]=3),"Fast shipping lane","Standard shipping")</f>
        <v>Fast shipping lane</v>
      </c>
      <c r="G121" t="str">
        <f>VLOOKUP(Πίνακας6[[#This Row],[ShipperID]],Πίνακας8[#All],2,FALSE)</f>
        <v>Federal Shipping</v>
      </c>
      <c r="H121" t="str">
        <f>_xlfn.XLOOKUP(Πίνακας6[[#This Row],[ShipperID]],shippers!A:A,shippers!B:B,,FALSE)</f>
        <v>Federal Shipping</v>
      </c>
    </row>
    <row r="122" spans="1:8">
      <c r="A122">
        <v>10368</v>
      </c>
      <c r="B122">
        <v>20</v>
      </c>
      <c r="C122">
        <v>2</v>
      </c>
      <c r="D122" s="1">
        <v>35398</v>
      </c>
      <c r="E122">
        <v>2</v>
      </c>
      <c r="F122" t="str">
        <f>IF(OR(Πίνακας6[[#This Row],[ShipperID]]=1,Πίνακας6[[#This Row],[ShipperID]]=3),"Fast shipping lane","Standard shipping")</f>
        <v>Standard shipping</v>
      </c>
      <c r="G122" t="str">
        <f>VLOOKUP(Πίνακας6[[#This Row],[ShipperID]],Πίνακας8[#All],2,FALSE)</f>
        <v>United Package</v>
      </c>
      <c r="H122" t="str">
        <f>_xlfn.XLOOKUP(Πίνακας6[[#This Row],[ShipperID]],shippers!A:A,shippers!B:B,,FALSE)</f>
        <v>United Package</v>
      </c>
    </row>
    <row r="123" spans="1:8">
      <c r="A123">
        <v>10369</v>
      </c>
      <c r="B123">
        <v>75</v>
      </c>
      <c r="C123">
        <v>8</v>
      </c>
      <c r="D123" s="1">
        <v>35401</v>
      </c>
      <c r="E123">
        <v>2</v>
      </c>
      <c r="F123" t="str">
        <f>IF(OR(Πίνακας6[[#This Row],[ShipperID]]=1,Πίνακας6[[#This Row],[ShipperID]]=3),"Fast shipping lane","Standard shipping")</f>
        <v>Standard shipping</v>
      </c>
      <c r="G123" t="str">
        <f>VLOOKUP(Πίνακας6[[#This Row],[ShipperID]],Πίνακας8[#All],2,FALSE)</f>
        <v>United Package</v>
      </c>
      <c r="H123" t="str">
        <f>_xlfn.XLOOKUP(Πίνακας6[[#This Row],[ShipperID]],shippers!A:A,shippers!B:B,,FALSE)</f>
        <v>United Package</v>
      </c>
    </row>
    <row r="124" spans="1:8">
      <c r="A124">
        <v>10370</v>
      </c>
      <c r="B124">
        <v>14</v>
      </c>
      <c r="C124">
        <v>6</v>
      </c>
      <c r="D124" s="1">
        <v>35402</v>
      </c>
      <c r="E124">
        <v>2</v>
      </c>
      <c r="F124" t="str">
        <f>IF(OR(Πίνακας6[[#This Row],[ShipperID]]=1,Πίνακας6[[#This Row],[ShipperID]]=3),"Fast shipping lane","Standard shipping")</f>
        <v>Standard shipping</v>
      </c>
      <c r="G124" t="str">
        <f>VLOOKUP(Πίνακας6[[#This Row],[ShipperID]],Πίνακας8[#All],2,FALSE)</f>
        <v>United Package</v>
      </c>
      <c r="H124" t="str">
        <f>_xlfn.XLOOKUP(Πίνακας6[[#This Row],[ShipperID]],shippers!A:A,shippers!B:B,,FALSE)</f>
        <v>United Package</v>
      </c>
    </row>
    <row r="125" spans="1:8">
      <c r="A125">
        <v>10371</v>
      </c>
      <c r="B125">
        <v>41</v>
      </c>
      <c r="C125">
        <v>1</v>
      </c>
      <c r="D125" s="1">
        <v>35402</v>
      </c>
      <c r="E125">
        <v>1</v>
      </c>
      <c r="F125" t="str">
        <f>IF(OR(Πίνακας6[[#This Row],[ShipperID]]=1,Πίνακας6[[#This Row],[ShipperID]]=3),"Fast shipping lane","Standard shipping")</f>
        <v>Fast shipping lane</v>
      </c>
      <c r="G125" t="str">
        <f>VLOOKUP(Πίνακας6[[#This Row],[ShipperID]],Πίνακας8[#All],2,FALSE)</f>
        <v>Speedy Express</v>
      </c>
      <c r="H125" t="str">
        <f>_xlfn.XLOOKUP(Πίνακας6[[#This Row],[ShipperID]],shippers!A:A,shippers!B:B,,FALSE)</f>
        <v>Speedy Express</v>
      </c>
    </row>
    <row r="126" spans="1:8">
      <c r="A126">
        <v>10372</v>
      </c>
      <c r="B126">
        <v>62</v>
      </c>
      <c r="C126">
        <v>5</v>
      </c>
      <c r="D126" s="1">
        <v>35403</v>
      </c>
      <c r="E126">
        <v>2</v>
      </c>
      <c r="F126" t="str">
        <f>IF(OR(Πίνακας6[[#This Row],[ShipperID]]=1,Πίνακας6[[#This Row],[ShipperID]]=3),"Fast shipping lane","Standard shipping")</f>
        <v>Standard shipping</v>
      </c>
      <c r="G126" t="str">
        <f>VLOOKUP(Πίνακας6[[#This Row],[ShipperID]],Πίνακας8[#All],2,FALSE)</f>
        <v>United Package</v>
      </c>
      <c r="H126" t="str">
        <f>_xlfn.XLOOKUP(Πίνακας6[[#This Row],[ShipperID]],shippers!A:A,shippers!B:B,,FALSE)</f>
        <v>United Package</v>
      </c>
    </row>
    <row r="127" spans="1:8">
      <c r="A127">
        <v>10373</v>
      </c>
      <c r="B127">
        <v>37</v>
      </c>
      <c r="C127">
        <v>4</v>
      </c>
      <c r="D127" s="1">
        <v>35404</v>
      </c>
      <c r="E127">
        <v>3</v>
      </c>
      <c r="F127" t="str">
        <f>IF(OR(Πίνακας6[[#This Row],[ShipperID]]=1,Πίνακας6[[#This Row],[ShipperID]]=3),"Fast shipping lane","Standard shipping")</f>
        <v>Fast shipping lane</v>
      </c>
      <c r="G127" t="str">
        <f>VLOOKUP(Πίνακας6[[#This Row],[ShipperID]],Πίνακας8[#All],2,FALSE)</f>
        <v>Federal Shipping</v>
      </c>
      <c r="H127" t="str">
        <f>_xlfn.XLOOKUP(Πίνακας6[[#This Row],[ShipperID]],shippers!A:A,shippers!B:B,,FALSE)</f>
        <v>Federal Shipping</v>
      </c>
    </row>
    <row r="128" spans="1:8">
      <c r="A128">
        <v>10374</v>
      </c>
      <c r="B128">
        <v>91</v>
      </c>
      <c r="C128">
        <v>1</v>
      </c>
      <c r="D128" s="1">
        <v>35404</v>
      </c>
      <c r="E128">
        <v>3</v>
      </c>
      <c r="F128" t="str">
        <f>IF(OR(Πίνακας6[[#This Row],[ShipperID]]=1,Πίνακας6[[#This Row],[ShipperID]]=3),"Fast shipping lane","Standard shipping")</f>
        <v>Fast shipping lane</v>
      </c>
      <c r="G128" t="str">
        <f>VLOOKUP(Πίνακας6[[#This Row],[ShipperID]],Πίνακας8[#All],2,FALSE)</f>
        <v>Federal Shipping</v>
      </c>
      <c r="H128" t="str">
        <f>_xlfn.XLOOKUP(Πίνακας6[[#This Row],[ShipperID]],shippers!A:A,shippers!B:B,,FALSE)</f>
        <v>Federal Shipping</v>
      </c>
    </row>
    <row r="129" spans="1:8">
      <c r="A129">
        <v>10375</v>
      </c>
      <c r="B129">
        <v>36</v>
      </c>
      <c r="C129">
        <v>3</v>
      </c>
      <c r="D129" s="1">
        <v>35405</v>
      </c>
      <c r="E129">
        <v>2</v>
      </c>
      <c r="F129" t="str">
        <f>IF(OR(Πίνακας6[[#This Row],[ShipperID]]=1,Πίνακας6[[#This Row],[ShipperID]]=3),"Fast shipping lane","Standard shipping")</f>
        <v>Standard shipping</v>
      </c>
      <c r="G129" t="str">
        <f>VLOOKUP(Πίνακας6[[#This Row],[ShipperID]],Πίνακας8[#All],2,FALSE)</f>
        <v>United Package</v>
      </c>
      <c r="H129" t="str">
        <f>_xlfn.XLOOKUP(Πίνακας6[[#This Row],[ShipperID]],shippers!A:A,shippers!B:B,,FALSE)</f>
        <v>United Package</v>
      </c>
    </row>
    <row r="130" spans="1:8">
      <c r="A130">
        <v>10376</v>
      </c>
      <c r="B130">
        <v>51</v>
      </c>
      <c r="C130">
        <v>1</v>
      </c>
      <c r="D130" s="1">
        <v>35408</v>
      </c>
      <c r="E130">
        <v>2</v>
      </c>
      <c r="F130" t="str">
        <f>IF(OR(Πίνακας6[[#This Row],[ShipperID]]=1,Πίνακας6[[#This Row],[ShipperID]]=3),"Fast shipping lane","Standard shipping")</f>
        <v>Standard shipping</v>
      </c>
      <c r="G130" t="str">
        <f>VLOOKUP(Πίνακας6[[#This Row],[ShipperID]],Πίνακας8[#All],2,FALSE)</f>
        <v>United Package</v>
      </c>
      <c r="H130" t="str">
        <f>_xlfn.XLOOKUP(Πίνακας6[[#This Row],[ShipperID]],shippers!A:A,shippers!B:B,,FALSE)</f>
        <v>United Package</v>
      </c>
    </row>
    <row r="131" spans="1:8">
      <c r="A131">
        <v>10377</v>
      </c>
      <c r="B131">
        <v>72</v>
      </c>
      <c r="C131">
        <v>1</v>
      </c>
      <c r="D131" s="1">
        <v>35408</v>
      </c>
      <c r="E131">
        <v>3</v>
      </c>
      <c r="F131" t="str">
        <f>IF(OR(Πίνακας6[[#This Row],[ShipperID]]=1,Πίνακας6[[#This Row],[ShipperID]]=3),"Fast shipping lane","Standard shipping")</f>
        <v>Fast shipping lane</v>
      </c>
      <c r="G131" t="str">
        <f>VLOOKUP(Πίνακας6[[#This Row],[ShipperID]],Πίνακας8[#All],2,FALSE)</f>
        <v>Federal Shipping</v>
      </c>
      <c r="H131" t="str">
        <f>_xlfn.XLOOKUP(Πίνακας6[[#This Row],[ShipperID]],shippers!A:A,shippers!B:B,,FALSE)</f>
        <v>Federal Shipping</v>
      </c>
    </row>
    <row r="132" spans="1:8">
      <c r="A132">
        <v>10378</v>
      </c>
      <c r="B132">
        <v>24</v>
      </c>
      <c r="C132">
        <v>5</v>
      </c>
      <c r="D132" s="1">
        <v>35409</v>
      </c>
      <c r="E132">
        <v>3</v>
      </c>
      <c r="F132" t="str">
        <f>IF(OR(Πίνακας6[[#This Row],[ShipperID]]=1,Πίνακας6[[#This Row],[ShipperID]]=3),"Fast shipping lane","Standard shipping")</f>
        <v>Fast shipping lane</v>
      </c>
      <c r="G132" t="str">
        <f>VLOOKUP(Πίνακας6[[#This Row],[ShipperID]],Πίνακας8[#All],2,FALSE)</f>
        <v>Federal Shipping</v>
      </c>
      <c r="H132" t="str">
        <f>_xlfn.XLOOKUP(Πίνακας6[[#This Row],[ShipperID]],shippers!A:A,shippers!B:B,,FALSE)</f>
        <v>Federal Shipping</v>
      </c>
    </row>
    <row r="133" spans="1:8">
      <c r="A133">
        <v>10379</v>
      </c>
      <c r="B133">
        <v>61</v>
      </c>
      <c r="C133">
        <v>2</v>
      </c>
      <c r="D133" s="1">
        <v>35410</v>
      </c>
      <c r="E133">
        <v>1</v>
      </c>
      <c r="F133" t="str">
        <f>IF(OR(Πίνακας6[[#This Row],[ShipperID]]=1,Πίνακας6[[#This Row],[ShipperID]]=3),"Fast shipping lane","Standard shipping")</f>
        <v>Fast shipping lane</v>
      </c>
      <c r="G133" t="str">
        <f>VLOOKUP(Πίνακας6[[#This Row],[ShipperID]],Πίνακας8[#All],2,FALSE)</f>
        <v>Speedy Express</v>
      </c>
      <c r="H133" t="str">
        <f>_xlfn.XLOOKUP(Πίνακας6[[#This Row],[ShipperID]],shippers!A:A,shippers!B:B,,FALSE)</f>
        <v>Speedy Express</v>
      </c>
    </row>
    <row r="134" spans="1:8">
      <c r="A134">
        <v>10380</v>
      </c>
      <c r="B134">
        <v>37</v>
      </c>
      <c r="C134">
        <v>8</v>
      </c>
      <c r="D134" s="1">
        <v>35411</v>
      </c>
      <c r="E134">
        <v>3</v>
      </c>
      <c r="F134" t="str">
        <f>IF(OR(Πίνακας6[[#This Row],[ShipperID]]=1,Πίνακας6[[#This Row],[ShipperID]]=3),"Fast shipping lane","Standard shipping")</f>
        <v>Fast shipping lane</v>
      </c>
      <c r="G134" t="str">
        <f>VLOOKUP(Πίνακας6[[#This Row],[ShipperID]],Πίνακας8[#All],2,FALSE)</f>
        <v>Federal Shipping</v>
      </c>
      <c r="H134" t="str">
        <f>_xlfn.XLOOKUP(Πίνακας6[[#This Row],[ShipperID]],shippers!A:A,shippers!B:B,,FALSE)</f>
        <v>Federal Shipping</v>
      </c>
    </row>
    <row r="135" spans="1:8">
      <c r="A135">
        <v>10381</v>
      </c>
      <c r="B135">
        <v>46</v>
      </c>
      <c r="C135">
        <v>3</v>
      </c>
      <c r="D135" s="1">
        <v>35411</v>
      </c>
      <c r="E135">
        <v>3</v>
      </c>
      <c r="F135" t="str">
        <f>IF(OR(Πίνακας6[[#This Row],[ShipperID]]=1,Πίνακας6[[#This Row],[ShipperID]]=3),"Fast shipping lane","Standard shipping")</f>
        <v>Fast shipping lane</v>
      </c>
      <c r="G135" t="str">
        <f>VLOOKUP(Πίνακας6[[#This Row],[ShipperID]],Πίνακας8[#All],2,FALSE)</f>
        <v>Federal Shipping</v>
      </c>
      <c r="H135" t="str">
        <f>_xlfn.XLOOKUP(Πίνακας6[[#This Row],[ShipperID]],shippers!A:A,shippers!B:B,,FALSE)</f>
        <v>Federal Shipping</v>
      </c>
    </row>
    <row r="136" spans="1:8">
      <c r="A136">
        <v>10382</v>
      </c>
      <c r="B136">
        <v>20</v>
      </c>
      <c r="C136">
        <v>4</v>
      </c>
      <c r="D136" s="1">
        <v>35412</v>
      </c>
      <c r="E136">
        <v>1</v>
      </c>
      <c r="F136" t="str">
        <f>IF(OR(Πίνακας6[[#This Row],[ShipperID]]=1,Πίνακας6[[#This Row],[ShipperID]]=3),"Fast shipping lane","Standard shipping")</f>
        <v>Fast shipping lane</v>
      </c>
      <c r="G136" t="str">
        <f>VLOOKUP(Πίνακας6[[#This Row],[ShipperID]],Πίνακας8[#All],2,FALSE)</f>
        <v>Speedy Express</v>
      </c>
      <c r="H136" t="str">
        <f>_xlfn.XLOOKUP(Πίνακας6[[#This Row],[ShipperID]],shippers!A:A,shippers!B:B,,FALSE)</f>
        <v>Speedy Express</v>
      </c>
    </row>
    <row r="137" spans="1:8">
      <c r="A137">
        <v>10383</v>
      </c>
      <c r="B137">
        <v>4</v>
      </c>
      <c r="C137">
        <v>8</v>
      </c>
      <c r="D137" s="1">
        <v>35415</v>
      </c>
      <c r="E137">
        <v>3</v>
      </c>
      <c r="F137" t="str">
        <f>IF(OR(Πίνακας6[[#This Row],[ShipperID]]=1,Πίνακας6[[#This Row],[ShipperID]]=3),"Fast shipping lane","Standard shipping")</f>
        <v>Fast shipping lane</v>
      </c>
      <c r="G137" t="str">
        <f>VLOOKUP(Πίνακας6[[#This Row],[ShipperID]],Πίνακας8[#All],2,FALSE)</f>
        <v>Federal Shipping</v>
      </c>
      <c r="H137" t="str">
        <f>_xlfn.XLOOKUP(Πίνακας6[[#This Row],[ShipperID]],shippers!A:A,shippers!B:B,,FALSE)</f>
        <v>Federal Shipping</v>
      </c>
    </row>
    <row r="138" spans="1:8">
      <c r="A138">
        <v>10384</v>
      </c>
      <c r="B138">
        <v>5</v>
      </c>
      <c r="C138">
        <v>3</v>
      </c>
      <c r="D138" s="1">
        <v>35415</v>
      </c>
      <c r="E138">
        <v>3</v>
      </c>
      <c r="F138" t="str">
        <f>IF(OR(Πίνακας6[[#This Row],[ShipperID]]=1,Πίνακας6[[#This Row],[ShipperID]]=3),"Fast shipping lane","Standard shipping")</f>
        <v>Fast shipping lane</v>
      </c>
      <c r="G138" t="str">
        <f>VLOOKUP(Πίνακας6[[#This Row],[ShipperID]],Πίνακας8[#All],2,FALSE)</f>
        <v>Federal Shipping</v>
      </c>
      <c r="H138" t="str">
        <f>_xlfn.XLOOKUP(Πίνακας6[[#This Row],[ShipperID]],shippers!A:A,shippers!B:B,,FALSE)</f>
        <v>Federal Shipping</v>
      </c>
    </row>
    <row r="139" spans="1:8">
      <c r="A139">
        <v>10385</v>
      </c>
      <c r="B139">
        <v>75</v>
      </c>
      <c r="C139">
        <v>1</v>
      </c>
      <c r="D139" s="1">
        <v>35416</v>
      </c>
      <c r="E139">
        <v>2</v>
      </c>
      <c r="F139" t="str">
        <f>IF(OR(Πίνακας6[[#This Row],[ShipperID]]=1,Πίνακας6[[#This Row],[ShipperID]]=3),"Fast shipping lane","Standard shipping")</f>
        <v>Standard shipping</v>
      </c>
      <c r="G139" t="str">
        <f>VLOOKUP(Πίνακας6[[#This Row],[ShipperID]],Πίνακας8[#All],2,FALSE)</f>
        <v>United Package</v>
      </c>
      <c r="H139" t="str">
        <f>_xlfn.XLOOKUP(Πίνακας6[[#This Row],[ShipperID]],shippers!A:A,shippers!B:B,,FALSE)</f>
        <v>United Package</v>
      </c>
    </row>
    <row r="140" spans="1:8">
      <c r="A140">
        <v>10386</v>
      </c>
      <c r="B140">
        <v>21</v>
      </c>
      <c r="C140">
        <v>9</v>
      </c>
      <c r="D140" s="1">
        <v>35417</v>
      </c>
      <c r="E140">
        <v>3</v>
      </c>
      <c r="F140" t="str">
        <f>IF(OR(Πίνακας6[[#This Row],[ShipperID]]=1,Πίνακας6[[#This Row],[ShipperID]]=3),"Fast shipping lane","Standard shipping")</f>
        <v>Fast shipping lane</v>
      </c>
      <c r="G140" t="str">
        <f>VLOOKUP(Πίνακας6[[#This Row],[ShipperID]],Πίνακας8[#All],2,FALSE)</f>
        <v>Federal Shipping</v>
      </c>
      <c r="H140" t="str">
        <f>_xlfn.XLOOKUP(Πίνακας6[[#This Row],[ShipperID]],shippers!A:A,shippers!B:B,,FALSE)</f>
        <v>Federal Shipping</v>
      </c>
    </row>
    <row r="141" spans="1:8">
      <c r="A141">
        <v>10387</v>
      </c>
      <c r="B141">
        <v>70</v>
      </c>
      <c r="C141">
        <v>1</v>
      </c>
      <c r="D141" s="1">
        <v>35417</v>
      </c>
      <c r="E141">
        <v>2</v>
      </c>
      <c r="F141" t="str">
        <f>IF(OR(Πίνακας6[[#This Row],[ShipperID]]=1,Πίνακας6[[#This Row],[ShipperID]]=3),"Fast shipping lane","Standard shipping")</f>
        <v>Standard shipping</v>
      </c>
      <c r="G141" t="str">
        <f>VLOOKUP(Πίνακας6[[#This Row],[ShipperID]],Πίνακας8[#All],2,FALSE)</f>
        <v>United Package</v>
      </c>
      <c r="H141" t="str">
        <f>_xlfn.XLOOKUP(Πίνακας6[[#This Row],[ShipperID]],shippers!A:A,shippers!B:B,,FALSE)</f>
        <v>United Package</v>
      </c>
    </row>
    <row r="142" spans="1:8">
      <c r="A142">
        <v>10388</v>
      </c>
      <c r="B142">
        <v>72</v>
      </c>
      <c r="C142">
        <v>2</v>
      </c>
      <c r="D142" s="1">
        <v>35418</v>
      </c>
      <c r="E142">
        <v>1</v>
      </c>
      <c r="F142" t="str">
        <f>IF(OR(Πίνακας6[[#This Row],[ShipperID]]=1,Πίνακας6[[#This Row],[ShipperID]]=3),"Fast shipping lane","Standard shipping")</f>
        <v>Fast shipping lane</v>
      </c>
      <c r="G142" t="str">
        <f>VLOOKUP(Πίνακας6[[#This Row],[ShipperID]],Πίνακας8[#All],2,FALSE)</f>
        <v>Speedy Express</v>
      </c>
      <c r="H142" t="str">
        <f>_xlfn.XLOOKUP(Πίνακας6[[#This Row],[ShipperID]],shippers!A:A,shippers!B:B,,FALSE)</f>
        <v>Speedy Express</v>
      </c>
    </row>
    <row r="143" spans="1:8">
      <c r="A143">
        <v>10389</v>
      </c>
      <c r="B143">
        <v>10</v>
      </c>
      <c r="C143">
        <v>4</v>
      </c>
      <c r="D143" s="1">
        <v>35419</v>
      </c>
      <c r="E143">
        <v>2</v>
      </c>
      <c r="F143" t="str">
        <f>IF(OR(Πίνακας6[[#This Row],[ShipperID]]=1,Πίνακας6[[#This Row],[ShipperID]]=3),"Fast shipping lane","Standard shipping")</f>
        <v>Standard shipping</v>
      </c>
      <c r="G143" t="str">
        <f>VLOOKUP(Πίνακας6[[#This Row],[ShipperID]],Πίνακας8[#All],2,FALSE)</f>
        <v>United Package</v>
      </c>
      <c r="H143" t="str">
        <f>_xlfn.XLOOKUP(Πίνακας6[[#This Row],[ShipperID]],shippers!A:A,shippers!B:B,,FALSE)</f>
        <v>United Package</v>
      </c>
    </row>
    <row r="144" spans="1:8">
      <c r="A144">
        <v>10390</v>
      </c>
      <c r="B144">
        <v>20</v>
      </c>
      <c r="C144">
        <v>6</v>
      </c>
      <c r="D144" s="1">
        <v>35422</v>
      </c>
      <c r="E144">
        <v>1</v>
      </c>
      <c r="F144" t="str">
        <f>IF(OR(Πίνακας6[[#This Row],[ShipperID]]=1,Πίνακας6[[#This Row],[ShipperID]]=3),"Fast shipping lane","Standard shipping")</f>
        <v>Fast shipping lane</v>
      </c>
      <c r="G144" t="str">
        <f>VLOOKUP(Πίνακας6[[#This Row],[ShipperID]],Πίνακας8[#All],2,FALSE)</f>
        <v>Speedy Express</v>
      </c>
      <c r="H144" t="str">
        <f>_xlfn.XLOOKUP(Πίνακας6[[#This Row],[ShipperID]],shippers!A:A,shippers!B:B,,FALSE)</f>
        <v>Speedy Express</v>
      </c>
    </row>
    <row r="145" spans="1:8">
      <c r="A145">
        <v>10391</v>
      </c>
      <c r="B145">
        <v>17</v>
      </c>
      <c r="C145">
        <v>3</v>
      </c>
      <c r="D145" s="1">
        <v>35422</v>
      </c>
      <c r="E145">
        <v>3</v>
      </c>
      <c r="F145" t="str">
        <f>IF(OR(Πίνακας6[[#This Row],[ShipperID]]=1,Πίνακας6[[#This Row],[ShipperID]]=3),"Fast shipping lane","Standard shipping")</f>
        <v>Fast shipping lane</v>
      </c>
      <c r="G145" t="str">
        <f>VLOOKUP(Πίνακας6[[#This Row],[ShipperID]],Πίνακας8[#All],2,FALSE)</f>
        <v>Federal Shipping</v>
      </c>
      <c r="H145" t="str">
        <f>_xlfn.XLOOKUP(Πίνακας6[[#This Row],[ShipperID]],shippers!A:A,shippers!B:B,,FALSE)</f>
        <v>Federal Shipping</v>
      </c>
    </row>
    <row r="146" spans="1:8">
      <c r="A146">
        <v>10392</v>
      </c>
      <c r="B146">
        <v>59</v>
      </c>
      <c r="C146">
        <v>2</v>
      </c>
      <c r="D146" s="1">
        <v>35423</v>
      </c>
      <c r="E146">
        <v>3</v>
      </c>
      <c r="F146" t="str">
        <f>IF(OR(Πίνακας6[[#This Row],[ShipperID]]=1,Πίνακας6[[#This Row],[ShipperID]]=3),"Fast shipping lane","Standard shipping")</f>
        <v>Fast shipping lane</v>
      </c>
      <c r="G146" t="str">
        <f>VLOOKUP(Πίνακας6[[#This Row],[ShipperID]],Πίνακας8[#All],2,FALSE)</f>
        <v>Federal Shipping</v>
      </c>
      <c r="H146" t="str">
        <f>_xlfn.XLOOKUP(Πίνακας6[[#This Row],[ShipperID]],shippers!A:A,shippers!B:B,,FALSE)</f>
        <v>Federal Shipping</v>
      </c>
    </row>
    <row r="147" spans="1:8">
      <c r="A147">
        <v>10393</v>
      </c>
      <c r="B147">
        <v>71</v>
      </c>
      <c r="C147">
        <v>1</v>
      </c>
      <c r="D147" s="1">
        <v>35424</v>
      </c>
      <c r="E147">
        <v>3</v>
      </c>
      <c r="F147" t="str">
        <f>IF(OR(Πίνακας6[[#This Row],[ShipperID]]=1,Πίνακας6[[#This Row],[ShipperID]]=3),"Fast shipping lane","Standard shipping")</f>
        <v>Fast shipping lane</v>
      </c>
      <c r="G147" t="str">
        <f>VLOOKUP(Πίνακας6[[#This Row],[ShipperID]],Πίνακας8[#All],2,FALSE)</f>
        <v>Federal Shipping</v>
      </c>
      <c r="H147" t="str">
        <f>_xlfn.XLOOKUP(Πίνακας6[[#This Row],[ShipperID]],shippers!A:A,shippers!B:B,,FALSE)</f>
        <v>Federal Shipping</v>
      </c>
    </row>
    <row r="148" spans="1:8">
      <c r="A148">
        <v>10394</v>
      </c>
      <c r="B148">
        <v>36</v>
      </c>
      <c r="C148">
        <v>1</v>
      </c>
      <c r="D148" s="1">
        <v>35424</v>
      </c>
      <c r="E148">
        <v>3</v>
      </c>
      <c r="F148" t="str">
        <f>IF(OR(Πίνακας6[[#This Row],[ShipperID]]=1,Πίνακας6[[#This Row],[ShipperID]]=3),"Fast shipping lane","Standard shipping")</f>
        <v>Fast shipping lane</v>
      </c>
      <c r="G148" t="str">
        <f>VLOOKUP(Πίνακας6[[#This Row],[ShipperID]],Πίνακας8[#All],2,FALSE)</f>
        <v>Federal Shipping</v>
      </c>
      <c r="H148" t="str">
        <f>_xlfn.XLOOKUP(Πίνακας6[[#This Row],[ShipperID]],shippers!A:A,shippers!B:B,,FALSE)</f>
        <v>Federal Shipping</v>
      </c>
    </row>
    <row r="149" spans="1:8">
      <c r="A149">
        <v>10395</v>
      </c>
      <c r="B149">
        <v>35</v>
      </c>
      <c r="C149">
        <v>6</v>
      </c>
      <c r="D149" s="1">
        <v>35425</v>
      </c>
      <c r="E149">
        <v>1</v>
      </c>
      <c r="F149" t="str">
        <f>IF(OR(Πίνακας6[[#This Row],[ShipperID]]=1,Πίνακας6[[#This Row],[ShipperID]]=3),"Fast shipping lane","Standard shipping")</f>
        <v>Fast shipping lane</v>
      </c>
      <c r="G149" t="str">
        <f>VLOOKUP(Πίνακας6[[#This Row],[ShipperID]],Πίνακας8[#All],2,FALSE)</f>
        <v>Speedy Express</v>
      </c>
      <c r="H149" t="str">
        <f>_xlfn.XLOOKUP(Πίνακας6[[#This Row],[ShipperID]],shippers!A:A,shippers!B:B,,FALSE)</f>
        <v>Speedy Express</v>
      </c>
    </row>
    <row r="150" spans="1:8">
      <c r="A150">
        <v>10396</v>
      </c>
      <c r="B150">
        <v>25</v>
      </c>
      <c r="C150">
        <v>1</v>
      </c>
      <c r="D150" s="1">
        <v>35426</v>
      </c>
      <c r="E150">
        <v>3</v>
      </c>
      <c r="F150" t="str">
        <f>IF(OR(Πίνακας6[[#This Row],[ShipperID]]=1,Πίνακας6[[#This Row],[ShipperID]]=3),"Fast shipping lane","Standard shipping")</f>
        <v>Fast shipping lane</v>
      </c>
      <c r="G150" t="str">
        <f>VLOOKUP(Πίνακας6[[#This Row],[ShipperID]],Πίνακας8[#All],2,FALSE)</f>
        <v>Federal Shipping</v>
      </c>
      <c r="H150" t="str">
        <f>_xlfn.XLOOKUP(Πίνακας6[[#This Row],[ShipperID]],shippers!A:A,shippers!B:B,,FALSE)</f>
        <v>Federal Shipping</v>
      </c>
    </row>
    <row r="151" spans="1:8">
      <c r="A151">
        <v>10397</v>
      </c>
      <c r="B151">
        <v>60</v>
      </c>
      <c r="C151">
        <v>5</v>
      </c>
      <c r="D151" s="1">
        <v>35426</v>
      </c>
      <c r="E151">
        <v>1</v>
      </c>
      <c r="F151" t="str">
        <f>IF(OR(Πίνακας6[[#This Row],[ShipperID]]=1,Πίνακας6[[#This Row],[ShipperID]]=3),"Fast shipping lane","Standard shipping")</f>
        <v>Fast shipping lane</v>
      </c>
      <c r="G151" t="str">
        <f>VLOOKUP(Πίνακας6[[#This Row],[ShipperID]],Πίνακας8[#All],2,FALSE)</f>
        <v>Speedy Express</v>
      </c>
      <c r="H151" t="str">
        <f>_xlfn.XLOOKUP(Πίνακας6[[#This Row],[ShipperID]],shippers!A:A,shippers!B:B,,FALSE)</f>
        <v>Speedy Express</v>
      </c>
    </row>
    <row r="152" spans="1:8">
      <c r="A152">
        <v>10398</v>
      </c>
      <c r="B152">
        <v>71</v>
      </c>
      <c r="C152">
        <v>2</v>
      </c>
      <c r="D152" s="1">
        <v>35429</v>
      </c>
      <c r="E152">
        <v>3</v>
      </c>
      <c r="F152" t="str">
        <f>IF(OR(Πίνακας6[[#This Row],[ShipperID]]=1,Πίνακας6[[#This Row],[ShipperID]]=3),"Fast shipping lane","Standard shipping")</f>
        <v>Fast shipping lane</v>
      </c>
      <c r="G152" t="str">
        <f>VLOOKUP(Πίνακας6[[#This Row],[ShipperID]],Πίνακας8[#All],2,FALSE)</f>
        <v>Federal Shipping</v>
      </c>
      <c r="H152" t="str">
        <f>_xlfn.XLOOKUP(Πίνακας6[[#This Row],[ShipperID]],shippers!A:A,shippers!B:B,,FALSE)</f>
        <v>Federal Shipping</v>
      </c>
    </row>
    <row r="153" spans="1:8">
      <c r="A153">
        <v>10399</v>
      </c>
      <c r="B153">
        <v>83</v>
      </c>
      <c r="C153">
        <v>8</v>
      </c>
      <c r="D153" s="1">
        <v>35430</v>
      </c>
      <c r="E153">
        <v>3</v>
      </c>
      <c r="F153" t="str">
        <f>IF(OR(Πίνακας6[[#This Row],[ShipperID]]=1,Πίνακας6[[#This Row],[ShipperID]]=3),"Fast shipping lane","Standard shipping")</f>
        <v>Fast shipping lane</v>
      </c>
      <c r="G153" t="str">
        <f>VLOOKUP(Πίνακας6[[#This Row],[ShipperID]],Πίνακας8[#All],2,FALSE)</f>
        <v>Federal Shipping</v>
      </c>
      <c r="H153" t="str">
        <f>_xlfn.XLOOKUP(Πίνακας6[[#This Row],[ShipperID]],shippers!A:A,shippers!B:B,,FALSE)</f>
        <v>Federal Shipping</v>
      </c>
    </row>
    <row r="154" spans="1:8">
      <c r="A154">
        <v>10400</v>
      </c>
      <c r="B154">
        <v>19</v>
      </c>
      <c r="C154">
        <v>1</v>
      </c>
      <c r="D154" s="1">
        <v>35431</v>
      </c>
      <c r="E154">
        <v>3</v>
      </c>
      <c r="F154" t="str">
        <f>IF(OR(Πίνακας6[[#This Row],[ShipperID]]=1,Πίνακας6[[#This Row],[ShipperID]]=3),"Fast shipping lane","Standard shipping")</f>
        <v>Fast shipping lane</v>
      </c>
      <c r="G154" t="str">
        <f>VLOOKUP(Πίνακας6[[#This Row],[ShipperID]],Πίνακας8[#All],2,FALSE)</f>
        <v>Federal Shipping</v>
      </c>
      <c r="H154" t="str">
        <f>_xlfn.XLOOKUP(Πίνακας6[[#This Row],[ShipperID]],shippers!A:A,shippers!B:B,,FALSE)</f>
        <v>Federal Shipping</v>
      </c>
    </row>
    <row r="155" spans="1:8">
      <c r="A155">
        <v>10401</v>
      </c>
      <c r="B155">
        <v>65</v>
      </c>
      <c r="C155">
        <v>1</v>
      </c>
      <c r="D155" s="1">
        <v>35431</v>
      </c>
      <c r="E155">
        <v>1</v>
      </c>
      <c r="F155" t="str">
        <f>IF(OR(Πίνακας6[[#This Row],[ShipperID]]=1,Πίνακας6[[#This Row],[ShipperID]]=3),"Fast shipping lane","Standard shipping")</f>
        <v>Fast shipping lane</v>
      </c>
      <c r="G155" t="str">
        <f>VLOOKUP(Πίνακας6[[#This Row],[ShipperID]],Πίνακας8[#All],2,FALSE)</f>
        <v>Speedy Express</v>
      </c>
      <c r="H155" t="str">
        <f>_xlfn.XLOOKUP(Πίνακας6[[#This Row],[ShipperID]],shippers!A:A,shippers!B:B,,FALSE)</f>
        <v>Speedy Express</v>
      </c>
    </row>
    <row r="156" spans="1:8">
      <c r="A156">
        <v>10402</v>
      </c>
      <c r="B156">
        <v>20</v>
      </c>
      <c r="C156">
        <v>8</v>
      </c>
      <c r="D156" s="1">
        <v>35432</v>
      </c>
      <c r="E156">
        <v>2</v>
      </c>
      <c r="F156" t="str">
        <f>IF(OR(Πίνακας6[[#This Row],[ShipperID]]=1,Πίνακας6[[#This Row],[ShipperID]]=3),"Fast shipping lane","Standard shipping")</f>
        <v>Standard shipping</v>
      </c>
      <c r="G156" t="str">
        <f>VLOOKUP(Πίνακας6[[#This Row],[ShipperID]],Πίνακας8[#All],2,FALSE)</f>
        <v>United Package</v>
      </c>
      <c r="H156" t="str">
        <f>_xlfn.XLOOKUP(Πίνακας6[[#This Row],[ShipperID]],shippers!A:A,shippers!B:B,,FALSE)</f>
        <v>United Package</v>
      </c>
    </row>
    <row r="157" spans="1:8">
      <c r="A157">
        <v>10403</v>
      </c>
      <c r="B157">
        <v>20</v>
      </c>
      <c r="C157">
        <v>4</v>
      </c>
      <c r="D157" s="1">
        <v>35433</v>
      </c>
      <c r="E157">
        <v>3</v>
      </c>
      <c r="F157" t="str">
        <f>IF(OR(Πίνακας6[[#This Row],[ShipperID]]=1,Πίνακας6[[#This Row],[ShipperID]]=3),"Fast shipping lane","Standard shipping")</f>
        <v>Fast shipping lane</v>
      </c>
      <c r="G157" t="str">
        <f>VLOOKUP(Πίνακας6[[#This Row],[ShipperID]],Πίνακας8[#All],2,FALSE)</f>
        <v>Federal Shipping</v>
      </c>
      <c r="H157" t="str">
        <f>_xlfn.XLOOKUP(Πίνακας6[[#This Row],[ShipperID]],shippers!A:A,shippers!B:B,,FALSE)</f>
        <v>Federal Shipping</v>
      </c>
    </row>
    <row r="158" spans="1:8">
      <c r="A158">
        <v>10404</v>
      </c>
      <c r="B158">
        <v>49</v>
      </c>
      <c r="C158">
        <v>2</v>
      </c>
      <c r="D158" s="1">
        <v>35433</v>
      </c>
      <c r="E158">
        <v>1</v>
      </c>
      <c r="F158" t="str">
        <f>IF(OR(Πίνακας6[[#This Row],[ShipperID]]=1,Πίνακας6[[#This Row],[ShipperID]]=3),"Fast shipping lane","Standard shipping")</f>
        <v>Fast shipping lane</v>
      </c>
      <c r="G158" t="str">
        <f>VLOOKUP(Πίνακας6[[#This Row],[ShipperID]],Πίνακας8[#All],2,FALSE)</f>
        <v>Speedy Express</v>
      </c>
      <c r="H158" t="str">
        <f>_xlfn.XLOOKUP(Πίνακας6[[#This Row],[ShipperID]],shippers!A:A,shippers!B:B,,FALSE)</f>
        <v>Speedy Express</v>
      </c>
    </row>
    <row r="159" spans="1:8">
      <c r="A159">
        <v>10405</v>
      </c>
      <c r="B159">
        <v>47</v>
      </c>
      <c r="C159">
        <v>1</v>
      </c>
      <c r="D159" s="1">
        <v>35436</v>
      </c>
      <c r="E159">
        <v>1</v>
      </c>
      <c r="F159" t="str">
        <f>IF(OR(Πίνακας6[[#This Row],[ShipperID]]=1,Πίνακας6[[#This Row],[ShipperID]]=3),"Fast shipping lane","Standard shipping")</f>
        <v>Fast shipping lane</v>
      </c>
      <c r="G159" t="str">
        <f>VLOOKUP(Πίνακας6[[#This Row],[ShipperID]],Πίνακας8[#All],2,FALSE)</f>
        <v>Speedy Express</v>
      </c>
      <c r="H159" t="str">
        <f>_xlfn.XLOOKUP(Πίνακας6[[#This Row],[ShipperID]],shippers!A:A,shippers!B:B,,FALSE)</f>
        <v>Speedy Express</v>
      </c>
    </row>
    <row r="160" spans="1:8">
      <c r="A160">
        <v>10406</v>
      </c>
      <c r="B160">
        <v>62</v>
      </c>
      <c r="C160">
        <v>7</v>
      </c>
      <c r="D160" s="1">
        <v>35437</v>
      </c>
      <c r="E160">
        <v>1</v>
      </c>
      <c r="F160" t="str">
        <f>IF(OR(Πίνακας6[[#This Row],[ShipperID]]=1,Πίνακας6[[#This Row],[ShipperID]]=3),"Fast shipping lane","Standard shipping")</f>
        <v>Fast shipping lane</v>
      </c>
      <c r="G160" t="str">
        <f>VLOOKUP(Πίνακας6[[#This Row],[ShipperID]],Πίνακας8[#All],2,FALSE)</f>
        <v>Speedy Express</v>
      </c>
      <c r="H160" t="str">
        <f>_xlfn.XLOOKUP(Πίνακας6[[#This Row],[ShipperID]],shippers!A:A,shippers!B:B,,FALSE)</f>
        <v>Speedy Express</v>
      </c>
    </row>
    <row r="161" spans="1:8">
      <c r="A161">
        <v>10407</v>
      </c>
      <c r="B161">
        <v>56</v>
      </c>
      <c r="C161">
        <v>2</v>
      </c>
      <c r="D161" s="1">
        <v>35437</v>
      </c>
      <c r="E161">
        <v>2</v>
      </c>
      <c r="F161" t="str">
        <f>IF(OR(Πίνακας6[[#This Row],[ShipperID]]=1,Πίνακας6[[#This Row],[ShipperID]]=3),"Fast shipping lane","Standard shipping")</f>
        <v>Standard shipping</v>
      </c>
      <c r="G161" t="str">
        <f>VLOOKUP(Πίνακας6[[#This Row],[ShipperID]],Πίνακας8[#All],2,FALSE)</f>
        <v>United Package</v>
      </c>
      <c r="H161" t="str">
        <f>_xlfn.XLOOKUP(Πίνακας6[[#This Row],[ShipperID]],shippers!A:A,shippers!B:B,,FALSE)</f>
        <v>United Package</v>
      </c>
    </row>
    <row r="162" spans="1:8">
      <c r="A162">
        <v>10408</v>
      </c>
      <c r="B162">
        <v>23</v>
      </c>
      <c r="C162">
        <v>8</v>
      </c>
      <c r="D162" s="1">
        <v>35438</v>
      </c>
      <c r="E162">
        <v>1</v>
      </c>
      <c r="F162" t="str">
        <f>IF(OR(Πίνακας6[[#This Row],[ShipperID]]=1,Πίνακας6[[#This Row],[ShipperID]]=3),"Fast shipping lane","Standard shipping")</f>
        <v>Fast shipping lane</v>
      </c>
      <c r="G162" t="str">
        <f>VLOOKUP(Πίνακας6[[#This Row],[ShipperID]],Πίνακας8[#All],2,FALSE)</f>
        <v>Speedy Express</v>
      </c>
      <c r="H162" t="str">
        <f>_xlfn.XLOOKUP(Πίνακας6[[#This Row],[ShipperID]],shippers!A:A,shippers!B:B,,FALSE)</f>
        <v>Speedy Express</v>
      </c>
    </row>
    <row r="163" spans="1:8">
      <c r="A163">
        <v>10409</v>
      </c>
      <c r="B163">
        <v>54</v>
      </c>
      <c r="C163">
        <v>3</v>
      </c>
      <c r="D163" s="1">
        <v>35439</v>
      </c>
      <c r="E163">
        <v>1</v>
      </c>
      <c r="F163" t="str">
        <f>IF(OR(Πίνακας6[[#This Row],[ShipperID]]=1,Πίνακας6[[#This Row],[ShipperID]]=3),"Fast shipping lane","Standard shipping")</f>
        <v>Fast shipping lane</v>
      </c>
      <c r="G163" t="str">
        <f>VLOOKUP(Πίνακας6[[#This Row],[ShipperID]],Πίνακας8[#All],2,FALSE)</f>
        <v>Speedy Express</v>
      </c>
      <c r="H163" t="str">
        <f>_xlfn.XLOOKUP(Πίνακας6[[#This Row],[ShipperID]],shippers!A:A,shippers!B:B,,FALSE)</f>
        <v>Speedy Express</v>
      </c>
    </row>
    <row r="164" spans="1:8">
      <c r="A164">
        <v>10410</v>
      </c>
      <c r="B164">
        <v>10</v>
      </c>
      <c r="C164">
        <v>3</v>
      </c>
      <c r="D164" s="1">
        <v>35440</v>
      </c>
      <c r="E164">
        <v>3</v>
      </c>
      <c r="F164" t="str">
        <f>IF(OR(Πίνακας6[[#This Row],[ShipperID]]=1,Πίνακας6[[#This Row],[ShipperID]]=3),"Fast shipping lane","Standard shipping")</f>
        <v>Fast shipping lane</v>
      </c>
      <c r="G164" t="str">
        <f>VLOOKUP(Πίνακας6[[#This Row],[ShipperID]],Πίνακας8[#All],2,FALSE)</f>
        <v>Federal Shipping</v>
      </c>
      <c r="H164" t="str">
        <f>_xlfn.XLOOKUP(Πίνακας6[[#This Row],[ShipperID]],shippers!A:A,shippers!B:B,,FALSE)</f>
        <v>Federal Shipping</v>
      </c>
    </row>
    <row r="165" spans="1:8">
      <c r="A165">
        <v>10411</v>
      </c>
      <c r="B165">
        <v>10</v>
      </c>
      <c r="C165">
        <v>9</v>
      </c>
      <c r="D165" s="1">
        <v>35440</v>
      </c>
      <c r="E165">
        <v>3</v>
      </c>
      <c r="F165" t="str">
        <f>IF(OR(Πίνακας6[[#This Row],[ShipperID]]=1,Πίνακας6[[#This Row],[ShipperID]]=3),"Fast shipping lane","Standard shipping")</f>
        <v>Fast shipping lane</v>
      </c>
      <c r="G165" t="str">
        <f>VLOOKUP(Πίνακας6[[#This Row],[ShipperID]],Πίνακας8[#All],2,FALSE)</f>
        <v>Federal Shipping</v>
      </c>
      <c r="H165" t="str">
        <f>_xlfn.XLOOKUP(Πίνακας6[[#This Row],[ShipperID]],shippers!A:A,shippers!B:B,,FALSE)</f>
        <v>Federal Shipping</v>
      </c>
    </row>
    <row r="166" spans="1:8">
      <c r="A166">
        <v>10412</v>
      </c>
      <c r="B166">
        <v>87</v>
      </c>
      <c r="C166">
        <v>8</v>
      </c>
      <c r="D166" s="1">
        <v>35443</v>
      </c>
      <c r="E166">
        <v>2</v>
      </c>
      <c r="F166" t="str">
        <f>IF(OR(Πίνακας6[[#This Row],[ShipperID]]=1,Πίνακας6[[#This Row],[ShipperID]]=3),"Fast shipping lane","Standard shipping")</f>
        <v>Standard shipping</v>
      </c>
      <c r="G166" t="str">
        <f>VLOOKUP(Πίνακας6[[#This Row],[ShipperID]],Πίνακας8[#All],2,FALSE)</f>
        <v>United Package</v>
      </c>
      <c r="H166" t="str">
        <f>_xlfn.XLOOKUP(Πίνακας6[[#This Row],[ShipperID]],shippers!A:A,shippers!B:B,,FALSE)</f>
        <v>United Package</v>
      </c>
    </row>
    <row r="167" spans="1:8">
      <c r="A167">
        <v>10413</v>
      </c>
      <c r="B167">
        <v>41</v>
      </c>
      <c r="C167">
        <v>3</v>
      </c>
      <c r="D167" s="1">
        <v>35444</v>
      </c>
      <c r="E167">
        <v>2</v>
      </c>
      <c r="F167" t="str">
        <f>IF(OR(Πίνακας6[[#This Row],[ShipperID]]=1,Πίνακας6[[#This Row],[ShipperID]]=3),"Fast shipping lane","Standard shipping")</f>
        <v>Standard shipping</v>
      </c>
      <c r="G167" t="str">
        <f>VLOOKUP(Πίνακας6[[#This Row],[ShipperID]],Πίνακας8[#All],2,FALSE)</f>
        <v>United Package</v>
      </c>
      <c r="H167" t="str">
        <f>_xlfn.XLOOKUP(Πίνακας6[[#This Row],[ShipperID]],shippers!A:A,shippers!B:B,,FALSE)</f>
        <v>United Package</v>
      </c>
    </row>
    <row r="168" spans="1:8">
      <c r="A168">
        <v>10414</v>
      </c>
      <c r="B168">
        <v>21</v>
      </c>
      <c r="C168">
        <v>2</v>
      </c>
      <c r="D168" s="1">
        <v>35444</v>
      </c>
      <c r="E168">
        <v>3</v>
      </c>
      <c r="F168" t="str">
        <f>IF(OR(Πίνακας6[[#This Row],[ShipperID]]=1,Πίνακας6[[#This Row],[ShipperID]]=3),"Fast shipping lane","Standard shipping")</f>
        <v>Fast shipping lane</v>
      </c>
      <c r="G168" t="str">
        <f>VLOOKUP(Πίνακας6[[#This Row],[ShipperID]],Πίνακας8[#All],2,FALSE)</f>
        <v>Federal Shipping</v>
      </c>
      <c r="H168" t="str">
        <f>_xlfn.XLOOKUP(Πίνακας6[[#This Row],[ShipperID]],shippers!A:A,shippers!B:B,,FALSE)</f>
        <v>Federal Shipping</v>
      </c>
    </row>
    <row r="169" spans="1:8">
      <c r="A169">
        <v>10415</v>
      </c>
      <c r="B169">
        <v>36</v>
      </c>
      <c r="C169">
        <v>3</v>
      </c>
      <c r="D169" s="1">
        <v>35445</v>
      </c>
      <c r="E169">
        <v>1</v>
      </c>
      <c r="F169" t="str">
        <f>IF(OR(Πίνακας6[[#This Row],[ShipperID]]=1,Πίνακας6[[#This Row],[ShipperID]]=3),"Fast shipping lane","Standard shipping")</f>
        <v>Fast shipping lane</v>
      </c>
      <c r="G169" t="str">
        <f>VLOOKUP(Πίνακας6[[#This Row],[ShipperID]],Πίνακας8[#All],2,FALSE)</f>
        <v>Speedy Express</v>
      </c>
      <c r="H169" t="str">
        <f>_xlfn.XLOOKUP(Πίνακας6[[#This Row],[ShipperID]],shippers!A:A,shippers!B:B,,FALSE)</f>
        <v>Speedy Express</v>
      </c>
    </row>
    <row r="170" spans="1:8">
      <c r="A170">
        <v>10416</v>
      </c>
      <c r="B170">
        <v>87</v>
      </c>
      <c r="C170">
        <v>8</v>
      </c>
      <c r="D170" s="1">
        <v>35446</v>
      </c>
      <c r="E170">
        <v>3</v>
      </c>
      <c r="F170" t="str">
        <f>IF(OR(Πίνακας6[[#This Row],[ShipperID]]=1,Πίνακας6[[#This Row],[ShipperID]]=3),"Fast shipping lane","Standard shipping")</f>
        <v>Fast shipping lane</v>
      </c>
      <c r="G170" t="str">
        <f>VLOOKUP(Πίνακας6[[#This Row],[ShipperID]],Πίνακας8[#All],2,FALSE)</f>
        <v>Federal Shipping</v>
      </c>
      <c r="H170" t="str">
        <f>_xlfn.XLOOKUP(Πίνακας6[[#This Row],[ShipperID]],shippers!A:A,shippers!B:B,,FALSE)</f>
        <v>Federal Shipping</v>
      </c>
    </row>
    <row r="171" spans="1:8">
      <c r="A171">
        <v>10417</v>
      </c>
      <c r="B171">
        <v>73</v>
      </c>
      <c r="C171">
        <v>4</v>
      </c>
      <c r="D171" s="1">
        <v>35446</v>
      </c>
      <c r="E171">
        <v>3</v>
      </c>
      <c r="F171" t="str">
        <f>IF(OR(Πίνακας6[[#This Row],[ShipperID]]=1,Πίνακας6[[#This Row],[ShipperID]]=3),"Fast shipping lane","Standard shipping")</f>
        <v>Fast shipping lane</v>
      </c>
      <c r="G171" t="str">
        <f>VLOOKUP(Πίνακας6[[#This Row],[ShipperID]],Πίνακας8[#All],2,FALSE)</f>
        <v>Federal Shipping</v>
      </c>
      <c r="H171" t="str">
        <f>_xlfn.XLOOKUP(Πίνακας6[[#This Row],[ShipperID]],shippers!A:A,shippers!B:B,,FALSE)</f>
        <v>Federal Shipping</v>
      </c>
    </row>
    <row r="172" spans="1:8">
      <c r="A172">
        <v>10418</v>
      </c>
      <c r="B172">
        <v>63</v>
      </c>
      <c r="C172">
        <v>4</v>
      </c>
      <c r="D172" s="1">
        <v>35447</v>
      </c>
      <c r="E172">
        <v>1</v>
      </c>
      <c r="F172" t="str">
        <f>IF(OR(Πίνακας6[[#This Row],[ShipperID]]=1,Πίνακας6[[#This Row],[ShipperID]]=3),"Fast shipping lane","Standard shipping")</f>
        <v>Fast shipping lane</v>
      </c>
      <c r="G172" t="str">
        <f>VLOOKUP(Πίνακας6[[#This Row],[ShipperID]],Πίνακας8[#All],2,FALSE)</f>
        <v>Speedy Express</v>
      </c>
      <c r="H172" t="str">
        <f>_xlfn.XLOOKUP(Πίνακας6[[#This Row],[ShipperID]],shippers!A:A,shippers!B:B,,FALSE)</f>
        <v>Speedy Express</v>
      </c>
    </row>
    <row r="173" spans="1:8">
      <c r="A173">
        <v>10419</v>
      </c>
      <c r="B173">
        <v>68</v>
      </c>
      <c r="C173">
        <v>4</v>
      </c>
      <c r="D173" s="1">
        <v>35450</v>
      </c>
      <c r="E173">
        <v>2</v>
      </c>
      <c r="F173" t="str">
        <f>IF(OR(Πίνακας6[[#This Row],[ShipperID]]=1,Πίνακας6[[#This Row],[ShipperID]]=3),"Fast shipping lane","Standard shipping")</f>
        <v>Standard shipping</v>
      </c>
      <c r="G173" t="str">
        <f>VLOOKUP(Πίνακας6[[#This Row],[ShipperID]],Πίνακας8[#All],2,FALSE)</f>
        <v>United Package</v>
      </c>
      <c r="H173" t="str">
        <f>_xlfn.XLOOKUP(Πίνακας6[[#This Row],[ShipperID]],shippers!A:A,shippers!B:B,,FALSE)</f>
        <v>United Package</v>
      </c>
    </row>
    <row r="174" spans="1:8">
      <c r="A174">
        <v>10420</v>
      </c>
      <c r="B174">
        <v>88</v>
      </c>
      <c r="C174">
        <v>3</v>
      </c>
      <c r="D174" s="1">
        <v>35451</v>
      </c>
      <c r="E174">
        <v>1</v>
      </c>
      <c r="F174" t="str">
        <f>IF(OR(Πίνακας6[[#This Row],[ShipperID]]=1,Πίνακας6[[#This Row],[ShipperID]]=3),"Fast shipping lane","Standard shipping")</f>
        <v>Fast shipping lane</v>
      </c>
      <c r="G174" t="str">
        <f>VLOOKUP(Πίνακας6[[#This Row],[ShipperID]],Πίνακας8[#All],2,FALSE)</f>
        <v>Speedy Express</v>
      </c>
      <c r="H174" t="str">
        <f>_xlfn.XLOOKUP(Πίνακας6[[#This Row],[ShipperID]],shippers!A:A,shippers!B:B,,FALSE)</f>
        <v>Speedy Express</v>
      </c>
    </row>
    <row r="175" spans="1:8">
      <c r="A175">
        <v>10421</v>
      </c>
      <c r="B175">
        <v>61</v>
      </c>
      <c r="C175">
        <v>8</v>
      </c>
      <c r="D175" s="1">
        <v>35451</v>
      </c>
      <c r="E175">
        <v>1</v>
      </c>
      <c r="F175" t="str">
        <f>IF(OR(Πίνακας6[[#This Row],[ShipperID]]=1,Πίνακας6[[#This Row],[ShipperID]]=3),"Fast shipping lane","Standard shipping")</f>
        <v>Fast shipping lane</v>
      </c>
      <c r="G175" t="str">
        <f>VLOOKUP(Πίνακας6[[#This Row],[ShipperID]],Πίνακας8[#All],2,FALSE)</f>
        <v>Speedy Express</v>
      </c>
      <c r="H175" t="str">
        <f>_xlfn.XLOOKUP(Πίνακας6[[#This Row],[ShipperID]],shippers!A:A,shippers!B:B,,FALSE)</f>
        <v>Speedy Express</v>
      </c>
    </row>
    <row r="176" spans="1:8">
      <c r="A176">
        <v>10422</v>
      </c>
      <c r="B176">
        <v>27</v>
      </c>
      <c r="C176">
        <v>2</v>
      </c>
      <c r="D176" s="1">
        <v>35452</v>
      </c>
      <c r="E176">
        <v>1</v>
      </c>
      <c r="F176" t="str">
        <f>IF(OR(Πίνακας6[[#This Row],[ShipperID]]=1,Πίνακας6[[#This Row],[ShipperID]]=3),"Fast shipping lane","Standard shipping")</f>
        <v>Fast shipping lane</v>
      </c>
      <c r="G176" t="str">
        <f>VLOOKUP(Πίνακας6[[#This Row],[ShipperID]],Πίνακας8[#All],2,FALSE)</f>
        <v>Speedy Express</v>
      </c>
      <c r="H176" t="str">
        <f>_xlfn.XLOOKUP(Πίνακας6[[#This Row],[ShipperID]],shippers!A:A,shippers!B:B,,FALSE)</f>
        <v>Speedy Express</v>
      </c>
    </row>
    <row r="177" spans="1:8">
      <c r="A177">
        <v>10423</v>
      </c>
      <c r="B177">
        <v>31</v>
      </c>
      <c r="C177">
        <v>6</v>
      </c>
      <c r="D177" s="1">
        <v>35453</v>
      </c>
      <c r="E177">
        <v>3</v>
      </c>
      <c r="F177" t="str">
        <f>IF(OR(Πίνακας6[[#This Row],[ShipperID]]=1,Πίνακας6[[#This Row],[ShipperID]]=3),"Fast shipping lane","Standard shipping")</f>
        <v>Fast shipping lane</v>
      </c>
      <c r="G177" t="str">
        <f>VLOOKUP(Πίνακας6[[#This Row],[ShipperID]],Πίνακας8[#All],2,FALSE)</f>
        <v>Federal Shipping</v>
      </c>
      <c r="H177" t="str">
        <f>_xlfn.XLOOKUP(Πίνακας6[[#This Row],[ShipperID]],shippers!A:A,shippers!B:B,,FALSE)</f>
        <v>Federal Shipping</v>
      </c>
    </row>
    <row r="178" spans="1:8">
      <c r="A178">
        <v>10424</v>
      </c>
      <c r="B178">
        <v>51</v>
      </c>
      <c r="C178">
        <v>7</v>
      </c>
      <c r="D178" s="1">
        <v>35453</v>
      </c>
      <c r="E178">
        <v>2</v>
      </c>
      <c r="F178" t="str">
        <f>IF(OR(Πίνακας6[[#This Row],[ShipperID]]=1,Πίνακας6[[#This Row],[ShipperID]]=3),"Fast shipping lane","Standard shipping")</f>
        <v>Standard shipping</v>
      </c>
      <c r="G178" t="str">
        <f>VLOOKUP(Πίνακας6[[#This Row],[ShipperID]],Πίνακας8[#All],2,FALSE)</f>
        <v>United Package</v>
      </c>
      <c r="H178" t="str">
        <f>_xlfn.XLOOKUP(Πίνακας6[[#This Row],[ShipperID]],shippers!A:A,shippers!B:B,,FALSE)</f>
        <v>United Package</v>
      </c>
    </row>
    <row r="179" spans="1:8">
      <c r="A179">
        <v>10425</v>
      </c>
      <c r="B179">
        <v>41</v>
      </c>
      <c r="C179">
        <v>6</v>
      </c>
      <c r="D179" s="1">
        <v>35454</v>
      </c>
      <c r="E179">
        <v>2</v>
      </c>
      <c r="F179" t="str">
        <f>IF(OR(Πίνακας6[[#This Row],[ShipperID]]=1,Πίνακας6[[#This Row],[ShipperID]]=3),"Fast shipping lane","Standard shipping")</f>
        <v>Standard shipping</v>
      </c>
      <c r="G179" t="str">
        <f>VLOOKUP(Πίνακας6[[#This Row],[ShipperID]],Πίνακας8[#All],2,FALSE)</f>
        <v>United Package</v>
      </c>
      <c r="H179" t="str">
        <f>_xlfn.XLOOKUP(Πίνακας6[[#This Row],[ShipperID]],shippers!A:A,shippers!B:B,,FALSE)</f>
        <v>United Package</v>
      </c>
    </row>
    <row r="180" spans="1:8">
      <c r="A180">
        <v>10426</v>
      </c>
      <c r="B180">
        <v>29</v>
      </c>
      <c r="C180">
        <v>4</v>
      </c>
      <c r="D180" s="1">
        <v>35457</v>
      </c>
      <c r="E180">
        <v>1</v>
      </c>
      <c r="F180" t="str">
        <f>IF(OR(Πίνακας6[[#This Row],[ShipperID]]=1,Πίνακας6[[#This Row],[ShipperID]]=3),"Fast shipping lane","Standard shipping")</f>
        <v>Fast shipping lane</v>
      </c>
      <c r="G180" t="str">
        <f>VLOOKUP(Πίνακας6[[#This Row],[ShipperID]],Πίνακας8[#All],2,FALSE)</f>
        <v>Speedy Express</v>
      </c>
      <c r="H180" t="str">
        <f>_xlfn.XLOOKUP(Πίνακας6[[#This Row],[ShipperID]],shippers!A:A,shippers!B:B,,FALSE)</f>
        <v>Speedy Express</v>
      </c>
    </row>
    <row r="181" spans="1:8">
      <c r="A181">
        <v>10427</v>
      </c>
      <c r="B181">
        <v>59</v>
      </c>
      <c r="C181">
        <v>4</v>
      </c>
      <c r="D181" s="1">
        <v>35457</v>
      </c>
      <c r="E181">
        <v>2</v>
      </c>
      <c r="F181" t="str">
        <f>IF(OR(Πίνακας6[[#This Row],[ShipperID]]=1,Πίνακας6[[#This Row],[ShipperID]]=3),"Fast shipping lane","Standard shipping")</f>
        <v>Standard shipping</v>
      </c>
      <c r="G181" t="str">
        <f>VLOOKUP(Πίνακας6[[#This Row],[ShipperID]],Πίνακας8[#All],2,FALSE)</f>
        <v>United Package</v>
      </c>
      <c r="H181" t="str">
        <f>_xlfn.XLOOKUP(Πίνακας6[[#This Row],[ShipperID]],shippers!A:A,shippers!B:B,,FALSE)</f>
        <v>United Package</v>
      </c>
    </row>
    <row r="182" spans="1:8">
      <c r="A182">
        <v>10428</v>
      </c>
      <c r="B182">
        <v>66</v>
      </c>
      <c r="C182">
        <v>7</v>
      </c>
      <c r="D182" s="1">
        <v>35458</v>
      </c>
      <c r="E182">
        <v>1</v>
      </c>
      <c r="F182" t="str">
        <f>IF(OR(Πίνακας6[[#This Row],[ShipperID]]=1,Πίνακας6[[#This Row],[ShipperID]]=3),"Fast shipping lane","Standard shipping")</f>
        <v>Fast shipping lane</v>
      </c>
      <c r="G182" t="str">
        <f>VLOOKUP(Πίνακας6[[#This Row],[ShipperID]],Πίνακας8[#All],2,FALSE)</f>
        <v>Speedy Express</v>
      </c>
      <c r="H182" t="str">
        <f>_xlfn.XLOOKUP(Πίνακας6[[#This Row],[ShipperID]],shippers!A:A,shippers!B:B,,FALSE)</f>
        <v>Speedy Express</v>
      </c>
    </row>
    <row r="183" spans="1:8">
      <c r="A183">
        <v>10429</v>
      </c>
      <c r="B183">
        <v>37</v>
      </c>
      <c r="C183">
        <v>3</v>
      </c>
      <c r="D183" s="1">
        <v>35459</v>
      </c>
      <c r="E183">
        <v>2</v>
      </c>
      <c r="F183" t="str">
        <f>IF(OR(Πίνακας6[[#This Row],[ShipperID]]=1,Πίνακας6[[#This Row],[ShipperID]]=3),"Fast shipping lane","Standard shipping")</f>
        <v>Standard shipping</v>
      </c>
      <c r="G183" t="str">
        <f>VLOOKUP(Πίνακας6[[#This Row],[ShipperID]],Πίνακας8[#All],2,FALSE)</f>
        <v>United Package</v>
      </c>
      <c r="H183" t="str">
        <f>_xlfn.XLOOKUP(Πίνακας6[[#This Row],[ShipperID]],shippers!A:A,shippers!B:B,,FALSE)</f>
        <v>United Package</v>
      </c>
    </row>
    <row r="184" spans="1:8">
      <c r="A184">
        <v>10430</v>
      </c>
      <c r="B184">
        <v>20</v>
      </c>
      <c r="C184">
        <v>4</v>
      </c>
      <c r="D184" s="1">
        <v>35460</v>
      </c>
      <c r="E184">
        <v>1</v>
      </c>
      <c r="F184" t="str">
        <f>IF(OR(Πίνακας6[[#This Row],[ShipperID]]=1,Πίνακας6[[#This Row],[ShipperID]]=3),"Fast shipping lane","Standard shipping")</f>
        <v>Fast shipping lane</v>
      </c>
      <c r="G184" t="str">
        <f>VLOOKUP(Πίνακας6[[#This Row],[ShipperID]],Πίνακας8[#All],2,FALSE)</f>
        <v>Speedy Express</v>
      </c>
      <c r="H184" t="str">
        <f>_xlfn.XLOOKUP(Πίνακας6[[#This Row],[ShipperID]],shippers!A:A,shippers!B:B,,FALSE)</f>
        <v>Speedy Express</v>
      </c>
    </row>
    <row r="185" spans="1:8">
      <c r="A185">
        <v>10431</v>
      </c>
      <c r="B185">
        <v>10</v>
      </c>
      <c r="C185">
        <v>4</v>
      </c>
      <c r="D185" s="1">
        <v>35460</v>
      </c>
      <c r="E185">
        <v>2</v>
      </c>
      <c r="F185" t="str">
        <f>IF(OR(Πίνακας6[[#This Row],[ShipperID]]=1,Πίνακας6[[#This Row],[ShipperID]]=3),"Fast shipping lane","Standard shipping")</f>
        <v>Standard shipping</v>
      </c>
      <c r="G185" t="str">
        <f>VLOOKUP(Πίνακας6[[#This Row],[ShipperID]],Πίνακας8[#All],2,FALSE)</f>
        <v>United Package</v>
      </c>
      <c r="H185" t="str">
        <f>_xlfn.XLOOKUP(Πίνακας6[[#This Row],[ShipperID]],shippers!A:A,shippers!B:B,,FALSE)</f>
        <v>United Package</v>
      </c>
    </row>
    <row r="186" spans="1:8">
      <c r="A186">
        <v>10432</v>
      </c>
      <c r="B186">
        <v>75</v>
      </c>
      <c r="C186">
        <v>3</v>
      </c>
      <c r="D186" s="1">
        <v>35461</v>
      </c>
      <c r="E186">
        <v>2</v>
      </c>
      <c r="F186" t="str">
        <f>IF(OR(Πίνακας6[[#This Row],[ShipperID]]=1,Πίνακας6[[#This Row],[ShipperID]]=3),"Fast shipping lane","Standard shipping")</f>
        <v>Standard shipping</v>
      </c>
      <c r="G186" t="str">
        <f>VLOOKUP(Πίνακας6[[#This Row],[ShipperID]],Πίνακας8[#All],2,FALSE)</f>
        <v>United Package</v>
      </c>
      <c r="H186" t="str">
        <f>_xlfn.XLOOKUP(Πίνακας6[[#This Row],[ShipperID]],shippers!A:A,shippers!B:B,,FALSE)</f>
        <v>United Package</v>
      </c>
    </row>
    <row r="187" spans="1:8">
      <c r="A187">
        <v>10433</v>
      </c>
      <c r="B187">
        <v>60</v>
      </c>
      <c r="C187">
        <v>3</v>
      </c>
      <c r="D187" s="1">
        <v>35464</v>
      </c>
      <c r="E187">
        <v>3</v>
      </c>
      <c r="F187" t="str">
        <f>IF(OR(Πίνακας6[[#This Row],[ShipperID]]=1,Πίνακας6[[#This Row],[ShipperID]]=3),"Fast shipping lane","Standard shipping")</f>
        <v>Fast shipping lane</v>
      </c>
      <c r="G187" t="str">
        <f>VLOOKUP(Πίνακας6[[#This Row],[ShipperID]],Πίνακας8[#All],2,FALSE)</f>
        <v>Federal Shipping</v>
      </c>
      <c r="H187" t="str">
        <f>_xlfn.XLOOKUP(Πίνακας6[[#This Row],[ShipperID]],shippers!A:A,shippers!B:B,,FALSE)</f>
        <v>Federal Shipping</v>
      </c>
    </row>
    <row r="188" spans="1:8">
      <c r="A188">
        <v>10434</v>
      </c>
      <c r="B188">
        <v>24</v>
      </c>
      <c r="C188">
        <v>3</v>
      </c>
      <c r="D188" s="1">
        <v>35464</v>
      </c>
      <c r="E188">
        <v>2</v>
      </c>
      <c r="F188" t="str">
        <f>IF(OR(Πίνακας6[[#This Row],[ShipperID]]=1,Πίνακας6[[#This Row],[ShipperID]]=3),"Fast shipping lane","Standard shipping")</f>
        <v>Standard shipping</v>
      </c>
      <c r="G188" t="str">
        <f>VLOOKUP(Πίνακας6[[#This Row],[ShipperID]],Πίνακας8[#All],2,FALSE)</f>
        <v>United Package</v>
      </c>
      <c r="H188" t="str">
        <f>_xlfn.XLOOKUP(Πίνακας6[[#This Row],[ShipperID]],shippers!A:A,shippers!B:B,,FALSE)</f>
        <v>United Package</v>
      </c>
    </row>
    <row r="189" spans="1:8">
      <c r="A189">
        <v>10435</v>
      </c>
      <c r="B189">
        <v>16</v>
      </c>
      <c r="C189">
        <v>8</v>
      </c>
      <c r="D189" s="1">
        <v>35465</v>
      </c>
      <c r="E189">
        <v>2</v>
      </c>
      <c r="F189" t="str">
        <f>IF(OR(Πίνακας6[[#This Row],[ShipperID]]=1,Πίνακας6[[#This Row],[ShipperID]]=3),"Fast shipping lane","Standard shipping")</f>
        <v>Standard shipping</v>
      </c>
      <c r="G189" t="str">
        <f>VLOOKUP(Πίνακας6[[#This Row],[ShipperID]],Πίνακας8[#All],2,FALSE)</f>
        <v>United Package</v>
      </c>
      <c r="H189" t="str">
        <f>_xlfn.XLOOKUP(Πίνακας6[[#This Row],[ShipperID]],shippers!A:A,shippers!B:B,,FALSE)</f>
        <v>United Package</v>
      </c>
    </row>
    <row r="190" spans="1:8">
      <c r="A190">
        <v>10436</v>
      </c>
      <c r="B190">
        <v>7</v>
      </c>
      <c r="C190">
        <v>3</v>
      </c>
      <c r="D190" s="1">
        <v>35466</v>
      </c>
      <c r="E190">
        <v>2</v>
      </c>
      <c r="F190" t="str">
        <f>IF(OR(Πίνακας6[[#This Row],[ShipperID]]=1,Πίνακας6[[#This Row],[ShipperID]]=3),"Fast shipping lane","Standard shipping")</f>
        <v>Standard shipping</v>
      </c>
      <c r="G190" t="str">
        <f>VLOOKUP(Πίνακας6[[#This Row],[ShipperID]],Πίνακας8[#All],2,FALSE)</f>
        <v>United Package</v>
      </c>
      <c r="H190" t="str">
        <f>_xlfn.XLOOKUP(Πίνακας6[[#This Row],[ShipperID]],shippers!A:A,shippers!B:B,,FALSE)</f>
        <v>United Package</v>
      </c>
    </row>
    <row r="191" spans="1:8">
      <c r="A191">
        <v>10437</v>
      </c>
      <c r="B191">
        <v>87</v>
      </c>
      <c r="C191">
        <v>8</v>
      </c>
      <c r="D191" s="1">
        <v>35466</v>
      </c>
      <c r="E191">
        <v>1</v>
      </c>
      <c r="F191" t="str">
        <f>IF(OR(Πίνακας6[[#This Row],[ShipperID]]=1,Πίνακας6[[#This Row],[ShipperID]]=3),"Fast shipping lane","Standard shipping")</f>
        <v>Fast shipping lane</v>
      </c>
      <c r="G191" t="str">
        <f>VLOOKUP(Πίνακας6[[#This Row],[ShipperID]],Πίνακας8[#All],2,FALSE)</f>
        <v>Speedy Express</v>
      </c>
      <c r="H191" t="str">
        <f>_xlfn.XLOOKUP(Πίνακας6[[#This Row],[ShipperID]],shippers!A:A,shippers!B:B,,FALSE)</f>
        <v>Speedy Express</v>
      </c>
    </row>
    <row r="192" spans="1:8">
      <c r="A192">
        <v>10438</v>
      </c>
      <c r="B192">
        <v>79</v>
      </c>
      <c r="C192">
        <v>3</v>
      </c>
      <c r="D192" s="1">
        <v>35467</v>
      </c>
      <c r="E192">
        <v>2</v>
      </c>
      <c r="F192" t="str">
        <f>IF(OR(Πίνακας6[[#This Row],[ShipperID]]=1,Πίνακας6[[#This Row],[ShipperID]]=3),"Fast shipping lane","Standard shipping")</f>
        <v>Standard shipping</v>
      </c>
      <c r="G192" t="str">
        <f>VLOOKUP(Πίνακας6[[#This Row],[ShipperID]],Πίνακας8[#All],2,FALSE)</f>
        <v>United Package</v>
      </c>
      <c r="H192" t="str">
        <f>_xlfn.XLOOKUP(Πίνακας6[[#This Row],[ShipperID]],shippers!A:A,shippers!B:B,,FALSE)</f>
        <v>United Package</v>
      </c>
    </row>
    <row r="193" spans="1:8">
      <c r="A193">
        <v>10439</v>
      </c>
      <c r="B193">
        <v>51</v>
      </c>
      <c r="C193">
        <v>6</v>
      </c>
      <c r="D193" s="1">
        <v>35468</v>
      </c>
      <c r="E193">
        <v>3</v>
      </c>
      <c r="F193" t="str">
        <f>IF(OR(Πίνακας6[[#This Row],[ShipperID]]=1,Πίνακας6[[#This Row],[ShipperID]]=3),"Fast shipping lane","Standard shipping")</f>
        <v>Fast shipping lane</v>
      </c>
      <c r="G193" t="str">
        <f>VLOOKUP(Πίνακας6[[#This Row],[ShipperID]],Πίνακας8[#All],2,FALSE)</f>
        <v>Federal Shipping</v>
      </c>
      <c r="H193" t="str">
        <f>_xlfn.XLOOKUP(Πίνακας6[[#This Row],[ShipperID]],shippers!A:A,shippers!B:B,,FALSE)</f>
        <v>Federal Shipping</v>
      </c>
    </row>
    <row r="194" spans="1:8">
      <c r="A194">
        <v>10440</v>
      </c>
      <c r="B194">
        <v>71</v>
      </c>
      <c r="C194">
        <v>4</v>
      </c>
      <c r="D194" s="1">
        <v>35471</v>
      </c>
      <c r="E194">
        <v>2</v>
      </c>
      <c r="F194" t="str">
        <f>IF(OR(Πίνακας6[[#This Row],[ShipperID]]=1,Πίνακας6[[#This Row],[ShipperID]]=3),"Fast shipping lane","Standard shipping")</f>
        <v>Standard shipping</v>
      </c>
      <c r="G194" t="str">
        <f>VLOOKUP(Πίνακας6[[#This Row],[ShipperID]],Πίνακας8[#All],2,FALSE)</f>
        <v>United Package</v>
      </c>
      <c r="H194" t="str">
        <f>_xlfn.XLOOKUP(Πίνακας6[[#This Row],[ShipperID]],shippers!A:A,shippers!B:B,,FALSE)</f>
        <v>United Package</v>
      </c>
    </row>
    <row r="195" spans="1:8">
      <c r="A195">
        <v>10441</v>
      </c>
      <c r="B195">
        <v>55</v>
      </c>
      <c r="C195">
        <v>3</v>
      </c>
      <c r="D195" s="1">
        <v>35471</v>
      </c>
      <c r="E195">
        <v>2</v>
      </c>
      <c r="F195" t="str">
        <f>IF(OR(Πίνακας6[[#This Row],[ShipperID]]=1,Πίνακας6[[#This Row],[ShipperID]]=3),"Fast shipping lane","Standard shipping")</f>
        <v>Standard shipping</v>
      </c>
      <c r="G195" t="str">
        <f>VLOOKUP(Πίνακας6[[#This Row],[ShipperID]],Πίνακας8[#All],2,FALSE)</f>
        <v>United Package</v>
      </c>
      <c r="H195" t="str">
        <f>_xlfn.XLOOKUP(Πίνακας6[[#This Row],[ShipperID]],shippers!A:A,shippers!B:B,,FALSE)</f>
        <v>United Package</v>
      </c>
    </row>
    <row r="196" spans="1:8">
      <c r="A196">
        <v>10442</v>
      </c>
      <c r="B196">
        <v>20</v>
      </c>
      <c r="C196">
        <v>3</v>
      </c>
      <c r="D196" s="1">
        <v>35472</v>
      </c>
      <c r="E196">
        <v>2</v>
      </c>
      <c r="F196" t="str">
        <f>IF(OR(Πίνακας6[[#This Row],[ShipperID]]=1,Πίνακας6[[#This Row],[ShipperID]]=3),"Fast shipping lane","Standard shipping")</f>
        <v>Standard shipping</v>
      </c>
      <c r="G196" t="str">
        <f>VLOOKUP(Πίνακας6[[#This Row],[ShipperID]],Πίνακας8[#All],2,FALSE)</f>
        <v>United Package</v>
      </c>
      <c r="H196" t="str">
        <f>_xlfn.XLOOKUP(Πίνακας6[[#This Row],[ShipperID]],shippers!A:A,shippers!B:B,,FALSE)</f>
        <v>United Package</v>
      </c>
    </row>
    <row r="197" spans="1:8">
      <c r="A197">
        <v>10443</v>
      </c>
      <c r="B197">
        <v>66</v>
      </c>
      <c r="C197">
        <v>8</v>
      </c>
      <c r="D197" s="1">
        <v>35473</v>
      </c>
      <c r="E197">
        <v>1</v>
      </c>
      <c r="F197" t="str">
        <f>IF(OR(Πίνακας6[[#This Row],[ShipperID]]=1,Πίνακας6[[#This Row],[ShipperID]]=3),"Fast shipping lane","Standard shipping")</f>
        <v>Fast shipping lane</v>
      </c>
      <c r="G197" t="str">
        <f>VLOOKUP(Πίνακας6[[#This Row],[ShipperID]],Πίνακας8[#All],2,FALSE)</f>
        <v>Speedy Express</v>
      </c>
      <c r="H197" t="str">
        <f>_xlfn.XLOOKUP(Πίνακας6[[#This Row],[ShipperID]],shippers!A:A,shippers!B:B,,FALSE)</f>
        <v>Speedy Express</v>
      </c>
    </row>
  </sheetData>
  <phoneticPr fontId="8" type="noConversion"/>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2B169-0B60-4F0E-AA00-3258DFAA01EA}">
  <dimension ref="A1:E197"/>
  <sheetViews>
    <sheetView workbookViewId="0">
      <pane ySplit="1" topLeftCell="A2" activePane="bottomLeft" state="frozen"/>
      <selection pane="bottomLeft" activeCell="L23" sqref="L23"/>
    </sheetView>
  </sheetViews>
  <sheetFormatPr defaultRowHeight="14.5"/>
  <cols>
    <col min="1" max="1" width="12.54296875" bestFit="1" customWidth="1"/>
    <col min="2" max="2" width="16" bestFit="1" customWidth="1"/>
    <col min="3" max="3" width="16.26953125" bestFit="1" customWidth="1"/>
    <col min="4" max="4" width="20" customWidth="1"/>
    <col min="5" max="5" width="14.26953125" bestFit="1" customWidth="1"/>
  </cols>
  <sheetData>
    <row r="1" spans="1:5">
      <c r="A1" s="9" t="s">
        <v>460</v>
      </c>
      <c r="B1" s="2" t="s">
        <v>19</v>
      </c>
      <c r="C1" s="2" t="s">
        <v>413</v>
      </c>
      <c r="D1" s="2" t="s">
        <v>463</v>
      </c>
      <c r="E1" s="2" t="s">
        <v>464</v>
      </c>
    </row>
    <row r="2" spans="1:5">
      <c r="A2" s="10">
        <v>10248</v>
      </c>
      <c r="B2" s="11">
        <v>90</v>
      </c>
      <c r="C2" s="11">
        <v>5</v>
      </c>
      <c r="D2" s="12">
        <v>35250</v>
      </c>
      <c r="E2" s="11">
        <v>3</v>
      </c>
    </row>
    <row r="3" spans="1:5">
      <c r="A3" s="10">
        <v>10249</v>
      </c>
      <c r="B3" s="11">
        <v>81</v>
      </c>
      <c r="C3" s="11">
        <v>6</v>
      </c>
      <c r="D3" s="12">
        <v>35251</v>
      </c>
      <c r="E3" s="11">
        <v>1</v>
      </c>
    </row>
    <row r="4" spans="1:5">
      <c r="A4" s="10">
        <v>10250</v>
      </c>
      <c r="B4" s="11">
        <v>34</v>
      </c>
      <c r="C4" s="11">
        <v>4</v>
      </c>
      <c r="D4" s="12">
        <v>35254</v>
      </c>
      <c r="E4" s="11">
        <v>2</v>
      </c>
    </row>
    <row r="5" spans="1:5">
      <c r="A5" s="10">
        <v>10251</v>
      </c>
      <c r="B5" s="11">
        <v>84</v>
      </c>
      <c r="C5" s="11">
        <v>3</v>
      </c>
      <c r="D5" s="12">
        <v>35254</v>
      </c>
      <c r="E5" s="11">
        <v>1</v>
      </c>
    </row>
    <row r="6" spans="1:5">
      <c r="A6" s="10">
        <v>10252</v>
      </c>
      <c r="B6" s="11">
        <v>76</v>
      </c>
      <c r="C6" s="11">
        <v>4</v>
      </c>
      <c r="D6" s="12">
        <v>35255</v>
      </c>
      <c r="E6" s="11">
        <v>2</v>
      </c>
    </row>
    <row r="7" spans="1:5">
      <c r="A7" s="10">
        <v>10253</v>
      </c>
      <c r="B7" s="11">
        <v>34</v>
      </c>
      <c r="C7" s="11">
        <v>3</v>
      </c>
      <c r="D7" s="12">
        <v>35256</v>
      </c>
      <c r="E7" s="11">
        <v>2</v>
      </c>
    </row>
    <row r="8" spans="1:5">
      <c r="A8" s="10">
        <v>10254</v>
      </c>
      <c r="B8" s="11">
        <v>14</v>
      </c>
      <c r="C8" s="11">
        <v>5</v>
      </c>
      <c r="D8" s="12">
        <v>35257</v>
      </c>
      <c r="E8" s="11">
        <v>2</v>
      </c>
    </row>
    <row r="9" spans="1:5">
      <c r="A9" s="10">
        <v>10255</v>
      </c>
      <c r="B9" s="11">
        <v>68</v>
      </c>
      <c r="C9" s="11">
        <v>9</v>
      </c>
      <c r="D9" s="12">
        <v>35258</v>
      </c>
      <c r="E9" s="11">
        <v>3</v>
      </c>
    </row>
    <row r="10" spans="1:5">
      <c r="A10" s="10">
        <v>10256</v>
      </c>
      <c r="B10" s="11">
        <v>88</v>
      </c>
      <c r="C10" s="11">
        <v>3</v>
      </c>
      <c r="D10" s="12">
        <v>35261</v>
      </c>
      <c r="E10" s="11">
        <v>2</v>
      </c>
    </row>
    <row r="11" spans="1:5">
      <c r="A11" s="10">
        <v>10257</v>
      </c>
      <c r="B11" s="11">
        <v>35</v>
      </c>
      <c r="C11" s="11">
        <v>4</v>
      </c>
      <c r="D11" s="12">
        <v>35262</v>
      </c>
      <c r="E11" s="11">
        <v>3</v>
      </c>
    </row>
    <row r="12" spans="1:5">
      <c r="A12" s="10">
        <v>10258</v>
      </c>
      <c r="B12" s="11">
        <v>20</v>
      </c>
      <c r="C12" s="11">
        <v>1</v>
      </c>
      <c r="D12" s="12">
        <v>35263</v>
      </c>
      <c r="E12" s="11">
        <v>1</v>
      </c>
    </row>
    <row r="13" spans="1:5">
      <c r="A13" s="10">
        <v>10259</v>
      </c>
      <c r="B13" s="11">
        <v>13</v>
      </c>
      <c r="C13" s="11">
        <v>4</v>
      </c>
      <c r="D13" s="12">
        <v>35264</v>
      </c>
      <c r="E13" s="11">
        <v>3</v>
      </c>
    </row>
    <row r="14" spans="1:5">
      <c r="A14" s="10">
        <v>10260</v>
      </c>
      <c r="B14" s="11">
        <v>55</v>
      </c>
      <c r="C14" s="11">
        <v>4</v>
      </c>
      <c r="D14" s="12">
        <v>35265</v>
      </c>
      <c r="E14" s="11">
        <v>1</v>
      </c>
    </row>
    <row r="15" spans="1:5">
      <c r="A15" s="10">
        <v>10261</v>
      </c>
      <c r="B15" s="11">
        <v>61</v>
      </c>
      <c r="C15" s="11">
        <v>4</v>
      </c>
      <c r="D15" s="12">
        <v>35265</v>
      </c>
      <c r="E15" s="11">
        <v>2</v>
      </c>
    </row>
    <row r="16" spans="1:5">
      <c r="A16" s="10">
        <v>10262</v>
      </c>
      <c r="B16" s="11">
        <v>65</v>
      </c>
      <c r="C16" s="11">
        <v>8</v>
      </c>
      <c r="D16" s="12">
        <v>35268</v>
      </c>
      <c r="E16" s="11">
        <v>3</v>
      </c>
    </row>
    <row r="17" spans="1:5">
      <c r="A17" s="10">
        <v>10263</v>
      </c>
      <c r="B17" s="11">
        <v>20</v>
      </c>
      <c r="C17" s="11">
        <v>9</v>
      </c>
      <c r="D17" s="12">
        <v>35269</v>
      </c>
      <c r="E17" s="11">
        <v>3</v>
      </c>
    </row>
    <row r="18" spans="1:5">
      <c r="A18" s="10">
        <v>10264</v>
      </c>
      <c r="B18" s="11">
        <v>24</v>
      </c>
      <c r="C18" s="11">
        <v>6</v>
      </c>
      <c r="D18" s="12">
        <v>35270</v>
      </c>
      <c r="E18" s="11">
        <v>3</v>
      </c>
    </row>
    <row r="19" spans="1:5">
      <c r="A19" s="10">
        <v>10265</v>
      </c>
      <c r="B19" s="11">
        <v>7</v>
      </c>
      <c r="C19" s="11">
        <v>2</v>
      </c>
      <c r="D19" s="12">
        <v>35271</v>
      </c>
      <c r="E19" s="11">
        <v>1</v>
      </c>
    </row>
    <row r="20" spans="1:5">
      <c r="A20" s="10">
        <v>10266</v>
      </c>
      <c r="B20" s="11">
        <v>87</v>
      </c>
      <c r="C20" s="11">
        <v>3</v>
      </c>
      <c r="D20" s="12">
        <v>35272</v>
      </c>
      <c r="E20" s="11">
        <v>3</v>
      </c>
    </row>
    <row r="21" spans="1:5">
      <c r="A21" s="10">
        <v>10267</v>
      </c>
      <c r="B21" s="11">
        <v>25</v>
      </c>
      <c r="C21" s="11">
        <v>4</v>
      </c>
      <c r="D21" s="12">
        <v>35275</v>
      </c>
      <c r="E21" s="11">
        <v>1</v>
      </c>
    </row>
    <row r="22" spans="1:5">
      <c r="A22" s="10">
        <v>10268</v>
      </c>
      <c r="B22" s="11">
        <v>33</v>
      </c>
      <c r="C22" s="11">
        <v>8</v>
      </c>
      <c r="D22" s="12">
        <v>35276</v>
      </c>
      <c r="E22" s="11">
        <v>3</v>
      </c>
    </row>
    <row r="23" spans="1:5">
      <c r="A23" s="10">
        <v>10269</v>
      </c>
      <c r="B23" s="11">
        <v>89</v>
      </c>
      <c r="C23" s="11">
        <v>5</v>
      </c>
      <c r="D23" s="12">
        <v>35277</v>
      </c>
      <c r="E23" s="11">
        <v>1</v>
      </c>
    </row>
    <row r="24" spans="1:5">
      <c r="A24" s="10">
        <v>10270</v>
      </c>
      <c r="B24" s="11">
        <v>87</v>
      </c>
      <c r="C24" s="11">
        <v>1</v>
      </c>
      <c r="D24" s="12">
        <v>35278</v>
      </c>
      <c r="E24" s="11">
        <v>1</v>
      </c>
    </row>
    <row r="25" spans="1:5">
      <c r="A25" s="10">
        <v>10271</v>
      </c>
      <c r="B25" s="11">
        <v>75</v>
      </c>
      <c r="C25" s="11">
        <v>6</v>
      </c>
      <c r="D25" s="12">
        <v>35278</v>
      </c>
      <c r="E25" s="11">
        <v>2</v>
      </c>
    </row>
    <row r="26" spans="1:5">
      <c r="A26" s="10">
        <v>10272</v>
      </c>
      <c r="B26" s="11">
        <v>65</v>
      </c>
      <c r="C26" s="11">
        <v>6</v>
      </c>
      <c r="D26" s="12">
        <v>35279</v>
      </c>
      <c r="E26" s="11">
        <v>2</v>
      </c>
    </row>
    <row r="27" spans="1:5">
      <c r="A27" s="10">
        <v>10273</v>
      </c>
      <c r="B27" s="11">
        <v>63</v>
      </c>
      <c r="C27" s="11">
        <v>3</v>
      </c>
      <c r="D27" s="12">
        <v>35282</v>
      </c>
      <c r="E27" s="11">
        <v>3</v>
      </c>
    </row>
    <row r="28" spans="1:5">
      <c r="A28" s="10">
        <v>10274</v>
      </c>
      <c r="B28" s="11">
        <v>85</v>
      </c>
      <c r="C28" s="11">
        <v>6</v>
      </c>
      <c r="D28" s="12">
        <v>35283</v>
      </c>
      <c r="E28" s="11">
        <v>1</v>
      </c>
    </row>
    <row r="29" spans="1:5">
      <c r="A29" s="10">
        <v>10275</v>
      </c>
      <c r="B29" s="11">
        <v>49</v>
      </c>
      <c r="C29" s="11">
        <v>1</v>
      </c>
      <c r="D29" s="12">
        <v>35284</v>
      </c>
      <c r="E29" s="11">
        <v>1</v>
      </c>
    </row>
    <row r="30" spans="1:5">
      <c r="A30" s="10">
        <v>10276</v>
      </c>
      <c r="B30" s="11">
        <v>80</v>
      </c>
      <c r="C30" s="11">
        <v>8</v>
      </c>
      <c r="D30" s="12">
        <v>35285</v>
      </c>
      <c r="E30" s="11">
        <v>3</v>
      </c>
    </row>
    <row r="31" spans="1:5">
      <c r="A31" s="10">
        <v>10277</v>
      </c>
      <c r="B31" s="11">
        <v>52</v>
      </c>
      <c r="C31" s="11">
        <v>2</v>
      </c>
      <c r="D31" s="12">
        <v>35286</v>
      </c>
      <c r="E31" s="11">
        <v>3</v>
      </c>
    </row>
    <row r="32" spans="1:5">
      <c r="A32" s="10">
        <v>10278</v>
      </c>
      <c r="B32" s="11">
        <v>5</v>
      </c>
      <c r="C32" s="11">
        <v>8</v>
      </c>
      <c r="D32" s="12">
        <v>35289</v>
      </c>
      <c r="E32" s="11">
        <v>2</v>
      </c>
    </row>
    <row r="33" spans="1:5">
      <c r="A33" s="10">
        <v>10279</v>
      </c>
      <c r="B33" s="11">
        <v>44</v>
      </c>
      <c r="C33" s="11">
        <v>8</v>
      </c>
      <c r="D33" s="12">
        <v>35290</v>
      </c>
      <c r="E33" s="11">
        <v>2</v>
      </c>
    </row>
    <row r="34" spans="1:5">
      <c r="A34" s="10">
        <v>10280</v>
      </c>
      <c r="B34" s="11">
        <v>5</v>
      </c>
      <c r="C34" s="11">
        <v>2</v>
      </c>
      <c r="D34" s="12">
        <v>35291</v>
      </c>
      <c r="E34" s="11">
        <v>1</v>
      </c>
    </row>
    <row r="35" spans="1:5">
      <c r="A35" s="10">
        <v>10281</v>
      </c>
      <c r="B35" s="11">
        <v>69</v>
      </c>
      <c r="C35" s="11">
        <v>4</v>
      </c>
      <c r="D35" s="12">
        <v>35291</v>
      </c>
      <c r="E35" s="11">
        <v>1</v>
      </c>
    </row>
    <row r="36" spans="1:5">
      <c r="A36" s="10">
        <v>10282</v>
      </c>
      <c r="B36" s="11">
        <v>69</v>
      </c>
      <c r="C36" s="11">
        <v>4</v>
      </c>
      <c r="D36" s="12">
        <v>35292</v>
      </c>
      <c r="E36" s="11">
        <v>1</v>
      </c>
    </row>
    <row r="37" spans="1:5">
      <c r="A37" s="10">
        <v>10283</v>
      </c>
      <c r="B37" s="11">
        <v>46</v>
      </c>
      <c r="C37" s="11">
        <v>3</v>
      </c>
      <c r="D37" s="12">
        <v>35293</v>
      </c>
      <c r="E37" s="11">
        <v>3</v>
      </c>
    </row>
    <row r="38" spans="1:5">
      <c r="A38" s="10">
        <v>10284</v>
      </c>
      <c r="B38" s="11">
        <v>44</v>
      </c>
      <c r="C38" s="11">
        <v>4</v>
      </c>
      <c r="D38" s="12">
        <v>35296</v>
      </c>
      <c r="E38" s="11">
        <v>1</v>
      </c>
    </row>
    <row r="39" spans="1:5">
      <c r="A39" s="10">
        <v>10285</v>
      </c>
      <c r="B39" s="11">
        <v>63</v>
      </c>
      <c r="C39" s="11">
        <v>1</v>
      </c>
      <c r="D39" s="12">
        <v>35297</v>
      </c>
      <c r="E39" s="11">
        <v>2</v>
      </c>
    </row>
    <row r="40" spans="1:5">
      <c r="A40" s="10">
        <v>10286</v>
      </c>
      <c r="B40" s="11">
        <v>63</v>
      </c>
      <c r="C40" s="11">
        <v>8</v>
      </c>
      <c r="D40" s="12">
        <v>35298</v>
      </c>
      <c r="E40" s="11">
        <v>3</v>
      </c>
    </row>
    <row r="41" spans="1:5">
      <c r="A41" s="10">
        <v>10287</v>
      </c>
      <c r="B41" s="11">
        <v>67</v>
      </c>
      <c r="C41" s="11">
        <v>8</v>
      </c>
      <c r="D41" s="12">
        <v>35299</v>
      </c>
      <c r="E41" s="11">
        <v>3</v>
      </c>
    </row>
    <row r="42" spans="1:5">
      <c r="A42" s="10">
        <v>10288</v>
      </c>
      <c r="B42" s="11">
        <v>66</v>
      </c>
      <c r="C42" s="11">
        <v>4</v>
      </c>
      <c r="D42" s="12">
        <v>35300</v>
      </c>
      <c r="E42" s="11">
        <v>1</v>
      </c>
    </row>
    <row r="43" spans="1:5">
      <c r="A43" s="10">
        <v>10289</v>
      </c>
      <c r="B43" s="11">
        <v>11</v>
      </c>
      <c r="C43" s="11">
        <v>7</v>
      </c>
      <c r="D43" s="12">
        <v>35303</v>
      </c>
      <c r="E43" s="11">
        <v>3</v>
      </c>
    </row>
    <row r="44" spans="1:5">
      <c r="A44" s="10">
        <v>10290</v>
      </c>
      <c r="B44" s="11">
        <v>15</v>
      </c>
      <c r="C44" s="11">
        <v>8</v>
      </c>
      <c r="D44" s="12">
        <v>35304</v>
      </c>
      <c r="E44" s="11">
        <v>1</v>
      </c>
    </row>
    <row r="45" spans="1:5">
      <c r="A45" s="10">
        <v>10291</v>
      </c>
      <c r="B45" s="11">
        <v>61</v>
      </c>
      <c r="C45" s="11">
        <v>6</v>
      </c>
      <c r="D45" s="12">
        <v>35304</v>
      </c>
      <c r="E45" s="11">
        <v>2</v>
      </c>
    </row>
    <row r="46" spans="1:5">
      <c r="A46" s="10">
        <v>10292</v>
      </c>
      <c r="B46" s="11">
        <v>81</v>
      </c>
      <c r="C46" s="11">
        <v>1</v>
      </c>
      <c r="D46" s="12">
        <v>35305</v>
      </c>
      <c r="E46" s="11">
        <v>2</v>
      </c>
    </row>
    <row r="47" spans="1:5">
      <c r="A47" s="10">
        <v>10293</v>
      </c>
      <c r="B47" s="11">
        <v>80</v>
      </c>
      <c r="C47" s="11">
        <v>1</v>
      </c>
      <c r="D47" s="12">
        <v>35306</v>
      </c>
      <c r="E47" s="11">
        <v>3</v>
      </c>
    </row>
    <row r="48" spans="1:5">
      <c r="A48" s="10">
        <v>10294</v>
      </c>
      <c r="B48" s="11">
        <v>65</v>
      </c>
      <c r="C48" s="11">
        <v>4</v>
      </c>
      <c r="D48" s="12">
        <v>35307</v>
      </c>
      <c r="E48" s="11">
        <v>2</v>
      </c>
    </row>
    <row r="49" spans="1:5">
      <c r="A49" s="10">
        <v>10295</v>
      </c>
      <c r="B49" s="11">
        <v>85</v>
      </c>
      <c r="C49" s="11">
        <v>2</v>
      </c>
      <c r="D49" s="12">
        <v>35310</v>
      </c>
      <c r="E49" s="11">
        <v>2</v>
      </c>
    </row>
    <row r="50" spans="1:5">
      <c r="A50" s="10">
        <v>10296</v>
      </c>
      <c r="B50" s="11">
        <v>46</v>
      </c>
      <c r="C50" s="11">
        <v>6</v>
      </c>
      <c r="D50" s="12">
        <v>35311</v>
      </c>
      <c r="E50" s="11">
        <v>1</v>
      </c>
    </row>
    <row r="51" spans="1:5">
      <c r="A51" s="10">
        <v>10297</v>
      </c>
      <c r="B51" s="11">
        <v>7</v>
      </c>
      <c r="C51" s="11">
        <v>5</v>
      </c>
      <c r="D51" s="12">
        <v>35312</v>
      </c>
      <c r="E51" s="11">
        <v>2</v>
      </c>
    </row>
    <row r="52" spans="1:5">
      <c r="A52" s="10">
        <v>10298</v>
      </c>
      <c r="B52" s="11">
        <v>37</v>
      </c>
      <c r="C52" s="11">
        <v>6</v>
      </c>
      <c r="D52" s="12">
        <v>35313</v>
      </c>
      <c r="E52" s="11">
        <v>2</v>
      </c>
    </row>
    <row r="53" spans="1:5">
      <c r="A53" s="10">
        <v>10299</v>
      </c>
      <c r="B53" s="11">
        <v>67</v>
      </c>
      <c r="C53" s="11">
        <v>4</v>
      </c>
      <c r="D53" s="12">
        <v>35314</v>
      </c>
      <c r="E53" s="11">
        <v>2</v>
      </c>
    </row>
    <row r="54" spans="1:5">
      <c r="A54" s="10">
        <v>10300</v>
      </c>
      <c r="B54" s="11">
        <v>49</v>
      </c>
      <c r="C54" s="11">
        <v>2</v>
      </c>
      <c r="D54" s="12">
        <v>35317</v>
      </c>
      <c r="E54" s="11">
        <v>2</v>
      </c>
    </row>
    <row r="55" spans="1:5">
      <c r="A55" s="10">
        <v>10301</v>
      </c>
      <c r="B55" s="11">
        <v>86</v>
      </c>
      <c r="C55" s="11">
        <v>8</v>
      </c>
      <c r="D55" s="12">
        <v>35317</v>
      </c>
      <c r="E55" s="11">
        <v>2</v>
      </c>
    </row>
    <row r="56" spans="1:5">
      <c r="A56" s="10">
        <v>10302</v>
      </c>
      <c r="B56" s="11">
        <v>76</v>
      </c>
      <c r="C56" s="11">
        <v>4</v>
      </c>
      <c r="D56" s="12">
        <v>35318</v>
      </c>
      <c r="E56" s="11">
        <v>2</v>
      </c>
    </row>
    <row r="57" spans="1:5">
      <c r="A57" s="10">
        <v>10303</v>
      </c>
      <c r="B57" s="11">
        <v>30</v>
      </c>
      <c r="C57" s="11">
        <v>7</v>
      </c>
      <c r="D57" s="12">
        <v>35319</v>
      </c>
      <c r="E57" s="11">
        <v>2</v>
      </c>
    </row>
    <row r="58" spans="1:5">
      <c r="A58" s="10">
        <v>10304</v>
      </c>
      <c r="B58" s="11">
        <v>80</v>
      </c>
      <c r="C58" s="11">
        <v>1</v>
      </c>
      <c r="D58" s="12">
        <v>35320</v>
      </c>
      <c r="E58" s="11">
        <v>2</v>
      </c>
    </row>
    <row r="59" spans="1:5">
      <c r="A59" s="10">
        <v>10305</v>
      </c>
      <c r="B59" s="11">
        <v>55</v>
      </c>
      <c r="C59" s="11">
        <v>8</v>
      </c>
      <c r="D59" s="12">
        <v>35321</v>
      </c>
      <c r="E59" s="11">
        <v>3</v>
      </c>
    </row>
    <row r="60" spans="1:5">
      <c r="A60" s="10">
        <v>10306</v>
      </c>
      <c r="B60" s="11">
        <v>69</v>
      </c>
      <c r="C60" s="11">
        <v>1</v>
      </c>
      <c r="D60" s="12">
        <v>35324</v>
      </c>
      <c r="E60" s="11">
        <v>3</v>
      </c>
    </row>
    <row r="61" spans="1:5">
      <c r="A61" s="10">
        <v>10307</v>
      </c>
      <c r="B61" s="11">
        <v>48</v>
      </c>
      <c r="C61" s="11">
        <v>2</v>
      </c>
      <c r="D61" s="12">
        <v>35325</v>
      </c>
      <c r="E61" s="11">
        <v>2</v>
      </c>
    </row>
    <row r="62" spans="1:5">
      <c r="A62" s="10">
        <v>10308</v>
      </c>
      <c r="B62" s="11">
        <v>2</v>
      </c>
      <c r="C62" s="11">
        <v>7</v>
      </c>
      <c r="D62" s="12">
        <v>35326</v>
      </c>
      <c r="E62" s="11">
        <v>3</v>
      </c>
    </row>
    <row r="63" spans="1:5">
      <c r="A63" s="10">
        <v>10309</v>
      </c>
      <c r="B63" s="11">
        <v>37</v>
      </c>
      <c r="C63" s="11">
        <v>3</v>
      </c>
      <c r="D63" s="12">
        <v>35327</v>
      </c>
      <c r="E63" s="11">
        <v>1</v>
      </c>
    </row>
    <row r="64" spans="1:5">
      <c r="A64" s="10">
        <v>10310</v>
      </c>
      <c r="B64" s="11">
        <v>77</v>
      </c>
      <c r="C64" s="11">
        <v>8</v>
      </c>
      <c r="D64" s="12">
        <v>35328</v>
      </c>
      <c r="E64" s="11">
        <v>2</v>
      </c>
    </row>
    <row r="65" spans="1:5">
      <c r="A65" s="10">
        <v>10311</v>
      </c>
      <c r="B65" s="11">
        <v>18</v>
      </c>
      <c r="C65" s="11">
        <v>1</v>
      </c>
      <c r="D65" s="12">
        <v>35328</v>
      </c>
      <c r="E65" s="11">
        <v>3</v>
      </c>
    </row>
    <row r="66" spans="1:5">
      <c r="A66" s="10">
        <v>10312</v>
      </c>
      <c r="B66" s="11">
        <v>86</v>
      </c>
      <c r="C66" s="11">
        <v>2</v>
      </c>
      <c r="D66" s="12">
        <v>35331</v>
      </c>
      <c r="E66" s="11">
        <v>2</v>
      </c>
    </row>
    <row r="67" spans="1:5">
      <c r="A67" s="10">
        <v>10313</v>
      </c>
      <c r="B67" s="11">
        <v>63</v>
      </c>
      <c r="C67" s="11">
        <v>2</v>
      </c>
      <c r="D67" s="12">
        <v>35332</v>
      </c>
      <c r="E67" s="11">
        <v>2</v>
      </c>
    </row>
    <row r="68" spans="1:5">
      <c r="A68" s="10">
        <v>10314</v>
      </c>
      <c r="B68" s="11">
        <v>65</v>
      </c>
      <c r="C68" s="11">
        <v>1</v>
      </c>
      <c r="D68" s="12">
        <v>35333</v>
      </c>
      <c r="E68" s="11">
        <v>2</v>
      </c>
    </row>
    <row r="69" spans="1:5">
      <c r="A69" s="10">
        <v>10315</v>
      </c>
      <c r="B69" s="11">
        <v>38</v>
      </c>
      <c r="C69" s="11">
        <v>4</v>
      </c>
      <c r="D69" s="12">
        <v>35334</v>
      </c>
      <c r="E69" s="11">
        <v>2</v>
      </c>
    </row>
    <row r="70" spans="1:5">
      <c r="A70" s="10">
        <v>10316</v>
      </c>
      <c r="B70" s="11">
        <v>65</v>
      </c>
      <c r="C70" s="11">
        <v>1</v>
      </c>
      <c r="D70" s="12">
        <v>35335</v>
      </c>
      <c r="E70" s="11">
        <v>3</v>
      </c>
    </row>
    <row r="71" spans="1:5">
      <c r="A71" s="10">
        <v>10317</v>
      </c>
      <c r="B71" s="11">
        <v>48</v>
      </c>
      <c r="C71" s="11">
        <v>6</v>
      </c>
      <c r="D71" s="12">
        <v>35338</v>
      </c>
      <c r="E71" s="11">
        <v>1</v>
      </c>
    </row>
    <row r="72" spans="1:5">
      <c r="A72" s="10">
        <v>10318</v>
      </c>
      <c r="B72" s="11">
        <v>38</v>
      </c>
      <c r="C72" s="11">
        <v>8</v>
      </c>
      <c r="D72" s="12">
        <v>35339</v>
      </c>
      <c r="E72" s="11">
        <v>2</v>
      </c>
    </row>
    <row r="73" spans="1:5">
      <c r="A73" s="10">
        <v>10319</v>
      </c>
      <c r="B73" s="11">
        <v>80</v>
      </c>
      <c r="C73" s="11">
        <v>7</v>
      </c>
      <c r="D73" s="12">
        <v>35340</v>
      </c>
      <c r="E73" s="11">
        <v>3</v>
      </c>
    </row>
    <row r="74" spans="1:5">
      <c r="A74" s="10">
        <v>10320</v>
      </c>
      <c r="B74" s="11">
        <v>87</v>
      </c>
      <c r="C74" s="11">
        <v>5</v>
      </c>
      <c r="D74" s="12">
        <v>35341</v>
      </c>
      <c r="E74" s="11">
        <v>3</v>
      </c>
    </row>
    <row r="75" spans="1:5">
      <c r="A75" s="10">
        <v>10321</v>
      </c>
      <c r="B75" s="11">
        <v>38</v>
      </c>
      <c r="C75" s="11">
        <v>3</v>
      </c>
      <c r="D75" s="12">
        <v>35341</v>
      </c>
      <c r="E75" s="11">
        <v>2</v>
      </c>
    </row>
    <row r="76" spans="1:5">
      <c r="A76" s="10">
        <v>10322</v>
      </c>
      <c r="B76" s="11">
        <v>58</v>
      </c>
      <c r="C76" s="11">
        <v>7</v>
      </c>
      <c r="D76" s="12">
        <v>35342</v>
      </c>
      <c r="E76" s="11">
        <v>3</v>
      </c>
    </row>
    <row r="77" spans="1:5">
      <c r="A77" s="10">
        <v>10323</v>
      </c>
      <c r="B77" s="11">
        <v>39</v>
      </c>
      <c r="C77" s="11">
        <v>4</v>
      </c>
      <c r="D77" s="12">
        <v>35345</v>
      </c>
      <c r="E77" s="11">
        <v>1</v>
      </c>
    </row>
    <row r="78" spans="1:5">
      <c r="A78" s="10">
        <v>10324</v>
      </c>
      <c r="B78" s="11">
        <v>71</v>
      </c>
      <c r="C78" s="11">
        <v>9</v>
      </c>
      <c r="D78" s="12">
        <v>35346</v>
      </c>
      <c r="E78" s="11">
        <v>1</v>
      </c>
    </row>
    <row r="79" spans="1:5">
      <c r="A79" s="10">
        <v>10325</v>
      </c>
      <c r="B79" s="11">
        <v>39</v>
      </c>
      <c r="C79" s="11">
        <v>1</v>
      </c>
      <c r="D79" s="12">
        <v>35347</v>
      </c>
      <c r="E79" s="11">
        <v>3</v>
      </c>
    </row>
    <row r="80" spans="1:5">
      <c r="A80" s="10">
        <v>10326</v>
      </c>
      <c r="B80" s="11">
        <v>8</v>
      </c>
      <c r="C80" s="11">
        <v>4</v>
      </c>
      <c r="D80" s="12">
        <v>35348</v>
      </c>
      <c r="E80" s="11">
        <v>2</v>
      </c>
    </row>
    <row r="81" spans="1:5">
      <c r="A81" s="10">
        <v>10327</v>
      </c>
      <c r="B81" s="11">
        <v>24</v>
      </c>
      <c r="C81" s="11">
        <v>2</v>
      </c>
      <c r="D81" s="12">
        <v>35349</v>
      </c>
      <c r="E81" s="11">
        <v>1</v>
      </c>
    </row>
    <row r="82" spans="1:5">
      <c r="A82" s="10">
        <v>10328</v>
      </c>
      <c r="B82" s="11">
        <v>28</v>
      </c>
      <c r="C82" s="11">
        <v>4</v>
      </c>
      <c r="D82" s="12">
        <v>35352</v>
      </c>
      <c r="E82" s="11">
        <v>3</v>
      </c>
    </row>
    <row r="83" spans="1:5">
      <c r="A83" s="10">
        <v>10329</v>
      </c>
      <c r="B83" s="11">
        <v>75</v>
      </c>
      <c r="C83" s="11">
        <v>4</v>
      </c>
      <c r="D83" s="12">
        <v>35353</v>
      </c>
      <c r="E83" s="11">
        <v>2</v>
      </c>
    </row>
    <row r="84" spans="1:5">
      <c r="A84" s="10">
        <v>10330</v>
      </c>
      <c r="B84" s="11">
        <v>46</v>
      </c>
      <c r="C84" s="11">
        <v>3</v>
      </c>
      <c r="D84" s="12">
        <v>35354</v>
      </c>
      <c r="E84" s="11">
        <v>1</v>
      </c>
    </row>
    <row r="85" spans="1:5">
      <c r="A85" s="10">
        <v>10331</v>
      </c>
      <c r="B85" s="11">
        <v>9</v>
      </c>
      <c r="C85" s="11">
        <v>9</v>
      </c>
      <c r="D85" s="12">
        <v>35354</v>
      </c>
      <c r="E85" s="11">
        <v>1</v>
      </c>
    </row>
    <row r="86" spans="1:5">
      <c r="A86" s="10">
        <v>10332</v>
      </c>
      <c r="B86" s="11">
        <v>51</v>
      </c>
      <c r="C86" s="11">
        <v>3</v>
      </c>
      <c r="D86" s="12">
        <v>35355</v>
      </c>
      <c r="E86" s="11">
        <v>2</v>
      </c>
    </row>
    <row r="87" spans="1:5">
      <c r="A87" s="10">
        <v>10333</v>
      </c>
      <c r="B87" s="11">
        <v>87</v>
      </c>
      <c r="C87" s="11">
        <v>5</v>
      </c>
      <c r="D87" s="12">
        <v>35356</v>
      </c>
      <c r="E87" s="11">
        <v>3</v>
      </c>
    </row>
    <row r="88" spans="1:5">
      <c r="A88" s="10">
        <v>10334</v>
      </c>
      <c r="B88" s="11">
        <v>84</v>
      </c>
      <c r="C88" s="11">
        <v>8</v>
      </c>
      <c r="D88" s="12">
        <v>35359</v>
      </c>
      <c r="E88" s="11">
        <v>2</v>
      </c>
    </row>
    <row r="89" spans="1:5">
      <c r="A89" s="10">
        <v>10335</v>
      </c>
      <c r="B89" s="11">
        <v>37</v>
      </c>
      <c r="C89" s="11">
        <v>7</v>
      </c>
      <c r="D89" s="12">
        <v>35360</v>
      </c>
      <c r="E89" s="11">
        <v>2</v>
      </c>
    </row>
    <row r="90" spans="1:5">
      <c r="A90" s="10">
        <v>10336</v>
      </c>
      <c r="B90" s="11">
        <v>60</v>
      </c>
      <c r="C90" s="11">
        <v>7</v>
      </c>
      <c r="D90" s="12">
        <v>35361</v>
      </c>
      <c r="E90" s="11">
        <v>2</v>
      </c>
    </row>
    <row r="91" spans="1:5">
      <c r="A91" s="10">
        <v>10337</v>
      </c>
      <c r="B91" s="11">
        <v>25</v>
      </c>
      <c r="C91" s="11">
        <v>4</v>
      </c>
      <c r="D91" s="12">
        <v>35362</v>
      </c>
      <c r="E91" s="11">
        <v>3</v>
      </c>
    </row>
    <row r="92" spans="1:5">
      <c r="A92" s="10">
        <v>10338</v>
      </c>
      <c r="B92" s="11">
        <v>55</v>
      </c>
      <c r="C92" s="11">
        <v>4</v>
      </c>
      <c r="D92" s="12">
        <v>35363</v>
      </c>
      <c r="E92" s="11">
        <v>3</v>
      </c>
    </row>
    <row r="93" spans="1:5">
      <c r="A93" s="10">
        <v>10339</v>
      </c>
      <c r="B93" s="11">
        <v>51</v>
      </c>
      <c r="C93" s="11">
        <v>2</v>
      </c>
      <c r="D93" s="12">
        <v>35366</v>
      </c>
      <c r="E93" s="11">
        <v>2</v>
      </c>
    </row>
    <row r="94" spans="1:5">
      <c r="A94" s="10">
        <v>10340</v>
      </c>
      <c r="B94" s="11">
        <v>9</v>
      </c>
      <c r="C94" s="11">
        <v>1</v>
      </c>
      <c r="D94" s="12">
        <v>35367</v>
      </c>
      <c r="E94" s="11">
        <v>3</v>
      </c>
    </row>
    <row r="95" spans="1:5">
      <c r="A95" s="10">
        <v>10341</v>
      </c>
      <c r="B95" s="11">
        <v>73</v>
      </c>
      <c r="C95" s="11">
        <v>7</v>
      </c>
      <c r="D95" s="12">
        <v>35367</v>
      </c>
      <c r="E95" s="11">
        <v>3</v>
      </c>
    </row>
    <row r="96" spans="1:5">
      <c r="A96" s="10">
        <v>10342</v>
      </c>
      <c r="B96" s="11">
        <v>25</v>
      </c>
      <c r="C96" s="11">
        <v>4</v>
      </c>
      <c r="D96" s="12">
        <v>35368</v>
      </c>
      <c r="E96" s="11">
        <v>2</v>
      </c>
    </row>
    <row r="97" spans="1:5">
      <c r="A97" s="10">
        <v>10343</v>
      </c>
      <c r="B97" s="11">
        <v>44</v>
      </c>
      <c r="C97" s="11">
        <v>4</v>
      </c>
      <c r="D97" s="12">
        <v>35369</v>
      </c>
      <c r="E97" s="11">
        <v>1</v>
      </c>
    </row>
    <row r="98" spans="1:5">
      <c r="A98" s="10">
        <v>10344</v>
      </c>
      <c r="B98" s="11">
        <v>89</v>
      </c>
      <c r="C98" s="11">
        <v>4</v>
      </c>
      <c r="D98" s="12">
        <v>35370</v>
      </c>
      <c r="E98" s="11">
        <v>2</v>
      </c>
    </row>
    <row r="99" spans="1:5">
      <c r="A99" s="10">
        <v>10345</v>
      </c>
      <c r="B99" s="11">
        <v>63</v>
      </c>
      <c r="C99" s="11">
        <v>2</v>
      </c>
      <c r="D99" s="12">
        <v>35373</v>
      </c>
      <c r="E99" s="11">
        <v>2</v>
      </c>
    </row>
    <row r="100" spans="1:5">
      <c r="A100" s="10">
        <v>10346</v>
      </c>
      <c r="B100" s="11">
        <v>65</v>
      </c>
      <c r="C100" s="11">
        <v>3</v>
      </c>
      <c r="D100" s="12">
        <v>35374</v>
      </c>
      <c r="E100" s="11">
        <v>3</v>
      </c>
    </row>
    <row r="101" spans="1:5">
      <c r="A101" s="10">
        <v>10347</v>
      </c>
      <c r="B101" s="11">
        <v>21</v>
      </c>
      <c r="C101" s="11">
        <v>4</v>
      </c>
      <c r="D101" s="12">
        <v>35375</v>
      </c>
      <c r="E101" s="11">
        <v>3</v>
      </c>
    </row>
    <row r="102" spans="1:5">
      <c r="A102" s="10">
        <v>10348</v>
      </c>
      <c r="B102" s="11">
        <v>86</v>
      </c>
      <c r="C102" s="11">
        <v>4</v>
      </c>
      <c r="D102" s="12">
        <v>35376</v>
      </c>
      <c r="E102" s="11">
        <v>2</v>
      </c>
    </row>
    <row r="103" spans="1:5">
      <c r="A103" s="10">
        <v>10349</v>
      </c>
      <c r="B103" s="11">
        <v>75</v>
      </c>
      <c r="C103" s="11">
        <v>7</v>
      </c>
      <c r="D103" s="12">
        <v>35377</v>
      </c>
      <c r="E103" s="11">
        <v>1</v>
      </c>
    </row>
    <row r="104" spans="1:5">
      <c r="A104" s="10">
        <v>10350</v>
      </c>
      <c r="B104" s="11">
        <v>41</v>
      </c>
      <c r="C104" s="11">
        <v>6</v>
      </c>
      <c r="D104" s="12">
        <v>35380</v>
      </c>
      <c r="E104" s="11">
        <v>2</v>
      </c>
    </row>
    <row r="105" spans="1:5">
      <c r="A105" s="10">
        <v>10351</v>
      </c>
      <c r="B105" s="11">
        <v>20</v>
      </c>
      <c r="C105" s="11">
        <v>1</v>
      </c>
      <c r="D105" s="12">
        <v>35380</v>
      </c>
      <c r="E105" s="11">
        <v>1</v>
      </c>
    </row>
    <row r="106" spans="1:5">
      <c r="A106" s="10">
        <v>10352</v>
      </c>
      <c r="B106" s="11">
        <v>28</v>
      </c>
      <c r="C106" s="11">
        <v>3</v>
      </c>
      <c r="D106" s="12">
        <v>35381</v>
      </c>
      <c r="E106" s="11">
        <v>3</v>
      </c>
    </row>
    <row r="107" spans="1:5">
      <c r="A107" s="10">
        <v>10353</v>
      </c>
      <c r="B107" s="11">
        <v>59</v>
      </c>
      <c r="C107" s="11">
        <v>7</v>
      </c>
      <c r="D107" s="12">
        <v>35382</v>
      </c>
      <c r="E107" s="11">
        <v>3</v>
      </c>
    </row>
    <row r="108" spans="1:5">
      <c r="A108" s="10">
        <v>10354</v>
      </c>
      <c r="B108" s="11">
        <v>58</v>
      </c>
      <c r="C108" s="11">
        <v>8</v>
      </c>
      <c r="D108" s="12">
        <v>35383</v>
      </c>
      <c r="E108" s="11">
        <v>3</v>
      </c>
    </row>
    <row r="109" spans="1:5">
      <c r="A109" s="10">
        <v>10355</v>
      </c>
      <c r="B109" s="11">
        <v>4</v>
      </c>
      <c r="C109" s="11">
        <v>6</v>
      </c>
      <c r="D109" s="12">
        <v>35384</v>
      </c>
      <c r="E109" s="11">
        <v>1</v>
      </c>
    </row>
    <row r="110" spans="1:5">
      <c r="A110" s="10">
        <v>10356</v>
      </c>
      <c r="B110" s="11">
        <v>86</v>
      </c>
      <c r="C110" s="11">
        <v>6</v>
      </c>
      <c r="D110" s="12">
        <v>35387</v>
      </c>
      <c r="E110" s="11">
        <v>2</v>
      </c>
    </row>
    <row r="111" spans="1:5">
      <c r="A111" s="10">
        <v>10357</v>
      </c>
      <c r="B111" s="11">
        <v>46</v>
      </c>
      <c r="C111" s="11">
        <v>1</v>
      </c>
      <c r="D111" s="12">
        <v>35388</v>
      </c>
      <c r="E111" s="11">
        <v>3</v>
      </c>
    </row>
    <row r="112" spans="1:5">
      <c r="A112" s="10">
        <v>10358</v>
      </c>
      <c r="B112" s="11">
        <v>41</v>
      </c>
      <c r="C112" s="11">
        <v>5</v>
      </c>
      <c r="D112" s="12">
        <v>35389</v>
      </c>
      <c r="E112" s="11">
        <v>1</v>
      </c>
    </row>
    <row r="113" spans="1:5">
      <c r="A113" s="10">
        <v>10359</v>
      </c>
      <c r="B113" s="11">
        <v>72</v>
      </c>
      <c r="C113" s="11">
        <v>5</v>
      </c>
      <c r="D113" s="12">
        <v>35390</v>
      </c>
      <c r="E113" s="11">
        <v>3</v>
      </c>
    </row>
    <row r="114" spans="1:5">
      <c r="A114" s="10">
        <v>10360</v>
      </c>
      <c r="B114" s="11">
        <v>7</v>
      </c>
      <c r="C114" s="11">
        <v>4</v>
      </c>
      <c r="D114" s="12">
        <v>35391</v>
      </c>
      <c r="E114" s="11">
        <v>3</v>
      </c>
    </row>
    <row r="115" spans="1:5">
      <c r="A115" s="10">
        <v>10361</v>
      </c>
      <c r="B115" s="11">
        <v>63</v>
      </c>
      <c r="C115" s="11">
        <v>1</v>
      </c>
      <c r="D115" s="12">
        <v>35391</v>
      </c>
      <c r="E115" s="11">
        <v>2</v>
      </c>
    </row>
    <row r="116" spans="1:5">
      <c r="A116" s="10">
        <v>10362</v>
      </c>
      <c r="B116" s="11">
        <v>9</v>
      </c>
      <c r="C116" s="11">
        <v>3</v>
      </c>
      <c r="D116" s="12">
        <v>35394</v>
      </c>
      <c r="E116" s="11">
        <v>1</v>
      </c>
    </row>
    <row r="117" spans="1:5">
      <c r="A117" s="10">
        <v>10363</v>
      </c>
      <c r="B117" s="11">
        <v>17</v>
      </c>
      <c r="C117" s="11">
        <v>4</v>
      </c>
      <c r="D117" s="12">
        <v>35395</v>
      </c>
      <c r="E117" s="11">
        <v>3</v>
      </c>
    </row>
    <row r="118" spans="1:5">
      <c r="A118" s="10">
        <v>10364</v>
      </c>
      <c r="B118" s="11">
        <v>19</v>
      </c>
      <c r="C118" s="11">
        <v>1</v>
      </c>
      <c r="D118" s="12">
        <v>35395</v>
      </c>
      <c r="E118" s="11">
        <v>1</v>
      </c>
    </row>
    <row r="119" spans="1:5">
      <c r="A119" s="10">
        <v>10365</v>
      </c>
      <c r="B119" s="11">
        <v>3</v>
      </c>
      <c r="C119" s="11">
        <v>3</v>
      </c>
      <c r="D119" s="12">
        <v>35396</v>
      </c>
      <c r="E119" s="11">
        <v>2</v>
      </c>
    </row>
    <row r="120" spans="1:5">
      <c r="A120" s="10">
        <v>10366</v>
      </c>
      <c r="B120" s="11">
        <v>29</v>
      </c>
      <c r="C120" s="11">
        <v>8</v>
      </c>
      <c r="D120" s="12">
        <v>35397</v>
      </c>
      <c r="E120" s="11">
        <v>2</v>
      </c>
    </row>
    <row r="121" spans="1:5">
      <c r="A121" s="10">
        <v>10367</v>
      </c>
      <c r="B121" s="11">
        <v>83</v>
      </c>
      <c r="C121" s="11">
        <v>7</v>
      </c>
      <c r="D121" s="12">
        <v>35397</v>
      </c>
      <c r="E121" s="11">
        <v>3</v>
      </c>
    </row>
    <row r="122" spans="1:5">
      <c r="A122" s="10">
        <v>10368</v>
      </c>
      <c r="B122" s="11">
        <v>20</v>
      </c>
      <c r="C122" s="11">
        <v>2</v>
      </c>
      <c r="D122" s="12">
        <v>35398</v>
      </c>
      <c r="E122" s="11">
        <v>2</v>
      </c>
    </row>
    <row r="123" spans="1:5">
      <c r="A123" s="10">
        <v>10369</v>
      </c>
      <c r="B123" s="11">
        <v>75</v>
      </c>
      <c r="C123" s="11">
        <v>8</v>
      </c>
      <c r="D123" s="12">
        <v>35401</v>
      </c>
      <c r="E123" s="11">
        <v>2</v>
      </c>
    </row>
    <row r="124" spans="1:5">
      <c r="A124" s="10">
        <v>10370</v>
      </c>
      <c r="B124" s="11">
        <v>14</v>
      </c>
      <c r="C124" s="11">
        <v>6</v>
      </c>
      <c r="D124" s="12">
        <v>35402</v>
      </c>
      <c r="E124" s="11">
        <v>2</v>
      </c>
    </row>
    <row r="125" spans="1:5">
      <c r="A125" s="10">
        <v>10371</v>
      </c>
      <c r="B125" s="11">
        <v>41</v>
      </c>
      <c r="C125" s="11">
        <v>1</v>
      </c>
      <c r="D125" s="12">
        <v>35402</v>
      </c>
      <c r="E125" s="11">
        <v>1</v>
      </c>
    </row>
    <row r="126" spans="1:5">
      <c r="A126" s="10">
        <v>10372</v>
      </c>
      <c r="B126" s="11">
        <v>62</v>
      </c>
      <c r="C126" s="11">
        <v>5</v>
      </c>
      <c r="D126" s="12">
        <v>35403</v>
      </c>
      <c r="E126" s="11">
        <v>2</v>
      </c>
    </row>
    <row r="127" spans="1:5">
      <c r="A127" s="10">
        <v>10373</v>
      </c>
      <c r="B127" s="11">
        <v>37</v>
      </c>
      <c r="C127" s="11">
        <v>4</v>
      </c>
      <c r="D127" s="12">
        <v>35404</v>
      </c>
      <c r="E127" s="11">
        <v>3</v>
      </c>
    </row>
    <row r="128" spans="1:5">
      <c r="A128" s="10">
        <v>10374</v>
      </c>
      <c r="B128" s="11">
        <v>91</v>
      </c>
      <c r="C128" s="11">
        <v>1</v>
      </c>
      <c r="D128" s="12">
        <v>35404</v>
      </c>
      <c r="E128" s="11">
        <v>3</v>
      </c>
    </row>
    <row r="129" spans="1:5">
      <c r="A129" s="10">
        <v>10375</v>
      </c>
      <c r="B129" s="11">
        <v>36</v>
      </c>
      <c r="C129" s="11">
        <v>3</v>
      </c>
      <c r="D129" s="12">
        <v>35405</v>
      </c>
      <c r="E129" s="11">
        <v>2</v>
      </c>
    </row>
    <row r="130" spans="1:5">
      <c r="A130" s="10">
        <v>10376</v>
      </c>
      <c r="B130" s="11">
        <v>51</v>
      </c>
      <c r="C130" s="11">
        <v>1</v>
      </c>
      <c r="D130" s="12">
        <v>35408</v>
      </c>
      <c r="E130" s="11">
        <v>2</v>
      </c>
    </row>
    <row r="131" spans="1:5">
      <c r="A131" s="10">
        <v>10377</v>
      </c>
      <c r="B131" s="11">
        <v>72</v>
      </c>
      <c r="C131" s="11">
        <v>1</v>
      </c>
      <c r="D131" s="12">
        <v>35408</v>
      </c>
      <c r="E131" s="11">
        <v>3</v>
      </c>
    </row>
    <row r="132" spans="1:5">
      <c r="A132" s="10">
        <v>10378</v>
      </c>
      <c r="B132" s="11">
        <v>24</v>
      </c>
      <c r="C132" s="11">
        <v>5</v>
      </c>
      <c r="D132" s="12">
        <v>35409</v>
      </c>
      <c r="E132" s="11">
        <v>3</v>
      </c>
    </row>
    <row r="133" spans="1:5">
      <c r="A133" s="10">
        <v>10379</v>
      </c>
      <c r="B133" s="11">
        <v>61</v>
      </c>
      <c r="C133" s="11">
        <v>2</v>
      </c>
      <c r="D133" s="12">
        <v>35410</v>
      </c>
      <c r="E133" s="11">
        <v>1</v>
      </c>
    </row>
    <row r="134" spans="1:5">
      <c r="A134" s="10">
        <v>10380</v>
      </c>
      <c r="B134" s="11">
        <v>37</v>
      </c>
      <c r="C134" s="11">
        <v>8</v>
      </c>
      <c r="D134" s="12">
        <v>35411</v>
      </c>
      <c r="E134" s="11">
        <v>3</v>
      </c>
    </row>
    <row r="135" spans="1:5">
      <c r="A135" s="10">
        <v>10381</v>
      </c>
      <c r="B135" s="11">
        <v>46</v>
      </c>
      <c r="C135" s="11">
        <v>3</v>
      </c>
      <c r="D135" s="12">
        <v>35411</v>
      </c>
      <c r="E135" s="11">
        <v>3</v>
      </c>
    </row>
    <row r="136" spans="1:5">
      <c r="A136" s="10">
        <v>10382</v>
      </c>
      <c r="B136" s="11">
        <v>20</v>
      </c>
      <c r="C136" s="11">
        <v>4</v>
      </c>
      <c r="D136" s="12">
        <v>35412</v>
      </c>
      <c r="E136" s="11">
        <v>1</v>
      </c>
    </row>
    <row r="137" spans="1:5">
      <c r="A137" s="10">
        <v>10383</v>
      </c>
      <c r="B137" s="11">
        <v>4</v>
      </c>
      <c r="C137" s="11">
        <v>8</v>
      </c>
      <c r="D137" s="12">
        <v>35415</v>
      </c>
      <c r="E137" s="11">
        <v>3</v>
      </c>
    </row>
    <row r="138" spans="1:5">
      <c r="A138" s="10">
        <v>10384</v>
      </c>
      <c r="B138" s="11">
        <v>5</v>
      </c>
      <c r="C138" s="11">
        <v>3</v>
      </c>
      <c r="D138" s="12">
        <v>35415</v>
      </c>
      <c r="E138" s="11">
        <v>3</v>
      </c>
    </row>
    <row r="139" spans="1:5">
      <c r="A139" s="10">
        <v>10385</v>
      </c>
      <c r="B139" s="11">
        <v>75</v>
      </c>
      <c r="C139" s="11">
        <v>1</v>
      </c>
      <c r="D139" s="12">
        <v>35416</v>
      </c>
      <c r="E139" s="11">
        <v>2</v>
      </c>
    </row>
    <row r="140" spans="1:5">
      <c r="A140" s="10">
        <v>10386</v>
      </c>
      <c r="B140" s="11">
        <v>21</v>
      </c>
      <c r="C140" s="11">
        <v>9</v>
      </c>
      <c r="D140" s="12">
        <v>35417</v>
      </c>
      <c r="E140" s="11">
        <v>3</v>
      </c>
    </row>
    <row r="141" spans="1:5">
      <c r="A141" s="10">
        <v>10387</v>
      </c>
      <c r="B141" s="11">
        <v>70</v>
      </c>
      <c r="C141" s="11">
        <v>1</v>
      </c>
      <c r="D141" s="12">
        <v>35417</v>
      </c>
      <c r="E141" s="11">
        <v>2</v>
      </c>
    </row>
    <row r="142" spans="1:5">
      <c r="A142" s="10">
        <v>10388</v>
      </c>
      <c r="B142" s="11">
        <v>72</v>
      </c>
      <c r="C142" s="11">
        <v>2</v>
      </c>
      <c r="D142" s="12">
        <v>35418</v>
      </c>
      <c r="E142" s="11">
        <v>1</v>
      </c>
    </row>
    <row r="143" spans="1:5">
      <c r="A143" s="10">
        <v>10389</v>
      </c>
      <c r="B143" s="11">
        <v>10</v>
      </c>
      <c r="C143" s="11">
        <v>4</v>
      </c>
      <c r="D143" s="12">
        <v>35419</v>
      </c>
      <c r="E143" s="11">
        <v>2</v>
      </c>
    </row>
    <row r="144" spans="1:5">
      <c r="A144" s="10">
        <v>10390</v>
      </c>
      <c r="B144" s="11">
        <v>20</v>
      </c>
      <c r="C144" s="11">
        <v>6</v>
      </c>
      <c r="D144" s="12">
        <v>35422</v>
      </c>
      <c r="E144" s="11">
        <v>1</v>
      </c>
    </row>
    <row r="145" spans="1:5">
      <c r="A145" s="10">
        <v>10391</v>
      </c>
      <c r="B145" s="11">
        <v>17</v>
      </c>
      <c r="C145" s="11">
        <v>3</v>
      </c>
      <c r="D145" s="12">
        <v>35422</v>
      </c>
      <c r="E145" s="11">
        <v>3</v>
      </c>
    </row>
    <row r="146" spans="1:5">
      <c r="A146" s="10">
        <v>10392</v>
      </c>
      <c r="B146" s="11">
        <v>59</v>
      </c>
      <c r="C146" s="11">
        <v>2</v>
      </c>
      <c r="D146" s="12">
        <v>35423</v>
      </c>
      <c r="E146" s="11">
        <v>3</v>
      </c>
    </row>
    <row r="147" spans="1:5">
      <c r="A147" s="10">
        <v>10393</v>
      </c>
      <c r="B147" s="11">
        <v>71</v>
      </c>
      <c r="C147" s="11">
        <v>1</v>
      </c>
      <c r="D147" s="12">
        <v>35424</v>
      </c>
      <c r="E147" s="11">
        <v>3</v>
      </c>
    </row>
    <row r="148" spans="1:5">
      <c r="A148" s="10">
        <v>10394</v>
      </c>
      <c r="B148" s="11">
        <v>36</v>
      </c>
      <c r="C148" s="11">
        <v>1</v>
      </c>
      <c r="D148" s="12">
        <v>35424</v>
      </c>
      <c r="E148" s="11">
        <v>3</v>
      </c>
    </row>
    <row r="149" spans="1:5">
      <c r="A149" s="10">
        <v>10395</v>
      </c>
      <c r="B149" s="11">
        <v>35</v>
      </c>
      <c r="C149" s="11">
        <v>6</v>
      </c>
      <c r="D149" s="12">
        <v>35425</v>
      </c>
      <c r="E149" s="11">
        <v>1</v>
      </c>
    </row>
    <row r="150" spans="1:5">
      <c r="A150" s="10">
        <v>10396</v>
      </c>
      <c r="B150" s="11">
        <v>25</v>
      </c>
      <c r="C150" s="11">
        <v>1</v>
      </c>
      <c r="D150" s="12">
        <v>35426</v>
      </c>
      <c r="E150" s="11">
        <v>3</v>
      </c>
    </row>
    <row r="151" spans="1:5">
      <c r="A151" s="10">
        <v>10397</v>
      </c>
      <c r="B151" s="11">
        <v>60</v>
      </c>
      <c r="C151" s="11">
        <v>5</v>
      </c>
      <c r="D151" s="12">
        <v>35426</v>
      </c>
      <c r="E151" s="11">
        <v>1</v>
      </c>
    </row>
    <row r="152" spans="1:5">
      <c r="A152" s="10">
        <v>10398</v>
      </c>
      <c r="B152" s="11">
        <v>71</v>
      </c>
      <c r="C152" s="11">
        <v>2</v>
      </c>
      <c r="D152" s="12">
        <v>35429</v>
      </c>
      <c r="E152" s="11">
        <v>3</v>
      </c>
    </row>
    <row r="153" spans="1:5">
      <c r="A153" s="10">
        <v>10399</v>
      </c>
      <c r="B153" s="11">
        <v>83</v>
      </c>
      <c r="C153" s="11">
        <v>8</v>
      </c>
      <c r="D153" s="12">
        <v>35430</v>
      </c>
      <c r="E153" s="11">
        <v>3</v>
      </c>
    </row>
    <row r="154" spans="1:5">
      <c r="A154" s="10">
        <v>10400</v>
      </c>
      <c r="B154" s="11">
        <v>19</v>
      </c>
      <c r="C154" s="11">
        <v>1</v>
      </c>
      <c r="D154" s="12">
        <v>35431</v>
      </c>
      <c r="E154" s="11">
        <v>3</v>
      </c>
    </row>
    <row r="155" spans="1:5">
      <c r="A155" s="10">
        <v>10401</v>
      </c>
      <c r="B155" s="11">
        <v>65</v>
      </c>
      <c r="C155" s="11">
        <v>1</v>
      </c>
      <c r="D155" s="12">
        <v>35431</v>
      </c>
      <c r="E155" s="11">
        <v>1</v>
      </c>
    </row>
    <row r="156" spans="1:5">
      <c r="A156" s="10">
        <v>10402</v>
      </c>
      <c r="B156" s="11">
        <v>20</v>
      </c>
      <c r="C156" s="11">
        <v>8</v>
      </c>
      <c r="D156" s="12">
        <v>35432</v>
      </c>
      <c r="E156" s="11">
        <v>2</v>
      </c>
    </row>
    <row r="157" spans="1:5">
      <c r="A157" s="10">
        <v>10403</v>
      </c>
      <c r="B157" s="11">
        <v>20</v>
      </c>
      <c r="C157" s="11">
        <v>4</v>
      </c>
      <c r="D157" s="12">
        <v>35433</v>
      </c>
      <c r="E157" s="11">
        <v>3</v>
      </c>
    </row>
    <row r="158" spans="1:5">
      <c r="A158" s="10">
        <v>10404</v>
      </c>
      <c r="B158" s="11">
        <v>49</v>
      </c>
      <c r="C158" s="11">
        <v>2</v>
      </c>
      <c r="D158" s="12">
        <v>35433</v>
      </c>
      <c r="E158" s="11">
        <v>1</v>
      </c>
    </row>
    <row r="159" spans="1:5">
      <c r="A159" s="10">
        <v>10405</v>
      </c>
      <c r="B159" s="11">
        <v>47</v>
      </c>
      <c r="C159" s="11">
        <v>1</v>
      </c>
      <c r="D159" s="12">
        <v>35436</v>
      </c>
      <c r="E159" s="11">
        <v>1</v>
      </c>
    </row>
    <row r="160" spans="1:5">
      <c r="A160" s="10">
        <v>10406</v>
      </c>
      <c r="B160" s="11">
        <v>62</v>
      </c>
      <c r="C160" s="11">
        <v>7</v>
      </c>
      <c r="D160" s="12">
        <v>35437</v>
      </c>
      <c r="E160" s="11">
        <v>1</v>
      </c>
    </row>
    <row r="161" spans="1:5">
      <c r="A161" s="10">
        <v>10407</v>
      </c>
      <c r="B161" s="11">
        <v>56</v>
      </c>
      <c r="C161" s="11">
        <v>2</v>
      </c>
      <c r="D161" s="12">
        <v>35437</v>
      </c>
      <c r="E161" s="11">
        <v>2</v>
      </c>
    </row>
    <row r="162" spans="1:5">
      <c r="A162" s="10">
        <v>10408</v>
      </c>
      <c r="B162" s="11">
        <v>23</v>
      </c>
      <c r="C162" s="11">
        <v>8</v>
      </c>
      <c r="D162" s="12">
        <v>35438</v>
      </c>
      <c r="E162" s="11">
        <v>1</v>
      </c>
    </row>
    <row r="163" spans="1:5">
      <c r="A163" s="10">
        <v>10409</v>
      </c>
      <c r="B163" s="11">
        <v>54</v>
      </c>
      <c r="C163" s="11">
        <v>3</v>
      </c>
      <c r="D163" s="12">
        <v>35439</v>
      </c>
      <c r="E163" s="11">
        <v>1</v>
      </c>
    </row>
    <row r="164" spans="1:5">
      <c r="A164" s="10">
        <v>10410</v>
      </c>
      <c r="B164" s="11">
        <v>10</v>
      </c>
      <c r="C164" s="11">
        <v>3</v>
      </c>
      <c r="D164" s="12">
        <v>35440</v>
      </c>
      <c r="E164" s="11">
        <v>3</v>
      </c>
    </row>
    <row r="165" spans="1:5">
      <c r="A165" s="10">
        <v>10411</v>
      </c>
      <c r="B165" s="11">
        <v>10</v>
      </c>
      <c r="C165" s="11">
        <v>9</v>
      </c>
      <c r="D165" s="12">
        <v>35440</v>
      </c>
      <c r="E165" s="11">
        <v>3</v>
      </c>
    </row>
    <row r="166" spans="1:5">
      <c r="A166" s="10">
        <v>10412</v>
      </c>
      <c r="B166" s="11">
        <v>87</v>
      </c>
      <c r="C166" s="11">
        <v>8</v>
      </c>
      <c r="D166" s="12">
        <v>35443</v>
      </c>
      <c r="E166" s="11">
        <v>2</v>
      </c>
    </row>
    <row r="167" spans="1:5">
      <c r="A167" s="10">
        <v>10413</v>
      </c>
      <c r="B167" s="11">
        <v>41</v>
      </c>
      <c r="C167" s="11">
        <v>3</v>
      </c>
      <c r="D167" s="12">
        <v>35444</v>
      </c>
      <c r="E167" s="11">
        <v>2</v>
      </c>
    </row>
    <row r="168" spans="1:5">
      <c r="A168" s="10">
        <v>10414</v>
      </c>
      <c r="B168" s="11">
        <v>21</v>
      </c>
      <c r="C168" s="11">
        <v>2</v>
      </c>
      <c r="D168" s="12">
        <v>35444</v>
      </c>
      <c r="E168" s="11">
        <v>3</v>
      </c>
    </row>
    <row r="169" spans="1:5">
      <c r="A169" s="10">
        <v>10415</v>
      </c>
      <c r="B169" s="11">
        <v>36</v>
      </c>
      <c r="C169" s="11">
        <v>3</v>
      </c>
      <c r="D169" s="12">
        <v>35445</v>
      </c>
      <c r="E169" s="11">
        <v>1</v>
      </c>
    </row>
    <row r="170" spans="1:5">
      <c r="A170" s="10">
        <v>10416</v>
      </c>
      <c r="B170" s="11">
        <v>87</v>
      </c>
      <c r="C170" s="11">
        <v>8</v>
      </c>
      <c r="D170" s="12">
        <v>35446</v>
      </c>
      <c r="E170" s="11">
        <v>3</v>
      </c>
    </row>
    <row r="171" spans="1:5">
      <c r="A171" s="10">
        <v>10417</v>
      </c>
      <c r="B171" s="11">
        <v>73</v>
      </c>
      <c r="C171" s="11">
        <v>4</v>
      </c>
      <c r="D171" s="12">
        <v>35446</v>
      </c>
      <c r="E171" s="11">
        <v>3</v>
      </c>
    </row>
    <row r="172" spans="1:5">
      <c r="A172" s="10">
        <v>10418</v>
      </c>
      <c r="B172" s="11">
        <v>63</v>
      </c>
      <c r="C172" s="11">
        <v>4</v>
      </c>
      <c r="D172" s="12">
        <v>35447</v>
      </c>
      <c r="E172" s="11">
        <v>1</v>
      </c>
    </row>
    <row r="173" spans="1:5">
      <c r="A173" s="10">
        <v>10419</v>
      </c>
      <c r="B173" s="11">
        <v>68</v>
      </c>
      <c r="C173" s="11">
        <v>4</v>
      </c>
      <c r="D173" s="12">
        <v>35450</v>
      </c>
      <c r="E173" s="11">
        <v>2</v>
      </c>
    </row>
    <row r="174" spans="1:5">
      <c r="A174" s="10">
        <v>10420</v>
      </c>
      <c r="B174" s="11">
        <v>88</v>
      </c>
      <c r="C174" s="11">
        <v>3</v>
      </c>
      <c r="D174" s="12">
        <v>35451</v>
      </c>
      <c r="E174" s="11">
        <v>1</v>
      </c>
    </row>
    <row r="175" spans="1:5">
      <c r="A175" s="10">
        <v>10421</v>
      </c>
      <c r="B175" s="11">
        <v>61</v>
      </c>
      <c r="C175" s="11">
        <v>8</v>
      </c>
      <c r="D175" s="12">
        <v>35451</v>
      </c>
      <c r="E175" s="11">
        <v>1</v>
      </c>
    </row>
    <row r="176" spans="1:5">
      <c r="A176" s="10">
        <v>10422</v>
      </c>
      <c r="B176" s="11">
        <v>27</v>
      </c>
      <c r="C176" s="11">
        <v>2</v>
      </c>
      <c r="D176" s="12">
        <v>35452</v>
      </c>
      <c r="E176" s="11">
        <v>1</v>
      </c>
    </row>
    <row r="177" spans="1:5">
      <c r="A177" s="10">
        <v>10423</v>
      </c>
      <c r="B177" s="11">
        <v>31</v>
      </c>
      <c r="C177" s="11">
        <v>6</v>
      </c>
      <c r="D177" s="12">
        <v>35453</v>
      </c>
      <c r="E177" s="11">
        <v>3</v>
      </c>
    </row>
    <row r="178" spans="1:5">
      <c r="A178" s="10">
        <v>10424</v>
      </c>
      <c r="B178" s="11">
        <v>51</v>
      </c>
      <c r="C178" s="11">
        <v>7</v>
      </c>
      <c r="D178" s="12">
        <v>35453</v>
      </c>
      <c r="E178" s="11">
        <v>2</v>
      </c>
    </row>
    <row r="179" spans="1:5">
      <c r="A179" s="10">
        <v>10425</v>
      </c>
      <c r="B179" s="11">
        <v>41</v>
      </c>
      <c r="C179" s="11">
        <v>6</v>
      </c>
      <c r="D179" s="12">
        <v>35454</v>
      </c>
      <c r="E179" s="11">
        <v>2</v>
      </c>
    </row>
    <row r="180" spans="1:5">
      <c r="A180" s="10">
        <v>10426</v>
      </c>
      <c r="B180" s="11">
        <v>29</v>
      </c>
      <c r="C180" s="11">
        <v>4</v>
      </c>
      <c r="D180" s="12">
        <v>35457</v>
      </c>
      <c r="E180" s="11">
        <v>1</v>
      </c>
    </row>
    <row r="181" spans="1:5">
      <c r="A181" s="10">
        <v>10427</v>
      </c>
      <c r="B181" s="11">
        <v>59</v>
      </c>
      <c r="C181" s="11">
        <v>4</v>
      </c>
      <c r="D181" s="12">
        <v>35457</v>
      </c>
      <c r="E181" s="11">
        <v>2</v>
      </c>
    </row>
    <row r="182" spans="1:5">
      <c r="A182" s="10">
        <v>10428</v>
      </c>
      <c r="B182" s="11">
        <v>66</v>
      </c>
      <c r="C182" s="11">
        <v>7</v>
      </c>
      <c r="D182" s="12">
        <v>35458</v>
      </c>
      <c r="E182" s="11">
        <v>1</v>
      </c>
    </row>
    <row r="183" spans="1:5">
      <c r="A183" s="10">
        <v>10429</v>
      </c>
      <c r="B183" s="11">
        <v>37</v>
      </c>
      <c r="C183" s="11">
        <v>3</v>
      </c>
      <c r="D183" s="12">
        <v>35459</v>
      </c>
      <c r="E183" s="11">
        <v>2</v>
      </c>
    </row>
    <row r="184" spans="1:5">
      <c r="A184" s="10">
        <v>10430</v>
      </c>
      <c r="B184" s="11">
        <v>20</v>
      </c>
      <c r="C184" s="11">
        <v>4</v>
      </c>
      <c r="D184" s="12">
        <v>35460</v>
      </c>
      <c r="E184" s="11">
        <v>1</v>
      </c>
    </row>
    <row r="185" spans="1:5">
      <c r="A185" s="10">
        <v>10431</v>
      </c>
      <c r="B185" s="11">
        <v>10</v>
      </c>
      <c r="C185" s="11">
        <v>4</v>
      </c>
      <c r="D185" s="12">
        <v>35460</v>
      </c>
      <c r="E185" s="11">
        <v>2</v>
      </c>
    </row>
    <row r="186" spans="1:5">
      <c r="A186" s="10">
        <v>10432</v>
      </c>
      <c r="B186" s="11">
        <v>75</v>
      </c>
      <c r="C186" s="11">
        <v>3</v>
      </c>
      <c r="D186" s="12">
        <v>35461</v>
      </c>
      <c r="E186" s="11">
        <v>2</v>
      </c>
    </row>
    <row r="187" spans="1:5">
      <c r="A187" s="10">
        <v>10433</v>
      </c>
      <c r="B187" s="11">
        <v>60</v>
      </c>
      <c r="C187" s="11">
        <v>3</v>
      </c>
      <c r="D187" s="12">
        <v>35464</v>
      </c>
      <c r="E187" s="11">
        <v>3</v>
      </c>
    </row>
    <row r="188" spans="1:5">
      <c r="A188" s="10">
        <v>10434</v>
      </c>
      <c r="B188" s="11">
        <v>24</v>
      </c>
      <c r="C188" s="11">
        <v>3</v>
      </c>
      <c r="D188" s="12">
        <v>35464</v>
      </c>
      <c r="E188" s="11">
        <v>2</v>
      </c>
    </row>
    <row r="189" spans="1:5">
      <c r="A189" s="10">
        <v>10435</v>
      </c>
      <c r="B189" s="11">
        <v>16</v>
      </c>
      <c r="C189" s="11">
        <v>8</v>
      </c>
      <c r="D189" s="12">
        <v>35465</v>
      </c>
      <c r="E189" s="11">
        <v>2</v>
      </c>
    </row>
    <row r="190" spans="1:5">
      <c r="A190" s="10">
        <v>10436</v>
      </c>
      <c r="B190" s="11">
        <v>7</v>
      </c>
      <c r="C190" s="11">
        <v>3</v>
      </c>
      <c r="D190" s="12">
        <v>35466</v>
      </c>
      <c r="E190" s="11">
        <v>2</v>
      </c>
    </row>
    <row r="191" spans="1:5">
      <c r="A191" s="10">
        <v>10437</v>
      </c>
      <c r="B191" s="11">
        <v>87</v>
      </c>
      <c r="C191" s="11">
        <v>8</v>
      </c>
      <c r="D191" s="12">
        <v>35466</v>
      </c>
      <c r="E191" s="11">
        <v>1</v>
      </c>
    </row>
    <row r="192" spans="1:5">
      <c r="A192" s="10">
        <v>10438</v>
      </c>
      <c r="B192" s="11">
        <v>79</v>
      </c>
      <c r="C192" s="11">
        <v>3</v>
      </c>
      <c r="D192" s="12">
        <v>35467</v>
      </c>
      <c r="E192" s="11">
        <v>2</v>
      </c>
    </row>
    <row r="193" spans="1:5">
      <c r="A193" s="10">
        <v>10439</v>
      </c>
      <c r="B193" s="11">
        <v>51</v>
      </c>
      <c r="C193" s="11">
        <v>6</v>
      </c>
      <c r="D193" s="12">
        <v>35468</v>
      </c>
      <c r="E193" s="11">
        <v>3</v>
      </c>
    </row>
    <row r="194" spans="1:5">
      <c r="A194" s="10">
        <v>10440</v>
      </c>
      <c r="B194" s="11">
        <v>71</v>
      </c>
      <c r="C194" s="11">
        <v>4</v>
      </c>
      <c r="D194" s="12">
        <v>35471</v>
      </c>
      <c r="E194" s="11">
        <v>2</v>
      </c>
    </row>
    <row r="195" spans="1:5">
      <c r="A195" s="10">
        <v>10441</v>
      </c>
      <c r="B195" s="11">
        <v>55</v>
      </c>
      <c r="C195" s="11">
        <v>3</v>
      </c>
      <c r="D195" s="12">
        <v>35471</v>
      </c>
      <c r="E195" s="11">
        <v>2</v>
      </c>
    </row>
    <row r="196" spans="1:5">
      <c r="A196" s="10">
        <v>10442</v>
      </c>
      <c r="B196" s="11">
        <v>20</v>
      </c>
      <c r="C196" s="11">
        <v>3</v>
      </c>
      <c r="D196" s="12">
        <v>35472</v>
      </c>
      <c r="E196" s="11">
        <v>2</v>
      </c>
    </row>
    <row r="197" spans="1:5">
      <c r="A197" s="13">
        <v>10443</v>
      </c>
      <c r="B197" s="14">
        <v>66</v>
      </c>
      <c r="C197" s="14">
        <v>8</v>
      </c>
      <c r="D197" s="15">
        <v>35473</v>
      </c>
      <c r="E197" s="14">
        <v>1</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78"/>
  <sheetViews>
    <sheetView workbookViewId="0">
      <pane ySplit="1" topLeftCell="A2" activePane="bottomLeft" state="frozen"/>
      <selection pane="bottomLeft" activeCell="E56" sqref="E56"/>
    </sheetView>
  </sheetViews>
  <sheetFormatPr defaultRowHeight="14.5"/>
  <cols>
    <col min="1" max="1" width="14.26953125" bestFit="1" customWidth="1"/>
    <col min="2" max="2" width="31.81640625" bestFit="1" customWidth="1"/>
    <col min="3" max="3" width="14.81640625" bestFit="1" customWidth="1"/>
    <col min="4" max="4" width="17" customWidth="1"/>
    <col min="5" max="5" width="20.1796875" customWidth="1"/>
    <col min="6" max="6" width="12.81640625" customWidth="1"/>
  </cols>
  <sheetData>
    <row r="1" spans="1:6" s="7" customFormat="1">
      <c r="A1" s="6" t="s">
        <v>461</v>
      </c>
      <c r="B1" s="6" t="s">
        <v>465</v>
      </c>
      <c r="C1" s="6" t="s">
        <v>466</v>
      </c>
      <c r="D1" s="6" t="s">
        <v>0</v>
      </c>
      <c r="E1" s="6" t="s">
        <v>467</v>
      </c>
      <c r="F1" s="6" t="s">
        <v>468</v>
      </c>
    </row>
    <row r="2" spans="1:6">
      <c r="A2">
        <v>1</v>
      </c>
      <c r="B2" t="s">
        <v>469</v>
      </c>
      <c r="C2">
        <v>1</v>
      </c>
      <c r="D2">
        <v>1</v>
      </c>
      <c r="E2" t="s">
        <v>470</v>
      </c>
      <c r="F2">
        <v>18</v>
      </c>
    </row>
    <row r="3" spans="1:6">
      <c r="A3">
        <v>2</v>
      </c>
      <c r="B3" t="s">
        <v>471</v>
      </c>
      <c r="C3">
        <v>1</v>
      </c>
      <c r="D3">
        <v>1</v>
      </c>
      <c r="E3" t="s">
        <v>472</v>
      </c>
      <c r="F3">
        <v>19</v>
      </c>
    </row>
    <row r="4" spans="1:6">
      <c r="A4">
        <v>3</v>
      </c>
      <c r="B4" t="s">
        <v>473</v>
      </c>
      <c r="C4">
        <v>1</v>
      </c>
      <c r="D4">
        <v>2</v>
      </c>
      <c r="E4" t="s">
        <v>474</v>
      </c>
      <c r="F4">
        <v>10</v>
      </c>
    </row>
    <row r="5" spans="1:6">
      <c r="A5">
        <v>4</v>
      </c>
      <c r="B5" t="s">
        <v>475</v>
      </c>
      <c r="C5">
        <v>2</v>
      </c>
      <c r="D5">
        <v>2</v>
      </c>
      <c r="E5" t="s">
        <v>476</v>
      </c>
      <c r="F5">
        <v>22</v>
      </c>
    </row>
    <row r="6" spans="1:6">
      <c r="A6">
        <v>5</v>
      </c>
      <c r="B6" t="s">
        <v>477</v>
      </c>
      <c r="C6">
        <v>2</v>
      </c>
      <c r="D6">
        <v>2</v>
      </c>
      <c r="E6" t="s">
        <v>478</v>
      </c>
      <c r="F6">
        <v>21</v>
      </c>
    </row>
    <row r="7" spans="1:6">
      <c r="A7">
        <v>6</v>
      </c>
      <c r="B7" t="s">
        <v>479</v>
      </c>
      <c r="C7">
        <v>3</v>
      </c>
      <c r="D7">
        <v>2</v>
      </c>
      <c r="E7" t="s">
        <v>480</v>
      </c>
      <c r="F7">
        <v>25</v>
      </c>
    </row>
    <row r="8" spans="1:6">
      <c r="A8">
        <v>7</v>
      </c>
      <c r="B8" t="s">
        <v>481</v>
      </c>
      <c r="C8">
        <v>3</v>
      </c>
      <c r="D8">
        <v>7</v>
      </c>
      <c r="E8" t="s">
        <v>482</v>
      </c>
      <c r="F8">
        <v>30</v>
      </c>
    </row>
    <row r="9" spans="1:6">
      <c r="A9">
        <v>8</v>
      </c>
      <c r="B9" t="s">
        <v>483</v>
      </c>
      <c r="C9">
        <v>3</v>
      </c>
      <c r="D9">
        <v>2</v>
      </c>
      <c r="E9" t="s">
        <v>484</v>
      </c>
      <c r="F9">
        <v>40</v>
      </c>
    </row>
    <row r="10" spans="1:6">
      <c r="A10">
        <v>9</v>
      </c>
      <c r="B10" t="s">
        <v>485</v>
      </c>
      <c r="C10">
        <v>4</v>
      </c>
      <c r="D10">
        <v>6</v>
      </c>
      <c r="E10" t="s">
        <v>486</v>
      </c>
      <c r="F10">
        <v>97</v>
      </c>
    </row>
    <row r="11" spans="1:6">
      <c r="A11">
        <v>10</v>
      </c>
      <c r="B11" t="s">
        <v>487</v>
      </c>
      <c r="C11">
        <v>4</v>
      </c>
      <c r="D11">
        <v>8</v>
      </c>
      <c r="E11" t="s">
        <v>488</v>
      </c>
      <c r="F11">
        <v>31</v>
      </c>
    </row>
    <row r="12" spans="1:6">
      <c r="A12">
        <v>11</v>
      </c>
      <c r="B12" t="s">
        <v>489</v>
      </c>
      <c r="C12">
        <v>5</v>
      </c>
      <c r="D12">
        <v>4</v>
      </c>
      <c r="E12" t="s">
        <v>490</v>
      </c>
      <c r="F12">
        <v>21</v>
      </c>
    </row>
    <row r="13" spans="1:6">
      <c r="A13">
        <v>12</v>
      </c>
      <c r="B13" t="s">
        <v>491</v>
      </c>
      <c r="C13">
        <v>5</v>
      </c>
      <c r="D13">
        <v>4</v>
      </c>
      <c r="E13" t="s">
        <v>492</v>
      </c>
      <c r="F13">
        <v>38</v>
      </c>
    </row>
    <row r="14" spans="1:6">
      <c r="A14">
        <v>13</v>
      </c>
      <c r="B14" t="s">
        <v>493</v>
      </c>
      <c r="C14">
        <v>6</v>
      </c>
      <c r="D14">
        <v>8</v>
      </c>
      <c r="E14" t="s">
        <v>494</v>
      </c>
      <c r="F14">
        <v>6</v>
      </c>
    </row>
    <row r="15" spans="1:6">
      <c r="A15">
        <v>14</v>
      </c>
      <c r="B15" t="s">
        <v>495</v>
      </c>
      <c r="C15">
        <v>6</v>
      </c>
      <c r="D15">
        <v>7</v>
      </c>
      <c r="E15" t="s">
        <v>496</v>
      </c>
      <c r="F15">
        <v>23</v>
      </c>
    </row>
    <row r="16" spans="1:6">
      <c r="A16">
        <v>15</v>
      </c>
      <c r="B16" t="s">
        <v>497</v>
      </c>
      <c r="C16">
        <v>6</v>
      </c>
      <c r="D16">
        <v>2</v>
      </c>
      <c r="E16" t="s">
        <v>498</v>
      </c>
      <c r="F16">
        <v>16</v>
      </c>
    </row>
    <row r="17" spans="1:6">
      <c r="A17">
        <v>16</v>
      </c>
      <c r="B17" t="s">
        <v>499</v>
      </c>
      <c r="C17">
        <v>7</v>
      </c>
      <c r="D17">
        <v>3</v>
      </c>
      <c r="E17" t="s">
        <v>500</v>
      </c>
      <c r="F17">
        <v>17</v>
      </c>
    </row>
    <row r="18" spans="1:6">
      <c r="A18">
        <v>17</v>
      </c>
      <c r="B18" t="s">
        <v>501</v>
      </c>
      <c r="C18">
        <v>7</v>
      </c>
      <c r="D18">
        <v>6</v>
      </c>
      <c r="E18" t="s">
        <v>502</v>
      </c>
      <c r="F18">
        <v>39</v>
      </c>
    </row>
    <row r="19" spans="1:6">
      <c r="A19">
        <v>18</v>
      </c>
      <c r="B19" t="s">
        <v>503</v>
      </c>
      <c r="C19">
        <v>7</v>
      </c>
      <c r="D19">
        <v>8</v>
      </c>
      <c r="E19" t="s">
        <v>504</v>
      </c>
      <c r="F19">
        <v>63</v>
      </c>
    </row>
    <row r="20" spans="1:6">
      <c r="A20">
        <v>19</v>
      </c>
      <c r="B20" t="s">
        <v>505</v>
      </c>
      <c r="C20">
        <v>8</v>
      </c>
      <c r="D20">
        <v>3</v>
      </c>
      <c r="E20" t="s">
        <v>506</v>
      </c>
      <c r="F20">
        <v>9</v>
      </c>
    </row>
    <row r="21" spans="1:6">
      <c r="A21">
        <v>20</v>
      </c>
      <c r="B21" t="s">
        <v>507</v>
      </c>
      <c r="C21">
        <v>8</v>
      </c>
      <c r="D21">
        <v>3</v>
      </c>
      <c r="E21" t="s">
        <v>508</v>
      </c>
      <c r="F21">
        <v>81</v>
      </c>
    </row>
    <row r="22" spans="1:6">
      <c r="A22">
        <v>21</v>
      </c>
      <c r="B22" t="s">
        <v>509</v>
      </c>
      <c r="C22">
        <v>8</v>
      </c>
      <c r="D22">
        <v>3</v>
      </c>
      <c r="E22" t="s">
        <v>510</v>
      </c>
      <c r="F22">
        <v>10</v>
      </c>
    </row>
    <row r="23" spans="1:6">
      <c r="A23">
        <v>22</v>
      </c>
      <c r="B23" t="s">
        <v>511</v>
      </c>
      <c r="C23">
        <v>9</v>
      </c>
      <c r="D23">
        <v>5</v>
      </c>
      <c r="E23" t="s">
        <v>512</v>
      </c>
      <c r="F23">
        <v>21</v>
      </c>
    </row>
    <row r="24" spans="1:6">
      <c r="A24">
        <v>23</v>
      </c>
      <c r="B24" t="s">
        <v>513</v>
      </c>
      <c r="C24">
        <v>9</v>
      </c>
      <c r="D24">
        <v>5</v>
      </c>
      <c r="E24" t="s">
        <v>514</v>
      </c>
      <c r="F24">
        <v>9</v>
      </c>
    </row>
    <row r="25" spans="1:6">
      <c r="A25">
        <v>24</v>
      </c>
      <c r="B25" t="s">
        <v>515</v>
      </c>
      <c r="C25">
        <v>10</v>
      </c>
      <c r="D25">
        <v>1</v>
      </c>
      <c r="E25" t="s">
        <v>516</v>
      </c>
      <c r="F25">
        <v>5</v>
      </c>
    </row>
    <row r="26" spans="1:6">
      <c r="A26">
        <v>25</v>
      </c>
      <c r="B26" t="s">
        <v>517</v>
      </c>
      <c r="C26">
        <v>11</v>
      </c>
      <c r="D26">
        <v>3</v>
      </c>
      <c r="E26" t="s">
        <v>518</v>
      </c>
      <c r="F26">
        <v>14</v>
      </c>
    </row>
    <row r="27" spans="1:6">
      <c r="A27">
        <v>26</v>
      </c>
      <c r="B27" t="s">
        <v>519</v>
      </c>
      <c r="C27">
        <v>11</v>
      </c>
      <c r="D27">
        <v>3</v>
      </c>
      <c r="E27" t="s">
        <v>520</v>
      </c>
      <c r="F27">
        <v>31</v>
      </c>
    </row>
    <row r="28" spans="1:6">
      <c r="A28">
        <v>27</v>
      </c>
      <c r="B28" t="s">
        <v>521</v>
      </c>
      <c r="C28">
        <v>11</v>
      </c>
      <c r="D28">
        <v>3</v>
      </c>
      <c r="E28" t="s">
        <v>522</v>
      </c>
      <c r="F28">
        <v>44</v>
      </c>
    </row>
    <row r="29" spans="1:6">
      <c r="A29">
        <v>28</v>
      </c>
      <c r="B29" t="s">
        <v>523</v>
      </c>
      <c r="C29">
        <v>12</v>
      </c>
      <c r="D29">
        <v>7</v>
      </c>
      <c r="E29" t="s">
        <v>524</v>
      </c>
      <c r="F29">
        <v>46</v>
      </c>
    </row>
    <row r="30" spans="1:6">
      <c r="A30">
        <v>29</v>
      </c>
      <c r="B30" t="s">
        <v>525</v>
      </c>
      <c r="C30">
        <v>12</v>
      </c>
      <c r="D30">
        <v>6</v>
      </c>
      <c r="E30" t="s">
        <v>526</v>
      </c>
      <c r="F30">
        <v>124</v>
      </c>
    </row>
    <row r="31" spans="1:6">
      <c r="A31">
        <v>30</v>
      </c>
      <c r="B31" t="s">
        <v>527</v>
      </c>
      <c r="C31">
        <v>13</v>
      </c>
      <c r="D31">
        <v>8</v>
      </c>
      <c r="E31" t="s">
        <v>528</v>
      </c>
      <c r="F31">
        <v>26</v>
      </c>
    </row>
    <row r="32" spans="1:6">
      <c r="A32">
        <v>31</v>
      </c>
      <c r="B32" t="s">
        <v>529</v>
      </c>
      <c r="C32">
        <v>14</v>
      </c>
      <c r="D32">
        <v>4</v>
      </c>
      <c r="E32" t="s">
        <v>530</v>
      </c>
      <c r="F32">
        <v>13</v>
      </c>
    </row>
    <row r="33" spans="1:6">
      <c r="A33">
        <v>32</v>
      </c>
      <c r="B33" t="s">
        <v>531</v>
      </c>
      <c r="C33">
        <v>14</v>
      </c>
      <c r="D33">
        <v>4</v>
      </c>
      <c r="E33" t="s">
        <v>532</v>
      </c>
      <c r="F33">
        <v>32</v>
      </c>
    </row>
    <row r="34" spans="1:6">
      <c r="A34">
        <v>33</v>
      </c>
      <c r="B34" t="s">
        <v>533</v>
      </c>
      <c r="C34">
        <v>15</v>
      </c>
      <c r="D34">
        <v>4</v>
      </c>
      <c r="E34" t="s">
        <v>534</v>
      </c>
      <c r="F34">
        <v>3</v>
      </c>
    </row>
    <row r="35" spans="1:6">
      <c r="A35">
        <v>34</v>
      </c>
      <c r="B35" t="s">
        <v>535</v>
      </c>
      <c r="C35">
        <v>16</v>
      </c>
      <c r="D35">
        <v>1</v>
      </c>
      <c r="E35" t="s">
        <v>472</v>
      </c>
      <c r="F35">
        <v>14</v>
      </c>
    </row>
    <row r="36" spans="1:6">
      <c r="A36">
        <v>35</v>
      </c>
      <c r="B36" t="s">
        <v>536</v>
      </c>
      <c r="C36">
        <v>16</v>
      </c>
      <c r="D36">
        <v>1</v>
      </c>
      <c r="E36" t="s">
        <v>472</v>
      </c>
      <c r="F36">
        <v>18</v>
      </c>
    </row>
    <row r="37" spans="1:6">
      <c r="A37">
        <v>36</v>
      </c>
      <c r="B37" t="s">
        <v>537</v>
      </c>
      <c r="C37">
        <v>17</v>
      </c>
      <c r="D37">
        <v>8</v>
      </c>
      <c r="E37" t="s">
        <v>538</v>
      </c>
      <c r="F37">
        <v>19</v>
      </c>
    </row>
    <row r="38" spans="1:6">
      <c r="A38">
        <v>37</v>
      </c>
      <c r="B38" t="s">
        <v>539</v>
      </c>
      <c r="C38">
        <v>17</v>
      </c>
      <c r="D38">
        <v>8</v>
      </c>
      <c r="E38" t="s">
        <v>540</v>
      </c>
      <c r="F38">
        <v>26</v>
      </c>
    </row>
    <row r="39" spans="1:6">
      <c r="A39">
        <v>38</v>
      </c>
      <c r="B39" t="s">
        <v>541</v>
      </c>
      <c r="C39">
        <v>18</v>
      </c>
      <c r="D39">
        <v>1</v>
      </c>
      <c r="E39" t="s">
        <v>542</v>
      </c>
      <c r="F39">
        <v>264</v>
      </c>
    </row>
    <row r="40" spans="1:6">
      <c r="A40">
        <v>39</v>
      </c>
      <c r="B40" t="s">
        <v>543</v>
      </c>
      <c r="C40">
        <v>18</v>
      </c>
      <c r="D40">
        <v>1</v>
      </c>
      <c r="E40" t="s">
        <v>544</v>
      </c>
      <c r="F40">
        <v>18</v>
      </c>
    </row>
    <row r="41" spans="1:6">
      <c r="A41">
        <v>40</v>
      </c>
      <c r="B41" t="s">
        <v>545</v>
      </c>
      <c r="C41">
        <v>19</v>
      </c>
      <c r="D41">
        <v>8</v>
      </c>
      <c r="E41" t="s">
        <v>546</v>
      </c>
      <c r="F41">
        <v>18</v>
      </c>
    </row>
    <row r="42" spans="1:6">
      <c r="A42">
        <v>41</v>
      </c>
      <c r="B42" t="s">
        <v>547</v>
      </c>
      <c r="C42">
        <v>19</v>
      </c>
      <c r="D42">
        <v>8</v>
      </c>
      <c r="E42" t="s">
        <v>548</v>
      </c>
      <c r="F42">
        <v>10</v>
      </c>
    </row>
    <row r="43" spans="1:6">
      <c r="A43">
        <v>42</v>
      </c>
      <c r="B43" t="s">
        <v>549</v>
      </c>
      <c r="C43">
        <v>20</v>
      </c>
      <c r="D43">
        <v>5</v>
      </c>
      <c r="E43" t="s">
        <v>550</v>
      </c>
      <c r="F43">
        <v>14</v>
      </c>
    </row>
    <row r="44" spans="1:6">
      <c r="A44">
        <v>43</v>
      </c>
      <c r="B44" t="s">
        <v>551</v>
      </c>
      <c r="C44">
        <v>20</v>
      </c>
      <c r="D44">
        <v>1</v>
      </c>
      <c r="E44" t="s">
        <v>552</v>
      </c>
      <c r="F44">
        <v>46</v>
      </c>
    </row>
    <row r="45" spans="1:6">
      <c r="A45">
        <v>44</v>
      </c>
      <c r="B45" t="s">
        <v>553</v>
      </c>
      <c r="C45">
        <v>20</v>
      </c>
      <c r="D45">
        <v>2</v>
      </c>
      <c r="E45" t="s">
        <v>554</v>
      </c>
      <c r="F45">
        <v>19</v>
      </c>
    </row>
    <row r="46" spans="1:6">
      <c r="A46">
        <v>45</v>
      </c>
      <c r="B46" t="s">
        <v>555</v>
      </c>
      <c r="C46">
        <v>21</v>
      </c>
      <c r="D46">
        <v>8</v>
      </c>
      <c r="E46" t="s">
        <v>556</v>
      </c>
      <c r="F46">
        <v>10</v>
      </c>
    </row>
    <row r="47" spans="1:6">
      <c r="A47">
        <v>46</v>
      </c>
      <c r="B47" t="s">
        <v>557</v>
      </c>
      <c r="C47">
        <v>21</v>
      </c>
      <c r="D47">
        <v>8</v>
      </c>
      <c r="E47" t="s">
        <v>558</v>
      </c>
      <c r="F47">
        <v>12</v>
      </c>
    </row>
    <row r="48" spans="1:6">
      <c r="A48">
        <v>47</v>
      </c>
      <c r="B48" t="s">
        <v>559</v>
      </c>
      <c r="C48">
        <v>22</v>
      </c>
      <c r="D48">
        <v>3</v>
      </c>
      <c r="E48" t="s">
        <v>560</v>
      </c>
      <c r="F48">
        <v>10</v>
      </c>
    </row>
    <row r="49" spans="1:6">
      <c r="A49">
        <v>48</v>
      </c>
      <c r="B49" t="s">
        <v>561</v>
      </c>
      <c r="C49">
        <v>22</v>
      </c>
      <c r="D49">
        <v>3</v>
      </c>
      <c r="E49" t="s">
        <v>562</v>
      </c>
      <c r="F49">
        <v>13</v>
      </c>
    </row>
    <row r="50" spans="1:6">
      <c r="A50">
        <v>49</v>
      </c>
      <c r="B50" t="s">
        <v>563</v>
      </c>
      <c r="C50">
        <v>23</v>
      </c>
      <c r="D50">
        <v>3</v>
      </c>
      <c r="E50" t="s">
        <v>564</v>
      </c>
      <c r="F50">
        <v>20</v>
      </c>
    </row>
    <row r="51" spans="1:6">
      <c r="A51">
        <v>50</v>
      </c>
      <c r="B51" t="s">
        <v>565</v>
      </c>
      <c r="C51">
        <v>23</v>
      </c>
      <c r="D51">
        <v>3</v>
      </c>
      <c r="E51" t="s">
        <v>566</v>
      </c>
      <c r="F51">
        <v>16</v>
      </c>
    </row>
    <row r="52" spans="1:6">
      <c r="A52">
        <v>51</v>
      </c>
      <c r="B52" t="s">
        <v>567</v>
      </c>
      <c r="C52">
        <v>24</v>
      </c>
      <c r="D52">
        <v>7</v>
      </c>
      <c r="E52" t="s">
        <v>568</v>
      </c>
      <c r="F52">
        <v>53</v>
      </c>
    </row>
    <row r="53" spans="1:6">
      <c r="A53">
        <v>52</v>
      </c>
      <c r="B53" t="s">
        <v>569</v>
      </c>
      <c r="C53">
        <v>24</v>
      </c>
      <c r="D53">
        <v>5</v>
      </c>
      <c r="E53" t="s">
        <v>570</v>
      </c>
      <c r="F53">
        <v>7</v>
      </c>
    </row>
    <row r="54" spans="1:6">
      <c r="A54">
        <v>53</v>
      </c>
      <c r="B54" t="s">
        <v>571</v>
      </c>
      <c r="C54">
        <v>24</v>
      </c>
      <c r="D54">
        <v>6</v>
      </c>
      <c r="E54" t="s">
        <v>572</v>
      </c>
      <c r="F54">
        <v>33</v>
      </c>
    </row>
    <row r="55" spans="1:6">
      <c r="A55">
        <v>54</v>
      </c>
      <c r="B55" t="s">
        <v>573</v>
      </c>
      <c r="C55">
        <v>25</v>
      </c>
      <c r="D55">
        <v>6</v>
      </c>
      <c r="E55" t="s">
        <v>574</v>
      </c>
      <c r="F55">
        <v>7</v>
      </c>
    </row>
    <row r="56" spans="1:6">
      <c r="A56">
        <v>55</v>
      </c>
      <c r="B56" t="s">
        <v>575</v>
      </c>
      <c r="C56">
        <v>25</v>
      </c>
      <c r="D56">
        <v>6</v>
      </c>
      <c r="E56" t="s">
        <v>576</v>
      </c>
      <c r="F56">
        <v>24</v>
      </c>
    </row>
    <row r="57" spans="1:6">
      <c r="A57">
        <v>56</v>
      </c>
      <c r="B57" t="s">
        <v>577</v>
      </c>
      <c r="C57">
        <v>26</v>
      </c>
      <c r="D57">
        <v>5</v>
      </c>
      <c r="E57" t="s">
        <v>578</v>
      </c>
      <c r="F57">
        <v>38</v>
      </c>
    </row>
    <row r="58" spans="1:6">
      <c r="A58">
        <v>57</v>
      </c>
      <c r="B58" t="s">
        <v>579</v>
      </c>
      <c r="C58">
        <v>26</v>
      </c>
      <c r="D58">
        <v>5</v>
      </c>
      <c r="E58" t="s">
        <v>578</v>
      </c>
      <c r="F58">
        <v>20</v>
      </c>
    </row>
    <row r="59" spans="1:6">
      <c r="A59">
        <v>58</v>
      </c>
      <c r="B59" t="s">
        <v>580</v>
      </c>
      <c r="C59">
        <v>27</v>
      </c>
      <c r="D59">
        <v>8</v>
      </c>
      <c r="E59" t="s">
        <v>581</v>
      </c>
      <c r="F59">
        <v>13</v>
      </c>
    </row>
    <row r="60" spans="1:6">
      <c r="A60">
        <v>59</v>
      </c>
      <c r="B60" t="s">
        <v>582</v>
      </c>
      <c r="C60">
        <v>28</v>
      </c>
      <c r="D60">
        <v>4</v>
      </c>
      <c r="E60" t="s">
        <v>583</v>
      </c>
      <c r="F60">
        <v>55</v>
      </c>
    </row>
    <row r="61" spans="1:6">
      <c r="A61">
        <v>60</v>
      </c>
      <c r="B61" t="s">
        <v>584</v>
      </c>
      <c r="C61">
        <v>28</v>
      </c>
      <c r="D61">
        <v>4</v>
      </c>
      <c r="E61" t="s">
        <v>585</v>
      </c>
      <c r="F61">
        <v>34</v>
      </c>
    </row>
    <row r="62" spans="1:6">
      <c r="A62">
        <v>61</v>
      </c>
      <c r="B62" t="s">
        <v>586</v>
      </c>
      <c r="C62">
        <v>29</v>
      </c>
      <c r="D62">
        <v>2</v>
      </c>
      <c r="E62" t="s">
        <v>587</v>
      </c>
      <c r="F62">
        <v>29</v>
      </c>
    </row>
    <row r="63" spans="1:6">
      <c r="A63">
        <v>62</v>
      </c>
      <c r="B63" t="s">
        <v>588</v>
      </c>
      <c r="C63">
        <v>29</v>
      </c>
      <c r="D63">
        <v>3</v>
      </c>
      <c r="E63" t="s">
        <v>589</v>
      </c>
      <c r="F63">
        <v>49</v>
      </c>
    </row>
    <row r="64" spans="1:6">
      <c r="A64">
        <v>63</v>
      </c>
      <c r="B64" t="s">
        <v>590</v>
      </c>
      <c r="C64">
        <v>7</v>
      </c>
      <c r="D64">
        <v>2</v>
      </c>
      <c r="E64" t="s">
        <v>591</v>
      </c>
      <c r="F64">
        <v>44</v>
      </c>
    </row>
    <row r="65" spans="1:6">
      <c r="A65">
        <v>64</v>
      </c>
      <c r="B65" t="s">
        <v>592</v>
      </c>
      <c r="C65">
        <v>12</v>
      </c>
      <c r="D65">
        <v>5</v>
      </c>
      <c r="E65" t="s">
        <v>593</v>
      </c>
      <c r="F65">
        <v>33</v>
      </c>
    </row>
    <row r="66" spans="1:6">
      <c r="A66">
        <v>65</v>
      </c>
      <c r="B66" t="s">
        <v>594</v>
      </c>
      <c r="C66">
        <v>2</v>
      </c>
      <c r="D66">
        <v>2</v>
      </c>
      <c r="E66" t="s">
        <v>595</v>
      </c>
      <c r="F66">
        <v>21</v>
      </c>
    </row>
    <row r="67" spans="1:6">
      <c r="A67">
        <v>66</v>
      </c>
      <c r="B67" t="s">
        <v>596</v>
      </c>
      <c r="C67">
        <v>2</v>
      </c>
      <c r="D67">
        <v>2</v>
      </c>
      <c r="E67" t="s">
        <v>597</v>
      </c>
      <c r="F67">
        <v>17</v>
      </c>
    </row>
    <row r="68" spans="1:6">
      <c r="A68">
        <v>67</v>
      </c>
      <c r="B68" t="s">
        <v>598</v>
      </c>
      <c r="C68">
        <v>16</v>
      </c>
      <c r="D68">
        <v>1</v>
      </c>
      <c r="E68" t="s">
        <v>472</v>
      </c>
      <c r="F68">
        <v>14</v>
      </c>
    </row>
    <row r="69" spans="1:6">
      <c r="A69">
        <v>68</v>
      </c>
      <c r="B69" t="s">
        <v>599</v>
      </c>
      <c r="C69">
        <v>8</v>
      </c>
      <c r="D69">
        <v>3</v>
      </c>
      <c r="E69" t="s">
        <v>600</v>
      </c>
      <c r="F69">
        <v>13</v>
      </c>
    </row>
    <row r="70" spans="1:6">
      <c r="A70">
        <v>69</v>
      </c>
      <c r="B70" t="s">
        <v>601</v>
      </c>
      <c r="C70">
        <v>15</v>
      </c>
      <c r="D70">
        <v>4</v>
      </c>
      <c r="E70" t="s">
        <v>602</v>
      </c>
      <c r="F70">
        <v>36</v>
      </c>
    </row>
    <row r="71" spans="1:6">
      <c r="A71">
        <v>70</v>
      </c>
      <c r="B71" t="s">
        <v>603</v>
      </c>
      <c r="C71">
        <v>7</v>
      </c>
      <c r="D71">
        <v>1</v>
      </c>
      <c r="E71" t="s">
        <v>604</v>
      </c>
      <c r="F71">
        <v>15</v>
      </c>
    </row>
    <row r="72" spans="1:6">
      <c r="A72">
        <v>71</v>
      </c>
      <c r="B72" t="s">
        <v>605</v>
      </c>
      <c r="C72">
        <v>15</v>
      </c>
      <c r="D72">
        <v>4</v>
      </c>
      <c r="E72" t="s">
        <v>492</v>
      </c>
      <c r="F72">
        <v>22</v>
      </c>
    </row>
    <row r="73" spans="1:6">
      <c r="A73">
        <v>72</v>
      </c>
      <c r="B73" t="s">
        <v>606</v>
      </c>
      <c r="C73">
        <v>14</v>
      </c>
      <c r="D73">
        <v>4</v>
      </c>
      <c r="E73" t="s">
        <v>532</v>
      </c>
      <c r="F73">
        <v>35</v>
      </c>
    </row>
    <row r="74" spans="1:6">
      <c r="A74">
        <v>73</v>
      </c>
      <c r="B74" t="s">
        <v>607</v>
      </c>
      <c r="C74">
        <v>17</v>
      </c>
      <c r="D74">
        <v>8</v>
      </c>
      <c r="E74" t="s">
        <v>608</v>
      </c>
      <c r="F74">
        <v>15</v>
      </c>
    </row>
    <row r="75" spans="1:6">
      <c r="A75">
        <v>74</v>
      </c>
      <c r="B75" t="s">
        <v>609</v>
      </c>
      <c r="C75">
        <v>4</v>
      </c>
      <c r="D75">
        <v>7</v>
      </c>
      <c r="E75" t="s">
        <v>583</v>
      </c>
      <c r="F75">
        <v>10</v>
      </c>
    </row>
    <row r="76" spans="1:6">
      <c r="A76">
        <v>75</v>
      </c>
      <c r="B76" t="s">
        <v>610</v>
      </c>
      <c r="C76">
        <v>12</v>
      </c>
      <c r="D76">
        <v>1</v>
      </c>
      <c r="E76" t="s">
        <v>611</v>
      </c>
      <c r="F76">
        <v>8</v>
      </c>
    </row>
    <row r="77" spans="1:6">
      <c r="A77">
        <v>76</v>
      </c>
      <c r="B77" t="s">
        <v>612</v>
      </c>
      <c r="C77">
        <v>23</v>
      </c>
      <c r="D77">
        <v>1</v>
      </c>
      <c r="E77" t="s">
        <v>613</v>
      </c>
      <c r="F77">
        <v>18</v>
      </c>
    </row>
    <row r="78" spans="1:6">
      <c r="A78">
        <v>77</v>
      </c>
      <c r="B78" t="s">
        <v>614</v>
      </c>
      <c r="C78">
        <v>12</v>
      </c>
      <c r="D78">
        <v>2</v>
      </c>
      <c r="E78" t="s">
        <v>615</v>
      </c>
      <c r="F78">
        <v>13</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4"/>
  <sheetViews>
    <sheetView workbookViewId="0">
      <selection activeCell="M44" sqref="M44"/>
    </sheetView>
  </sheetViews>
  <sheetFormatPr defaultRowHeight="14.5"/>
  <cols>
    <col min="1" max="1" width="14.26953125" bestFit="1" customWidth="1"/>
    <col min="2" max="2" width="17.81640625" bestFit="1" customWidth="1"/>
    <col min="3" max="3" width="13.7265625" bestFit="1" customWidth="1"/>
  </cols>
  <sheetData>
    <row r="1" spans="1:3">
      <c r="A1" s="2" t="s">
        <v>464</v>
      </c>
      <c r="B1" s="2" t="s">
        <v>616</v>
      </c>
      <c r="C1" s="2" t="s">
        <v>617</v>
      </c>
    </row>
    <row r="2" spans="1:3">
      <c r="A2">
        <v>1</v>
      </c>
      <c r="B2" t="s">
        <v>618</v>
      </c>
      <c r="C2" t="s">
        <v>619</v>
      </c>
    </row>
    <row r="3" spans="1:3">
      <c r="A3">
        <v>2</v>
      </c>
      <c r="B3" t="s">
        <v>620</v>
      </c>
      <c r="C3" t="s">
        <v>621</v>
      </c>
    </row>
    <row r="4" spans="1:3">
      <c r="A4">
        <v>3</v>
      </c>
      <c r="B4" t="s">
        <v>622</v>
      </c>
      <c r="C4" t="s">
        <v>623</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0"/>
  <sheetViews>
    <sheetView workbookViewId="0">
      <pane ySplit="1" topLeftCell="A5" activePane="bottomLeft" state="frozen"/>
      <selection pane="bottomLeft" activeCell="H2" sqref="H2"/>
    </sheetView>
  </sheetViews>
  <sheetFormatPr defaultRowHeight="14.5"/>
  <cols>
    <col min="1" max="1" width="14.81640625" bestFit="1" customWidth="1"/>
    <col min="2" max="2" width="38" bestFit="1" customWidth="1"/>
    <col min="3" max="3" width="25.26953125" bestFit="1" customWidth="1"/>
    <col min="4" max="4" width="42.7265625" bestFit="1" customWidth="1"/>
    <col min="5" max="5" width="13.54296875" bestFit="1" customWidth="1"/>
    <col min="6" max="6" width="15.54296875" bestFit="1" customWidth="1"/>
    <col min="7" max="7" width="12.54296875" bestFit="1" customWidth="1"/>
    <col min="8" max="8" width="13.7265625" bestFit="1" customWidth="1"/>
  </cols>
  <sheetData>
    <row r="1" spans="1:8">
      <c r="A1" s="2" t="s">
        <v>466</v>
      </c>
      <c r="B1" s="2" t="s">
        <v>624</v>
      </c>
      <c r="C1" s="2" t="s">
        <v>21</v>
      </c>
      <c r="D1" s="2" t="s">
        <v>22</v>
      </c>
      <c r="E1" s="2" t="s">
        <v>23</v>
      </c>
      <c r="F1" s="2" t="s">
        <v>24</v>
      </c>
      <c r="G1" s="2" t="s">
        <v>25</v>
      </c>
      <c r="H1" s="2" t="s">
        <v>617</v>
      </c>
    </row>
    <row r="2" spans="1:8">
      <c r="A2">
        <v>1</v>
      </c>
      <c r="B2" t="s">
        <v>625</v>
      </c>
      <c r="C2" t="s">
        <v>626</v>
      </c>
      <c r="D2" t="s">
        <v>627</v>
      </c>
      <c r="E2" t="s">
        <v>628</v>
      </c>
      <c r="F2" t="s">
        <v>629</v>
      </c>
      <c r="G2" t="s">
        <v>44</v>
      </c>
      <c r="H2" t="s">
        <v>630</v>
      </c>
    </row>
    <row r="3" spans="1:8">
      <c r="A3">
        <v>2</v>
      </c>
      <c r="B3" t="s">
        <v>631</v>
      </c>
      <c r="C3" t="s">
        <v>632</v>
      </c>
      <c r="D3" t="s">
        <v>633</v>
      </c>
      <c r="E3" t="s">
        <v>634</v>
      </c>
      <c r="F3">
        <v>70117</v>
      </c>
      <c r="G3" t="s">
        <v>169</v>
      </c>
      <c r="H3" t="s">
        <v>635</v>
      </c>
    </row>
    <row r="4" spans="1:8">
      <c r="A4">
        <v>3</v>
      </c>
      <c r="B4" t="s">
        <v>636</v>
      </c>
      <c r="C4" t="s">
        <v>637</v>
      </c>
      <c r="D4" t="s">
        <v>638</v>
      </c>
      <c r="E4" t="s">
        <v>639</v>
      </c>
      <c r="F4">
        <v>48104</v>
      </c>
      <c r="G4" t="s">
        <v>169</v>
      </c>
      <c r="H4" t="s">
        <v>640</v>
      </c>
    </row>
    <row r="5" spans="1:8">
      <c r="A5">
        <v>4</v>
      </c>
      <c r="B5" t="s">
        <v>641</v>
      </c>
      <c r="C5" t="s">
        <v>642</v>
      </c>
      <c r="D5" t="s">
        <v>643</v>
      </c>
      <c r="E5" t="s">
        <v>644</v>
      </c>
      <c r="F5">
        <v>100</v>
      </c>
      <c r="G5" t="s">
        <v>645</v>
      </c>
      <c r="H5" t="s">
        <v>646</v>
      </c>
    </row>
    <row r="6" spans="1:8">
      <c r="A6">
        <v>5</v>
      </c>
      <c r="B6" t="s">
        <v>647</v>
      </c>
      <c r="C6" t="s">
        <v>648</v>
      </c>
      <c r="D6" t="s">
        <v>649</v>
      </c>
      <c r="E6" t="s">
        <v>650</v>
      </c>
      <c r="F6">
        <v>33007</v>
      </c>
      <c r="G6" t="s">
        <v>64</v>
      </c>
      <c r="H6" t="s">
        <v>651</v>
      </c>
    </row>
    <row r="7" spans="1:8">
      <c r="A7">
        <v>6</v>
      </c>
      <c r="B7" t="s">
        <v>652</v>
      </c>
      <c r="C7" t="s">
        <v>653</v>
      </c>
      <c r="D7" t="s">
        <v>654</v>
      </c>
      <c r="E7" t="s">
        <v>655</v>
      </c>
      <c r="F7">
        <v>545</v>
      </c>
      <c r="G7" t="s">
        <v>645</v>
      </c>
      <c r="H7" t="s">
        <v>656</v>
      </c>
    </row>
    <row r="8" spans="1:8">
      <c r="A8">
        <v>7</v>
      </c>
      <c r="B8" t="s">
        <v>657</v>
      </c>
      <c r="C8" t="s">
        <v>658</v>
      </c>
      <c r="D8" t="s">
        <v>659</v>
      </c>
      <c r="E8" t="s">
        <v>660</v>
      </c>
      <c r="F8">
        <v>3058</v>
      </c>
      <c r="G8" t="s">
        <v>661</v>
      </c>
      <c r="H8" t="s">
        <v>662</v>
      </c>
    </row>
    <row r="9" spans="1:8">
      <c r="A9">
        <v>8</v>
      </c>
      <c r="B9" t="s">
        <v>663</v>
      </c>
      <c r="C9" t="s">
        <v>664</v>
      </c>
      <c r="D9" t="s">
        <v>665</v>
      </c>
      <c r="E9" t="s">
        <v>666</v>
      </c>
      <c r="F9" t="s">
        <v>667</v>
      </c>
      <c r="G9" t="s">
        <v>44</v>
      </c>
      <c r="H9" t="s">
        <v>668</v>
      </c>
    </row>
    <row r="10" spans="1:8">
      <c r="A10">
        <v>9</v>
      </c>
      <c r="B10" t="s">
        <v>669</v>
      </c>
      <c r="C10" t="s">
        <v>670</v>
      </c>
      <c r="D10" t="s">
        <v>671</v>
      </c>
      <c r="E10" t="s">
        <v>672</v>
      </c>
      <c r="F10" t="s">
        <v>673</v>
      </c>
      <c r="G10" t="s">
        <v>50</v>
      </c>
      <c r="H10" t="s">
        <v>674</v>
      </c>
    </row>
    <row r="11" spans="1:8">
      <c r="A11">
        <v>10</v>
      </c>
      <c r="B11" t="s">
        <v>675</v>
      </c>
      <c r="C11" t="s">
        <v>676</v>
      </c>
      <c r="D11" t="s">
        <v>677</v>
      </c>
      <c r="E11" t="s">
        <v>95</v>
      </c>
      <c r="F11">
        <v>5442</v>
      </c>
      <c r="G11" t="s">
        <v>97</v>
      </c>
      <c r="H11" t="s">
        <v>678</v>
      </c>
    </row>
    <row r="12" spans="1:8">
      <c r="A12">
        <v>11</v>
      </c>
      <c r="B12" t="s">
        <v>679</v>
      </c>
      <c r="C12" t="s">
        <v>680</v>
      </c>
      <c r="D12" t="s">
        <v>681</v>
      </c>
      <c r="E12" t="s">
        <v>29</v>
      </c>
      <c r="F12">
        <v>10785</v>
      </c>
      <c r="G12" t="s">
        <v>30</v>
      </c>
      <c r="H12" t="s">
        <v>682</v>
      </c>
    </row>
    <row r="13" spans="1:8">
      <c r="A13">
        <v>12</v>
      </c>
      <c r="B13" t="s">
        <v>683</v>
      </c>
      <c r="C13" t="s">
        <v>684</v>
      </c>
      <c r="D13" t="s">
        <v>685</v>
      </c>
      <c r="E13" t="s">
        <v>686</v>
      </c>
      <c r="F13">
        <v>60439</v>
      </c>
      <c r="G13" t="s">
        <v>30</v>
      </c>
      <c r="H13" t="s">
        <v>687</v>
      </c>
    </row>
    <row r="14" spans="1:8">
      <c r="A14">
        <v>13</v>
      </c>
      <c r="B14" t="s">
        <v>688</v>
      </c>
      <c r="C14" t="s">
        <v>689</v>
      </c>
      <c r="D14" t="s">
        <v>690</v>
      </c>
      <c r="E14" t="s">
        <v>691</v>
      </c>
      <c r="F14">
        <v>27478</v>
      </c>
      <c r="G14" t="s">
        <v>30</v>
      </c>
      <c r="H14" t="s">
        <v>692</v>
      </c>
    </row>
    <row r="15" spans="1:8">
      <c r="A15">
        <v>14</v>
      </c>
      <c r="B15" t="s">
        <v>693</v>
      </c>
      <c r="C15" t="s">
        <v>694</v>
      </c>
      <c r="D15" t="s">
        <v>695</v>
      </c>
      <c r="E15" t="s">
        <v>696</v>
      </c>
      <c r="F15">
        <v>48100</v>
      </c>
      <c r="G15" t="s">
        <v>146</v>
      </c>
      <c r="H15" t="s">
        <v>697</v>
      </c>
    </row>
    <row r="16" spans="1:8">
      <c r="A16">
        <v>15</v>
      </c>
      <c r="B16" t="s">
        <v>698</v>
      </c>
      <c r="C16" t="s">
        <v>699</v>
      </c>
      <c r="D16" t="s">
        <v>700</v>
      </c>
      <c r="E16" t="s">
        <v>701</v>
      </c>
      <c r="F16">
        <v>1320</v>
      </c>
      <c r="G16" t="s">
        <v>325</v>
      </c>
      <c r="H16" t="s">
        <v>702</v>
      </c>
    </row>
    <row r="17" spans="1:8">
      <c r="A17">
        <v>16</v>
      </c>
      <c r="B17" t="s">
        <v>703</v>
      </c>
      <c r="C17" t="s">
        <v>704</v>
      </c>
      <c r="D17" t="s">
        <v>705</v>
      </c>
      <c r="E17" t="s">
        <v>706</v>
      </c>
      <c r="F17">
        <v>97101</v>
      </c>
      <c r="G17" t="s">
        <v>169</v>
      </c>
      <c r="H17" t="s">
        <v>623</v>
      </c>
    </row>
    <row r="18" spans="1:8">
      <c r="A18">
        <v>17</v>
      </c>
      <c r="B18" t="s">
        <v>707</v>
      </c>
      <c r="C18" t="s">
        <v>708</v>
      </c>
      <c r="D18" t="s">
        <v>709</v>
      </c>
      <c r="E18" t="s">
        <v>710</v>
      </c>
      <c r="F18" t="s">
        <v>711</v>
      </c>
      <c r="G18" t="s">
        <v>50</v>
      </c>
      <c r="H18" t="s">
        <v>712</v>
      </c>
    </row>
    <row r="19" spans="1:8">
      <c r="A19">
        <v>18</v>
      </c>
      <c r="B19" t="s">
        <v>713</v>
      </c>
      <c r="C19" t="s">
        <v>714</v>
      </c>
      <c r="D19" t="s">
        <v>715</v>
      </c>
      <c r="E19" t="s">
        <v>276</v>
      </c>
      <c r="F19">
        <v>75004</v>
      </c>
      <c r="G19" t="s">
        <v>59</v>
      </c>
      <c r="H19" t="s">
        <v>716</v>
      </c>
    </row>
    <row r="20" spans="1:8">
      <c r="A20">
        <v>19</v>
      </c>
      <c r="B20" t="s">
        <v>717</v>
      </c>
      <c r="C20" t="s">
        <v>718</v>
      </c>
      <c r="D20" t="s">
        <v>719</v>
      </c>
      <c r="E20" t="s">
        <v>720</v>
      </c>
      <c r="F20">
        <v>2134</v>
      </c>
      <c r="G20" t="s">
        <v>169</v>
      </c>
      <c r="H20" t="s">
        <v>721</v>
      </c>
    </row>
    <row r="21" spans="1:8">
      <c r="A21">
        <v>20</v>
      </c>
      <c r="B21" t="s">
        <v>722</v>
      </c>
      <c r="C21" t="s">
        <v>723</v>
      </c>
      <c r="D21" t="s">
        <v>724</v>
      </c>
      <c r="E21" t="s">
        <v>725</v>
      </c>
      <c r="F21">
        <v>512</v>
      </c>
      <c r="G21" t="s">
        <v>725</v>
      </c>
      <c r="H21" t="s">
        <v>726</v>
      </c>
    </row>
    <row r="22" spans="1:8">
      <c r="A22">
        <v>21</v>
      </c>
      <c r="B22" t="s">
        <v>727</v>
      </c>
      <c r="C22" t="s">
        <v>728</v>
      </c>
      <c r="D22" t="s">
        <v>729</v>
      </c>
      <c r="E22" t="s">
        <v>730</v>
      </c>
      <c r="F22">
        <v>2800</v>
      </c>
      <c r="G22" t="s">
        <v>338</v>
      </c>
      <c r="H22" t="s">
        <v>731</v>
      </c>
    </row>
    <row r="23" spans="1:8">
      <c r="A23">
        <v>22</v>
      </c>
      <c r="B23" t="s">
        <v>732</v>
      </c>
      <c r="C23" t="s">
        <v>733</v>
      </c>
      <c r="D23" t="s">
        <v>734</v>
      </c>
      <c r="E23" t="s">
        <v>735</v>
      </c>
      <c r="F23" t="s">
        <v>736</v>
      </c>
      <c r="G23" t="s">
        <v>737</v>
      </c>
      <c r="H23" t="s">
        <v>738</v>
      </c>
    </row>
    <row r="24" spans="1:8">
      <c r="A24">
        <v>23</v>
      </c>
      <c r="B24" t="s">
        <v>739</v>
      </c>
      <c r="C24" t="s">
        <v>740</v>
      </c>
      <c r="D24" t="s">
        <v>741</v>
      </c>
      <c r="E24" t="s">
        <v>742</v>
      </c>
      <c r="F24">
        <v>53120</v>
      </c>
      <c r="G24" t="s">
        <v>393</v>
      </c>
      <c r="H24" t="s">
        <v>743</v>
      </c>
    </row>
    <row r="25" spans="1:8">
      <c r="A25">
        <v>24</v>
      </c>
      <c r="B25" t="s">
        <v>744</v>
      </c>
      <c r="C25" t="s">
        <v>745</v>
      </c>
      <c r="D25" t="s">
        <v>746</v>
      </c>
      <c r="E25" t="s">
        <v>747</v>
      </c>
      <c r="F25">
        <v>2042</v>
      </c>
      <c r="G25" t="s">
        <v>661</v>
      </c>
      <c r="H25" t="s">
        <v>748</v>
      </c>
    </row>
    <row r="26" spans="1:8">
      <c r="A26">
        <v>25</v>
      </c>
      <c r="B26" t="s">
        <v>749</v>
      </c>
      <c r="C26" t="s">
        <v>750</v>
      </c>
      <c r="D26" t="s">
        <v>751</v>
      </c>
      <c r="E26" t="s">
        <v>252</v>
      </c>
      <c r="F26" t="s">
        <v>253</v>
      </c>
      <c r="G26" t="s">
        <v>74</v>
      </c>
      <c r="H26" t="s">
        <v>752</v>
      </c>
    </row>
    <row r="27" spans="1:8">
      <c r="A27">
        <v>26</v>
      </c>
      <c r="B27" t="s">
        <v>753</v>
      </c>
      <c r="C27" t="s">
        <v>754</v>
      </c>
      <c r="D27" t="s">
        <v>755</v>
      </c>
      <c r="E27" t="s">
        <v>756</v>
      </c>
      <c r="F27">
        <v>84100</v>
      </c>
      <c r="G27" t="s">
        <v>146</v>
      </c>
      <c r="H27" t="s">
        <v>757</v>
      </c>
    </row>
    <row r="28" spans="1:8">
      <c r="A28">
        <v>27</v>
      </c>
      <c r="B28" t="s">
        <v>758</v>
      </c>
      <c r="C28" t="s">
        <v>759</v>
      </c>
      <c r="D28" t="s">
        <v>760</v>
      </c>
      <c r="E28" t="s">
        <v>761</v>
      </c>
      <c r="F28">
        <v>71300</v>
      </c>
      <c r="G28" t="s">
        <v>59</v>
      </c>
      <c r="H28" t="s">
        <v>762</v>
      </c>
    </row>
    <row r="29" spans="1:8">
      <c r="A29">
        <v>28</v>
      </c>
      <c r="B29" t="s">
        <v>763</v>
      </c>
      <c r="C29" t="s">
        <v>764</v>
      </c>
      <c r="D29" t="s">
        <v>765</v>
      </c>
      <c r="E29" t="s">
        <v>766</v>
      </c>
      <c r="F29">
        <v>74000</v>
      </c>
      <c r="G29" t="s">
        <v>59</v>
      </c>
      <c r="H29" t="s">
        <v>767</v>
      </c>
    </row>
    <row r="30" spans="1:8">
      <c r="A30">
        <v>29</v>
      </c>
      <c r="B30" t="s">
        <v>768</v>
      </c>
      <c r="C30" t="s">
        <v>769</v>
      </c>
      <c r="D30" t="s">
        <v>770</v>
      </c>
      <c r="E30" t="s">
        <v>771</v>
      </c>
      <c r="F30" t="s">
        <v>772</v>
      </c>
      <c r="G30" t="s">
        <v>74</v>
      </c>
      <c r="H30" t="s">
        <v>773</v>
      </c>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895AC-6F50-4B14-BB1B-F2B66DCD16A7}">
  <dimension ref="A1:G37"/>
  <sheetViews>
    <sheetView topLeftCell="B1" zoomScaleNormal="100" workbookViewId="0">
      <pane ySplit="4" topLeftCell="A27" activePane="bottomLeft" state="frozen"/>
      <selection pane="bottomLeft" activeCell="B37" sqref="A37:XFD37"/>
    </sheetView>
  </sheetViews>
  <sheetFormatPr defaultRowHeight="14.5"/>
  <cols>
    <col min="1" max="1" width="15.1796875" customWidth="1"/>
    <col min="2" max="2" width="35.26953125" customWidth="1"/>
    <col min="3" max="3" width="102.26953125" customWidth="1"/>
    <col min="4" max="4" width="21.54296875" bestFit="1" customWidth="1"/>
    <col min="5" max="5" width="23.54296875" customWidth="1"/>
    <col min="6" max="7" width="32.7265625" bestFit="1" customWidth="1"/>
  </cols>
  <sheetData>
    <row r="1" spans="1:7" ht="21">
      <c r="A1" s="72" t="s">
        <v>940</v>
      </c>
      <c r="B1" s="72"/>
      <c r="C1" s="72"/>
      <c r="D1" s="72"/>
      <c r="E1" s="72"/>
      <c r="F1" s="72"/>
      <c r="G1" s="18"/>
    </row>
    <row r="2" spans="1:7" ht="15.75" customHeight="1">
      <c r="A2" s="46" t="s">
        <v>790</v>
      </c>
      <c r="B2" s="73" t="s">
        <v>791</v>
      </c>
      <c r="C2" s="74"/>
      <c r="D2" s="74"/>
      <c r="E2" s="74"/>
      <c r="F2" s="74"/>
      <c r="G2" s="18"/>
    </row>
    <row r="3" spans="1:7">
      <c r="A3" s="17"/>
      <c r="B3" s="18"/>
      <c r="C3" s="18"/>
      <c r="D3" s="18"/>
      <c r="E3" s="18"/>
      <c r="F3" s="18"/>
      <c r="G3" s="18"/>
    </row>
    <row r="5" spans="1:7" s="47" customFormat="1" ht="15.5">
      <c r="A5" t="s">
        <v>792</v>
      </c>
      <c r="B5" t="s">
        <v>793</v>
      </c>
      <c r="C5" t="s">
        <v>794</v>
      </c>
      <c r="D5" t="s">
        <v>795</v>
      </c>
      <c r="E5" t="s">
        <v>796</v>
      </c>
      <c r="F5" t="s">
        <v>797</v>
      </c>
    </row>
    <row r="6" spans="1:7">
      <c r="A6">
        <v>1</v>
      </c>
      <c r="B6" t="s">
        <v>798</v>
      </c>
      <c r="C6" t="s">
        <v>913</v>
      </c>
      <c r="D6" t="s">
        <v>799</v>
      </c>
      <c r="E6" t="s">
        <v>800</v>
      </c>
      <c r="F6" t="s">
        <v>942</v>
      </c>
    </row>
    <row r="7" spans="1:7">
      <c r="A7">
        <v>2</v>
      </c>
      <c r="B7" t="s">
        <v>798</v>
      </c>
      <c r="C7" t="s">
        <v>914</v>
      </c>
      <c r="D7" t="s">
        <v>799</v>
      </c>
      <c r="E7" t="s">
        <v>801</v>
      </c>
      <c r="F7" t="s">
        <v>942</v>
      </c>
    </row>
    <row r="8" spans="1:7">
      <c r="A8">
        <v>3</v>
      </c>
      <c r="B8" t="s">
        <v>798</v>
      </c>
      <c r="C8" t="s">
        <v>915</v>
      </c>
      <c r="D8" t="s">
        <v>799</v>
      </c>
      <c r="E8" t="s">
        <v>802</v>
      </c>
      <c r="F8" t="s">
        <v>942</v>
      </c>
    </row>
    <row r="9" spans="1:7">
      <c r="A9">
        <v>4</v>
      </c>
      <c r="B9" t="s">
        <v>798</v>
      </c>
      <c r="C9" t="s">
        <v>916</v>
      </c>
      <c r="D9" t="s">
        <v>799</v>
      </c>
      <c r="E9" t="s">
        <v>923</v>
      </c>
      <c r="F9" t="s">
        <v>942</v>
      </c>
    </row>
    <row r="10" spans="1:7">
      <c r="A10">
        <v>5</v>
      </c>
      <c r="B10" t="s">
        <v>798</v>
      </c>
      <c r="C10" t="s">
        <v>917</v>
      </c>
      <c r="D10" t="s">
        <v>799</v>
      </c>
      <c r="E10" t="s">
        <v>924</v>
      </c>
      <c r="F10" t="s">
        <v>942</v>
      </c>
    </row>
    <row r="11" spans="1:7">
      <c r="A11">
        <v>6</v>
      </c>
      <c r="B11" t="s">
        <v>803</v>
      </c>
      <c r="C11" t="s">
        <v>920</v>
      </c>
      <c r="D11" t="s">
        <v>804</v>
      </c>
      <c r="E11" t="s">
        <v>934</v>
      </c>
      <c r="F11" t="s">
        <v>942</v>
      </c>
    </row>
    <row r="12" spans="1:7">
      <c r="A12">
        <v>7</v>
      </c>
      <c r="B12" t="s">
        <v>803</v>
      </c>
      <c r="C12" t="s">
        <v>921</v>
      </c>
      <c r="D12" t="s">
        <v>804</v>
      </c>
      <c r="E12" t="s">
        <v>935</v>
      </c>
      <c r="F12" t="s">
        <v>942</v>
      </c>
    </row>
    <row r="13" spans="1:7">
      <c r="A13">
        <v>8</v>
      </c>
      <c r="B13" t="s">
        <v>803</v>
      </c>
      <c r="C13" t="s">
        <v>922</v>
      </c>
      <c r="D13" t="s">
        <v>804</v>
      </c>
      <c r="E13" t="s">
        <v>936</v>
      </c>
      <c r="F13" t="s">
        <v>942</v>
      </c>
    </row>
    <row r="14" spans="1:7">
      <c r="A14">
        <v>9</v>
      </c>
      <c r="B14" t="s">
        <v>803</v>
      </c>
      <c r="C14" t="s">
        <v>893</v>
      </c>
      <c r="D14" t="s">
        <v>805</v>
      </c>
      <c r="E14" t="s">
        <v>937</v>
      </c>
      <c r="F14" t="s">
        <v>942</v>
      </c>
    </row>
    <row r="15" spans="1:7">
      <c r="A15">
        <v>10</v>
      </c>
      <c r="B15" t="s">
        <v>806</v>
      </c>
      <c r="C15" t="s">
        <v>933</v>
      </c>
      <c r="D15" t="s">
        <v>799</v>
      </c>
      <c r="E15" t="s">
        <v>905</v>
      </c>
      <c r="F15" t="s">
        <v>942</v>
      </c>
    </row>
    <row r="16" spans="1:7">
      <c r="A16">
        <v>11</v>
      </c>
      <c r="B16" t="s">
        <v>806</v>
      </c>
      <c r="C16" t="s">
        <v>807</v>
      </c>
      <c r="D16" t="s">
        <v>808</v>
      </c>
      <c r="E16" t="s">
        <v>938</v>
      </c>
      <c r="F16" t="s">
        <v>944</v>
      </c>
    </row>
    <row r="17" spans="1:6" s="49" customFormat="1" ht="43.5">
      <c r="A17" s="49">
        <v>12</v>
      </c>
      <c r="B17" s="49" t="s">
        <v>809</v>
      </c>
      <c r="C17" s="50" t="s">
        <v>941</v>
      </c>
      <c r="D17" s="49" t="s">
        <v>810</v>
      </c>
      <c r="E17" s="49" t="s">
        <v>925</v>
      </c>
      <c r="F17" s="49" t="s">
        <v>942</v>
      </c>
    </row>
    <row r="18" spans="1:6">
      <c r="A18">
        <v>13</v>
      </c>
      <c r="B18" t="s">
        <v>809</v>
      </c>
      <c r="C18" t="s">
        <v>894</v>
      </c>
      <c r="D18" t="s">
        <v>805</v>
      </c>
      <c r="E18" t="s">
        <v>939</v>
      </c>
      <c r="F18" t="s">
        <v>942</v>
      </c>
    </row>
    <row r="19" spans="1:6">
      <c r="A19">
        <v>14</v>
      </c>
      <c r="B19" t="s">
        <v>811</v>
      </c>
      <c r="C19" t="s">
        <v>931</v>
      </c>
      <c r="D19" t="s">
        <v>799</v>
      </c>
      <c r="E19" t="s">
        <v>812</v>
      </c>
      <c r="F19" t="s">
        <v>942</v>
      </c>
    </row>
    <row r="20" spans="1:6">
      <c r="A20">
        <v>15</v>
      </c>
      <c r="B20" t="s">
        <v>811</v>
      </c>
      <c r="C20" t="s">
        <v>932</v>
      </c>
      <c r="D20" t="s">
        <v>799</v>
      </c>
      <c r="E20" t="s">
        <v>813</v>
      </c>
      <c r="F20" t="s">
        <v>942</v>
      </c>
    </row>
    <row r="21" spans="1:6">
      <c r="A21">
        <v>16</v>
      </c>
      <c r="B21" t="s">
        <v>811</v>
      </c>
      <c r="C21" t="s">
        <v>906</v>
      </c>
      <c r="D21" t="s">
        <v>907</v>
      </c>
      <c r="E21" t="s">
        <v>926</v>
      </c>
      <c r="F21" t="s">
        <v>942</v>
      </c>
    </row>
    <row r="22" spans="1:6">
      <c r="A22">
        <v>17</v>
      </c>
      <c r="B22" t="s">
        <v>814</v>
      </c>
      <c r="C22" t="s">
        <v>908</v>
      </c>
      <c r="D22" t="s">
        <v>907</v>
      </c>
      <c r="E22" t="s">
        <v>816</v>
      </c>
      <c r="F22" t="s">
        <v>942</v>
      </c>
    </row>
    <row r="23" spans="1:6">
      <c r="A23">
        <v>18</v>
      </c>
      <c r="B23" t="s">
        <v>815</v>
      </c>
      <c r="C23" t="s">
        <v>909</v>
      </c>
      <c r="D23" t="s">
        <v>907</v>
      </c>
      <c r="E23" t="s">
        <v>818</v>
      </c>
      <c r="F23" t="s">
        <v>942</v>
      </c>
    </row>
    <row r="24" spans="1:6">
      <c r="A24">
        <v>19</v>
      </c>
      <c r="B24" t="s">
        <v>817</v>
      </c>
      <c r="C24" t="s">
        <v>910</v>
      </c>
      <c r="D24" t="s">
        <v>907</v>
      </c>
      <c r="E24" t="s">
        <v>820</v>
      </c>
      <c r="F24" t="s">
        <v>942</v>
      </c>
    </row>
    <row r="25" spans="1:6">
      <c r="A25">
        <v>20</v>
      </c>
      <c r="B25" t="s">
        <v>819</v>
      </c>
      <c r="C25" t="s">
        <v>911</v>
      </c>
      <c r="D25" t="s">
        <v>907</v>
      </c>
      <c r="E25" t="s">
        <v>822</v>
      </c>
      <c r="F25" t="s">
        <v>942</v>
      </c>
    </row>
    <row r="26" spans="1:6">
      <c r="A26">
        <v>21</v>
      </c>
      <c r="B26" t="s">
        <v>821</v>
      </c>
      <c r="C26" t="s">
        <v>912</v>
      </c>
      <c r="D26" t="s">
        <v>907</v>
      </c>
      <c r="E26" t="s">
        <v>927</v>
      </c>
      <c r="F26" t="s">
        <v>942</v>
      </c>
    </row>
    <row r="27" spans="1:6">
      <c r="A27">
        <v>22</v>
      </c>
      <c r="B27" t="s">
        <v>823</v>
      </c>
      <c r="C27" t="s">
        <v>824</v>
      </c>
      <c r="D27" t="s">
        <v>808</v>
      </c>
      <c r="E27" t="s">
        <v>826</v>
      </c>
      <c r="F27" t="s">
        <v>942</v>
      </c>
    </row>
    <row r="28" spans="1:6">
      <c r="A28">
        <v>23</v>
      </c>
      <c r="B28" t="s">
        <v>823</v>
      </c>
      <c r="C28" t="s">
        <v>825</v>
      </c>
      <c r="D28" t="s">
        <v>805</v>
      </c>
      <c r="E28" t="s">
        <v>828</v>
      </c>
      <c r="F28" t="s">
        <v>942</v>
      </c>
    </row>
    <row r="29" spans="1:6">
      <c r="A29">
        <v>24</v>
      </c>
      <c r="B29" t="s">
        <v>823</v>
      </c>
      <c r="C29" t="s">
        <v>827</v>
      </c>
      <c r="D29" t="s">
        <v>799</v>
      </c>
      <c r="E29" t="s">
        <v>831</v>
      </c>
      <c r="F29" t="s">
        <v>942</v>
      </c>
    </row>
    <row r="30" spans="1:6">
      <c r="A30">
        <v>25</v>
      </c>
      <c r="B30" t="s">
        <v>823</v>
      </c>
      <c r="C30" t="s">
        <v>829</v>
      </c>
      <c r="D30" t="s">
        <v>830</v>
      </c>
      <c r="E30" t="s">
        <v>834</v>
      </c>
      <c r="F30" t="s">
        <v>942</v>
      </c>
    </row>
    <row r="31" spans="1:6">
      <c r="A31">
        <v>26</v>
      </c>
      <c r="B31" t="s">
        <v>832</v>
      </c>
      <c r="C31" t="s">
        <v>833</v>
      </c>
      <c r="D31" t="s">
        <v>799</v>
      </c>
      <c r="E31" t="s">
        <v>836</v>
      </c>
      <c r="F31" t="s">
        <v>942</v>
      </c>
    </row>
    <row r="32" spans="1:6">
      <c r="A32">
        <v>27</v>
      </c>
      <c r="B32" t="s">
        <v>832</v>
      </c>
      <c r="C32" t="s">
        <v>835</v>
      </c>
      <c r="D32" t="s">
        <v>799</v>
      </c>
      <c r="E32" t="s">
        <v>928</v>
      </c>
      <c r="F32" t="s">
        <v>942</v>
      </c>
    </row>
    <row r="33" spans="1:5">
      <c r="A33">
        <v>28</v>
      </c>
      <c r="B33" t="s">
        <v>837</v>
      </c>
      <c r="C33" t="s">
        <v>838</v>
      </c>
      <c r="D33" t="s">
        <v>839</v>
      </c>
      <c r="E33" t="s">
        <v>840</v>
      </c>
    </row>
    <row r="34" spans="1:5">
      <c r="A34">
        <v>29</v>
      </c>
      <c r="B34" t="s">
        <v>837</v>
      </c>
      <c r="C34" t="s">
        <v>841</v>
      </c>
      <c r="D34" t="s">
        <v>839</v>
      </c>
      <c r="E34" t="s">
        <v>883</v>
      </c>
    </row>
    <row r="35" spans="1:5">
      <c r="A35">
        <v>30</v>
      </c>
      <c r="B35" t="s">
        <v>837</v>
      </c>
      <c r="C35" t="s">
        <v>842</v>
      </c>
      <c r="D35" t="s">
        <v>839</v>
      </c>
      <c r="E35" t="s">
        <v>884</v>
      </c>
    </row>
    <row r="36" spans="1:5">
      <c r="A36">
        <v>31</v>
      </c>
      <c r="B36" t="s">
        <v>837</v>
      </c>
      <c r="C36" t="s">
        <v>885</v>
      </c>
      <c r="D36" t="s">
        <v>839</v>
      </c>
      <c r="E36" t="s">
        <v>886</v>
      </c>
    </row>
    <row r="37" spans="1:5">
      <c r="A37">
        <v>32</v>
      </c>
      <c r="B37" t="s">
        <v>837</v>
      </c>
      <c r="C37" t="s">
        <v>887</v>
      </c>
      <c r="D37" t="s">
        <v>839</v>
      </c>
      <c r="E37" t="s">
        <v>888</v>
      </c>
    </row>
  </sheetData>
  <mergeCells count="2">
    <mergeCell ref="A1:F1"/>
    <mergeCell ref="B2:F2"/>
  </mergeCells>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8F2D6-7691-450F-91C2-184FC6BBFB4F}">
  <dimension ref="A1:N77"/>
  <sheetViews>
    <sheetView zoomScale="70" zoomScaleNormal="70" workbookViewId="0">
      <pane ySplit="1" topLeftCell="A2" activePane="bottomLeft" state="frozen"/>
      <selection pane="bottomLeft" activeCell="B46" sqref="B46"/>
    </sheetView>
  </sheetViews>
  <sheetFormatPr defaultRowHeight="14.5"/>
  <cols>
    <col min="1" max="1" width="69" bestFit="1" customWidth="1"/>
    <col min="2" max="2" width="51.1796875" customWidth="1"/>
    <col min="3" max="3" width="50.81640625" bestFit="1" customWidth="1"/>
    <col min="4" max="4" width="13" bestFit="1" customWidth="1"/>
    <col min="5" max="5" width="39.26953125" bestFit="1" customWidth="1"/>
    <col min="6" max="6" width="32" customWidth="1"/>
    <col min="7" max="7" width="28" customWidth="1"/>
    <col min="8" max="8" width="8.453125" bestFit="1" customWidth="1"/>
    <col min="9" max="9" width="13.453125" bestFit="1" customWidth="1"/>
    <col min="10" max="10" width="32.54296875" customWidth="1"/>
    <col min="11" max="11" width="39.453125" customWidth="1"/>
    <col min="12" max="12" width="29.81640625" bestFit="1" customWidth="1"/>
    <col min="13" max="13" width="8.453125" bestFit="1" customWidth="1"/>
  </cols>
  <sheetData>
    <row r="1" spans="1:14" ht="19.5">
      <c r="A1" s="61" t="s">
        <v>918</v>
      </c>
      <c r="B1" s="61"/>
      <c r="C1" s="61"/>
      <c r="D1" s="61"/>
      <c r="E1" s="61"/>
      <c r="F1" s="61"/>
      <c r="G1" s="61"/>
      <c r="H1" s="61"/>
      <c r="I1" s="61"/>
      <c r="J1" s="61"/>
      <c r="K1" s="61"/>
      <c r="L1" s="61"/>
      <c r="M1" s="61"/>
      <c r="N1" s="61"/>
    </row>
    <row r="5" spans="1:14">
      <c r="A5" s="63" t="s">
        <v>843</v>
      </c>
      <c r="B5" s="63"/>
      <c r="E5" s="62" t="s">
        <v>851</v>
      </c>
      <c r="F5" s="62"/>
      <c r="G5" s="62"/>
      <c r="H5" s="62"/>
    </row>
    <row r="6" spans="1:14">
      <c r="A6" s="26"/>
      <c r="B6" s="41" t="s">
        <v>858</v>
      </c>
      <c r="E6" s="29" t="s">
        <v>860</v>
      </c>
      <c r="F6" s="29" t="s">
        <v>861</v>
      </c>
      <c r="G6" s="41" t="s">
        <v>858</v>
      </c>
      <c r="H6" s="29" t="s">
        <v>859</v>
      </c>
    </row>
    <row r="7" spans="1:14">
      <c r="A7" s="25" t="s">
        <v>844</v>
      </c>
      <c r="B7" s="42">
        <f>AVERAGE(tbl_ProductsView[Price])</f>
        <v>27.4</v>
      </c>
      <c r="E7" s="25" t="s">
        <v>862</v>
      </c>
      <c r="F7" s="11" t="s">
        <v>919</v>
      </c>
      <c r="G7" s="43" t="str">
        <f>MID(F7,FIND(":",F7)+2,LEN(F7)-FIND(":",F7)-1)</f>
        <v>Londona</v>
      </c>
      <c r="H7" s="30" t="s">
        <v>866</v>
      </c>
    </row>
    <row r="8" spans="1:14">
      <c r="A8" s="25" t="s">
        <v>845</v>
      </c>
      <c r="B8" s="42">
        <f>MEDIAN(tbl_ProductsView[[#All],[Price]])</f>
        <v>21</v>
      </c>
      <c r="E8" s="25" t="s">
        <v>863</v>
      </c>
      <c r="F8" s="11" t="str">
        <f>INDEX(Πίνακας9[Phone],1)</f>
        <v>(171) 555-2222</v>
      </c>
      <c r="G8" s="43" t="str">
        <f>_xlfn.CONCAT(MID(F8,FIND("(",F8)+1,FIND(")",F8)-FIND("(",F8)-1)," ",MID(F8,FIND(")",F8)+2,FIND("-",F8)-FIND(")",F8)-2),MID(F8,FIND("-",F8)+1,LEN(F8)-FIND("-",F8)))</f>
        <v>171 5552222</v>
      </c>
      <c r="H8" s="30" t="s">
        <v>866</v>
      </c>
    </row>
    <row r="9" spans="1:14">
      <c r="A9" s="25" t="s">
        <v>846</v>
      </c>
      <c r="B9" s="42">
        <f>_xlfn.MODE.SNGL(tbl_ProductsView[[#All],[Price]])</f>
        <v>21</v>
      </c>
      <c r="E9" s="25" t="s">
        <v>864</v>
      </c>
      <c r="F9" s="11" t="s">
        <v>943</v>
      </c>
      <c r="G9" s="43" t="str">
        <f>_xlfn.CONCAT(LEFT(F9,LEN(F9)-FIND("|",F9)+3)," ","(",RIGHT(F9,LEN(F9)-FIND("|",F9)),")")</f>
        <v>Charlotte Cooper (Exotic Liquid)</v>
      </c>
      <c r="H9" s="30" t="s">
        <v>866</v>
      </c>
    </row>
    <row r="10" spans="1:14">
      <c r="A10" s="25" t="s">
        <v>847</v>
      </c>
      <c r="B10" s="42">
        <f>_xlfn.STDEV.S(tbl_ProductsView[[#All],[Price]])</f>
        <v>22.735801430050067</v>
      </c>
      <c r="E10" s="25" t="s">
        <v>865</v>
      </c>
      <c r="F10" s="11" t="str">
        <f>customers!D8</f>
        <v>24, place Kleber</v>
      </c>
      <c r="G10" s="43" t="str">
        <f>LEFT(F10,FIND(",",F10)-1)</f>
        <v>24</v>
      </c>
      <c r="H10" s="30" t="s">
        <v>866</v>
      </c>
    </row>
    <row r="11" spans="1:14">
      <c r="A11" s="25" t="s">
        <v>848</v>
      </c>
      <c r="B11" s="42">
        <f>_xlfn.QUARTILE.INC(tbl_ProductsView[[#All],[Price]],1)</f>
        <v>14</v>
      </c>
    </row>
    <row r="12" spans="1:14">
      <c r="A12" s="25" t="s">
        <v>849</v>
      </c>
      <c r="B12" s="42">
        <f>_xlfn.QUARTILE.INC(tbl_ProductsView[[#All],[Price]],3)</f>
        <v>31</v>
      </c>
    </row>
    <row r="13" spans="1:14">
      <c r="A13" s="25" t="s">
        <v>850</v>
      </c>
      <c r="B13" s="42">
        <f>(B12-B11)</f>
        <v>17</v>
      </c>
    </row>
    <row r="17" spans="1:14">
      <c r="E17" s="52" t="s">
        <v>889</v>
      </c>
      <c r="F17" s="52"/>
    </row>
    <row r="18" spans="1:14">
      <c r="A18" s="53" t="s">
        <v>852</v>
      </c>
      <c r="B18" s="54"/>
      <c r="E18" s="40" t="s">
        <v>890</v>
      </c>
      <c r="F18" s="44" t="s">
        <v>858</v>
      </c>
      <c r="L18" s="39"/>
      <c r="M18" s="39"/>
      <c r="N18" s="39"/>
    </row>
    <row r="19" spans="1:14">
      <c r="A19" s="27" t="s">
        <v>867</v>
      </c>
      <c r="B19" s="41" t="s">
        <v>858</v>
      </c>
      <c r="E19" s="11" t="s">
        <v>44</v>
      </c>
      <c r="F19" s="43">
        <f>COUNTIF(Πίνακας1[[#All],[Country]],"UK")</f>
        <v>7</v>
      </c>
    </row>
    <row r="20" spans="1:14">
      <c r="A20" s="25" t="s">
        <v>868</v>
      </c>
      <c r="B20" s="43" t="s">
        <v>3</v>
      </c>
      <c r="E20" s="11" t="s">
        <v>169</v>
      </c>
      <c r="F20" s="43">
        <f>COUNTIF(Πίνακας1[[#All],[Country]],"USA")</f>
        <v>13</v>
      </c>
    </row>
    <row r="21" spans="1:14">
      <c r="A21" s="25" t="s">
        <v>891</v>
      </c>
      <c r="B21" s="43"/>
      <c r="E21" s="11" t="s">
        <v>30</v>
      </c>
      <c r="F21" s="43">
        <f>COUNTIF(Πίνακας1[[#All],[Country]],"Germany")</f>
        <v>11</v>
      </c>
    </row>
    <row r="22" spans="1:14">
      <c r="A22" s="25" t="s">
        <v>929</v>
      </c>
      <c r="B22" s="43">
        <f>COUNTIF(tbl_ProductsView[[#All],[CategoryName]],"Beverages")</f>
        <v>3</v>
      </c>
      <c r="E22" s="11" t="s">
        <v>59</v>
      </c>
      <c r="F22" s="43">
        <f>COUNTIF(Πίνακας1[[#All],[Country]],"France")</f>
        <v>11</v>
      </c>
    </row>
    <row r="24" spans="1:14">
      <c r="A24" s="55" t="s">
        <v>853</v>
      </c>
      <c r="B24" s="56"/>
      <c r="C24" s="57"/>
      <c r="E24" s="58" t="s">
        <v>854</v>
      </c>
      <c r="F24" s="59"/>
      <c r="G24" s="59"/>
      <c r="H24" s="59"/>
      <c r="I24" s="60"/>
    </row>
    <row r="25" spans="1:14">
      <c r="A25" s="31" t="s">
        <v>869</v>
      </c>
      <c r="B25" s="41" t="s">
        <v>858</v>
      </c>
      <c r="C25" s="31" t="s">
        <v>859</v>
      </c>
      <c r="E25" s="11" t="s">
        <v>898</v>
      </c>
      <c r="F25" s="11"/>
      <c r="G25" s="11"/>
      <c r="H25" s="11"/>
      <c r="I25" s="11"/>
    </row>
    <row r="26" spans="1:14">
      <c r="A26" s="25" t="s">
        <v>856</v>
      </c>
      <c r="B26" s="45">
        <v>3</v>
      </c>
      <c r="C26" s="11"/>
      <c r="E26" s="11">
        <v>1</v>
      </c>
      <c r="F26" s="11">
        <v>2</v>
      </c>
      <c r="G26" s="11">
        <v>3</v>
      </c>
      <c r="H26" s="11">
        <v>4</v>
      </c>
      <c r="I26" s="11">
        <v>5</v>
      </c>
    </row>
    <row r="27" spans="1:14">
      <c r="A27" s="25" t="s">
        <v>895</v>
      </c>
      <c r="B27" s="43" t="str">
        <f>VLOOKUP(B26,tbl_ProductsView[#All],2,FALSE)</f>
        <v>Aniseed Syrup</v>
      </c>
      <c r="C27" s="11" t="s">
        <v>930</v>
      </c>
      <c r="E27" s="11">
        <v>18</v>
      </c>
      <c r="F27" s="11">
        <v>19</v>
      </c>
      <c r="G27" s="11">
        <v>10</v>
      </c>
      <c r="H27" s="11">
        <v>22</v>
      </c>
      <c r="I27" s="11">
        <v>21</v>
      </c>
    </row>
    <row r="28" spans="1:14">
      <c r="A28" s="25" t="s">
        <v>896</v>
      </c>
      <c r="B28" s="43" cm="1">
        <f t="array" ref="B28">_xlfn.XLOOKUP(B26,tbl_ProductsView[[#All],[ProductID]],tbl_ProductsView[[#All],[Price]])</f>
        <v>10</v>
      </c>
      <c r="C28" s="11" t="s">
        <v>930</v>
      </c>
    </row>
    <row r="29" spans="1:14">
      <c r="A29" s="25" t="s">
        <v>897</v>
      </c>
      <c r="B29" s="43">
        <f>HLOOKUP(B26,E26:I27,2,FALSE)</f>
        <v>10</v>
      </c>
      <c r="C29" s="11" t="s">
        <v>930</v>
      </c>
    </row>
    <row r="31" spans="1:14">
      <c r="A31" s="64" t="s">
        <v>855</v>
      </c>
      <c r="B31" s="65"/>
      <c r="C31" s="66"/>
    </row>
    <row r="32" spans="1:14">
      <c r="A32" s="32" t="s">
        <v>870</v>
      </c>
      <c r="B32" s="41" t="s">
        <v>858</v>
      </c>
      <c r="C32" s="32" t="s">
        <v>871</v>
      </c>
    </row>
    <row r="33" spans="1:3">
      <c r="A33" s="25" t="s">
        <v>899</v>
      </c>
      <c r="B33" s="43" t="str">
        <f>IF(C33&lt;20,"Low","OK")</f>
        <v>Low</v>
      </c>
      <c r="C33" s="33">
        <v>15</v>
      </c>
    </row>
    <row r="34" spans="1:3">
      <c r="A34" s="25" t="s">
        <v>900</v>
      </c>
      <c r="B34" s="43" t="str" cm="1">
        <f t="array" ref="B34">_xlfn.IFS(C33&lt;20,"Low",C33&lt;=50,"Medium",C33&gt;50,"High")</f>
        <v>Low</v>
      </c>
      <c r="C34" s="33"/>
    </row>
    <row r="35" spans="1:3">
      <c r="A35" s="25" t="s">
        <v>902</v>
      </c>
      <c r="B35" s="43"/>
      <c r="C35" s="33" t="s">
        <v>901</v>
      </c>
    </row>
    <row r="36" spans="1:3">
      <c r="A36" s="25" t="s">
        <v>903</v>
      </c>
      <c r="B36" s="43" t="str">
        <f>IF(OR(C36="UK",C36="USA"),"Yes","No")</f>
        <v>Yes</v>
      </c>
      <c r="C36" s="33" t="s">
        <v>169</v>
      </c>
    </row>
    <row r="37" spans="1:3">
      <c r="A37" s="25" t="s">
        <v>904</v>
      </c>
      <c r="B37" s="43" t="str">
        <f>IF(NOT(C37="Germany"),"OK","Germany")</f>
        <v>Germany</v>
      </c>
      <c r="C37" s="33" t="s">
        <v>30</v>
      </c>
    </row>
    <row r="39" spans="1:3">
      <c r="A39" s="67" t="s">
        <v>857</v>
      </c>
      <c r="B39" s="68"/>
      <c r="C39" s="69"/>
    </row>
    <row r="40" spans="1:3">
      <c r="A40" s="28" t="s">
        <v>870</v>
      </c>
      <c r="B40" s="41" t="s">
        <v>858</v>
      </c>
      <c r="C40" s="28" t="s">
        <v>871</v>
      </c>
    </row>
    <row r="41" spans="1:3">
      <c r="A41" s="25" t="s">
        <v>872</v>
      </c>
      <c r="B41" s="43">
        <f>SUMIF(Πίνακας2[[#All],[ProductID]],11,Πίνακας2[[#All],[Quantity]])</f>
        <v>182</v>
      </c>
      <c r="C41" s="33">
        <v>11</v>
      </c>
    </row>
    <row r="42" spans="1:3">
      <c r="A42" s="25" t="s">
        <v>873</v>
      </c>
      <c r="B42" s="43">
        <f>COUNTIF(Πίνακας1[[#All],[Country]],"UK")</f>
        <v>7</v>
      </c>
      <c r="C42" s="33"/>
    </row>
    <row r="43" spans="1:3">
      <c r="A43" s="25" t="s">
        <v>874</v>
      </c>
      <c r="B43" s="43">
        <f>AVERAGEIF(Πίνακας7[[#All],[CategoryID]],1,Πίνακας7[[#All],[Price]])</f>
        <v>38.083333333333336</v>
      </c>
      <c r="C43" s="33">
        <v>1</v>
      </c>
    </row>
    <row r="44" spans="1:3">
      <c r="A44" s="25" t="s">
        <v>875</v>
      </c>
      <c r="B44" s="43">
        <f>SUMIFS(tbl_FACTS[[#All],[SalesValue]],tbl_FACTS[[#All],[Country]],"USA")</f>
        <v>69722</v>
      </c>
      <c r="C44" s="33" t="s">
        <v>169</v>
      </c>
    </row>
    <row r="45" spans="1:3">
      <c r="A45" s="25" t="s">
        <v>876</v>
      </c>
      <c r="B45" s="43">
        <f>_xlfn.MAXIFS(Πίνακας7[[#All],[Price]],Πίνακας7[[#All],[SupplierID]],12)</f>
        <v>124</v>
      </c>
      <c r="C45" s="33">
        <v>12</v>
      </c>
    </row>
    <row r="46" spans="1:3">
      <c r="A46" s="25" t="s">
        <v>877</v>
      </c>
      <c r="B46" s="43">
        <f>_xlfn.MINIFS(Πίνακας7[[#All],[Price]],Πίνακας7[[#All],[SupplierID]],12)</f>
        <v>8</v>
      </c>
      <c r="C46" s="33">
        <v>12</v>
      </c>
    </row>
    <row r="50" spans="1:12">
      <c r="A50" s="51" t="s">
        <v>892</v>
      </c>
      <c r="B50" s="51"/>
      <c r="C50" s="51"/>
      <c r="D50" s="51"/>
      <c r="E50" s="51"/>
      <c r="F50" s="51"/>
      <c r="G50" s="51"/>
    </row>
    <row r="52" spans="1:12">
      <c r="A52" s="35" t="s">
        <v>461</v>
      </c>
      <c r="B52" s="36" t="s">
        <v>465</v>
      </c>
      <c r="C52" s="36" t="s">
        <v>466</v>
      </c>
      <c r="D52" s="36" t="s">
        <v>0</v>
      </c>
      <c r="E52" s="36" t="s">
        <v>467</v>
      </c>
      <c r="F52" s="36" t="s">
        <v>468</v>
      </c>
      <c r="G52" s="37" t="s">
        <v>1</v>
      </c>
      <c r="I52" s="48" t="s">
        <v>459</v>
      </c>
      <c r="J52" s="48" t="s">
        <v>460</v>
      </c>
      <c r="K52" s="48" t="s">
        <v>461</v>
      </c>
      <c r="L52" s="48" t="s">
        <v>462</v>
      </c>
    </row>
    <row r="53" spans="1:12">
      <c r="A53" s="10">
        <v>1</v>
      </c>
      <c r="B53" s="11" t="s">
        <v>469</v>
      </c>
      <c r="C53" s="11">
        <v>1</v>
      </c>
      <c r="D53" s="11">
        <v>1</v>
      </c>
      <c r="E53" s="11" t="s">
        <v>470</v>
      </c>
      <c r="F53" s="34">
        <v>18</v>
      </c>
      <c r="G53" s="24" t="str">
        <f>VLOOKUP(tbl_ProductsView[[#This Row],[CategoryID]],categories!$A:$B,2,FALSE)</f>
        <v>Beverages</v>
      </c>
      <c r="I53" s="11">
        <v>1</v>
      </c>
      <c r="J53" s="11">
        <v>10248</v>
      </c>
      <c r="K53" s="11">
        <v>11</v>
      </c>
      <c r="L53" s="11">
        <v>12</v>
      </c>
    </row>
    <row r="54" spans="1:12">
      <c r="A54" s="10">
        <v>2</v>
      </c>
      <c r="B54" s="11" t="s">
        <v>471</v>
      </c>
      <c r="C54" s="11">
        <v>1</v>
      </c>
      <c r="D54" s="11">
        <v>1</v>
      </c>
      <c r="E54" s="11" t="s">
        <v>472</v>
      </c>
      <c r="F54" s="34">
        <v>19</v>
      </c>
      <c r="G54" s="24" t="str">
        <f>VLOOKUP(tbl_ProductsView[[#This Row],[CategoryID]],categories!$A:$B,2,FALSE)</f>
        <v>Beverages</v>
      </c>
      <c r="I54" s="11">
        <v>2</v>
      </c>
      <c r="J54" s="11">
        <v>10248</v>
      </c>
      <c r="K54" s="11">
        <v>42</v>
      </c>
      <c r="L54" s="11">
        <v>10</v>
      </c>
    </row>
    <row r="55" spans="1:12">
      <c r="A55" s="10">
        <v>3</v>
      </c>
      <c r="B55" s="11" t="s">
        <v>473</v>
      </c>
      <c r="C55" s="11">
        <v>1</v>
      </c>
      <c r="D55" s="11">
        <v>2</v>
      </c>
      <c r="E55" s="11" t="s">
        <v>474</v>
      </c>
      <c r="F55" s="34">
        <v>10</v>
      </c>
      <c r="G55" s="24" t="str">
        <f>VLOOKUP(tbl_ProductsView[[#This Row],[CategoryID]],categories!$A:$B,2,FALSE)</f>
        <v>Condiments</v>
      </c>
      <c r="I55" s="11">
        <v>3</v>
      </c>
      <c r="J55" s="11">
        <v>10248</v>
      </c>
      <c r="K55" s="11">
        <v>72</v>
      </c>
      <c r="L55" s="11">
        <v>5</v>
      </c>
    </row>
    <row r="56" spans="1:12">
      <c r="A56" s="10">
        <v>4</v>
      </c>
      <c r="B56" s="11" t="s">
        <v>475</v>
      </c>
      <c r="C56" s="11">
        <v>2</v>
      </c>
      <c r="D56" s="11">
        <v>2</v>
      </c>
      <c r="E56" s="11" t="s">
        <v>476</v>
      </c>
      <c r="F56" s="34">
        <v>22</v>
      </c>
      <c r="G56" s="24" t="str">
        <f>VLOOKUP(tbl_ProductsView[[#This Row],[CategoryID]],categories!$A:$B,2,FALSE)</f>
        <v>Condiments</v>
      </c>
      <c r="I56" s="11">
        <v>4</v>
      </c>
      <c r="J56" s="11">
        <v>10249</v>
      </c>
      <c r="K56" s="11">
        <v>14</v>
      </c>
      <c r="L56" s="11">
        <v>9</v>
      </c>
    </row>
    <row r="57" spans="1:12">
      <c r="A57" s="10">
        <v>5</v>
      </c>
      <c r="B57" s="11" t="s">
        <v>477</v>
      </c>
      <c r="C57" s="11">
        <v>2</v>
      </c>
      <c r="D57" s="11">
        <v>2</v>
      </c>
      <c r="E57" s="11" t="s">
        <v>478</v>
      </c>
      <c r="F57" s="34">
        <v>21</v>
      </c>
      <c r="G57" s="24" t="str">
        <f>VLOOKUP(tbl_ProductsView[[#This Row],[CategoryID]],categories!$A:$B,2,FALSE)</f>
        <v>Condiments</v>
      </c>
      <c r="I57" s="11">
        <v>5</v>
      </c>
      <c r="J57" s="11">
        <v>10249</v>
      </c>
      <c r="K57" s="11">
        <v>51</v>
      </c>
      <c r="L57" s="11">
        <v>40</v>
      </c>
    </row>
    <row r="58" spans="1:12">
      <c r="A58" s="10">
        <v>6</v>
      </c>
      <c r="B58" s="11" t="s">
        <v>479</v>
      </c>
      <c r="C58" s="11">
        <v>3</v>
      </c>
      <c r="D58" s="11">
        <v>2</v>
      </c>
      <c r="E58" s="11" t="s">
        <v>480</v>
      </c>
      <c r="F58" s="34">
        <v>25</v>
      </c>
      <c r="G58" s="24" t="str">
        <f>VLOOKUP(tbl_ProductsView[[#This Row],[CategoryID]],categories!$A:$B,2,FALSE)</f>
        <v>Condiments</v>
      </c>
      <c r="I58" s="11">
        <v>6</v>
      </c>
      <c r="J58" s="11">
        <v>10250</v>
      </c>
      <c r="K58" s="11">
        <v>41</v>
      </c>
      <c r="L58" s="11">
        <v>10</v>
      </c>
    </row>
    <row r="59" spans="1:12">
      <c r="A59" s="10">
        <v>7</v>
      </c>
      <c r="B59" s="11" t="s">
        <v>481</v>
      </c>
      <c r="C59" s="11">
        <v>3</v>
      </c>
      <c r="D59" s="11">
        <v>7</v>
      </c>
      <c r="E59" s="11" t="s">
        <v>482</v>
      </c>
      <c r="F59" s="34">
        <v>30</v>
      </c>
      <c r="G59" s="24" t="str">
        <f>VLOOKUP(tbl_ProductsView[[#This Row],[CategoryID]],categories!$A:$B,2,FALSE)</f>
        <v>Produce</v>
      </c>
      <c r="I59" s="11">
        <v>7</v>
      </c>
      <c r="J59" s="11">
        <v>10250</v>
      </c>
      <c r="K59" s="11">
        <v>51</v>
      </c>
      <c r="L59" s="11">
        <v>35</v>
      </c>
    </row>
    <row r="60" spans="1:12">
      <c r="A60" s="10">
        <v>8</v>
      </c>
      <c r="B60" s="11" t="s">
        <v>483</v>
      </c>
      <c r="C60" s="11">
        <v>3</v>
      </c>
      <c r="D60" s="11">
        <v>2</v>
      </c>
      <c r="E60" s="11" t="s">
        <v>484</v>
      </c>
      <c r="F60" s="34">
        <v>40</v>
      </c>
      <c r="G60" s="24" t="str">
        <f>VLOOKUP(tbl_ProductsView[[#This Row],[CategoryID]],categories!$A:$B,2,FALSE)</f>
        <v>Condiments</v>
      </c>
      <c r="I60" s="11">
        <v>8</v>
      </c>
      <c r="J60" s="11">
        <v>10250</v>
      </c>
      <c r="K60" s="11">
        <v>65</v>
      </c>
      <c r="L60" s="11">
        <v>15</v>
      </c>
    </row>
    <row r="61" spans="1:12">
      <c r="A61" s="10">
        <v>9</v>
      </c>
      <c r="B61" s="11" t="s">
        <v>485</v>
      </c>
      <c r="C61" s="11">
        <v>4</v>
      </c>
      <c r="D61" s="11">
        <v>6</v>
      </c>
      <c r="E61" s="11" t="s">
        <v>486</v>
      </c>
      <c r="F61" s="34">
        <v>97</v>
      </c>
      <c r="G61" s="24" t="str">
        <f>VLOOKUP(tbl_ProductsView[[#This Row],[CategoryID]],categories!$A:$B,2,FALSE)</f>
        <v>Meat/Poultry</v>
      </c>
      <c r="I61" s="11">
        <v>9</v>
      </c>
      <c r="J61" s="11">
        <v>10251</v>
      </c>
      <c r="K61" s="11">
        <v>22</v>
      </c>
      <c r="L61" s="11">
        <v>6</v>
      </c>
    </row>
    <row r="62" spans="1:12">
      <c r="A62" s="10">
        <v>10</v>
      </c>
      <c r="B62" s="11" t="s">
        <v>487</v>
      </c>
      <c r="C62" s="11">
        <v>4</v>
      </c>
      <c r="D62" s="11">
        <v>8</v>
      </c>
      <c r="E62" s="11" t="s">
        <v>488</v>
      </c>
      <c r="F62" s="34">
        <v>31</v>
      </c>
      <c r="G62" s="24" t="str">
        <f>VLOOKUP(tbl_ProductsView[[#This Row],[CategoryID]],categories!$A:$B,2,FALSE)</f>
        <v>Seafood</v>
      </c>
      <c r="I62" s="11">
        <v>10</v>
      </c>
      <c r="J62" s="11">
        <v>10251</v>
      </c>
      <c r="K62" s="11">
        <v>57</v>
      </c>
      <c r="L62" s="11">
        <v>15</v>
      </c>
    </row>
    <row r="63" spans="1:12">
      <c r="A63" s="10">
        <v>11</v>
      </c>
      <c r="B63" s="11" t="s">
        <v>489</v>
      </c>
      <c r="C63" s="11">
        <v>5</v>
      </c>
      <c r="D63" s="11">
        <v>4</v>
      </c>
      <c r="E63" s="11" t="s">
        <v>490</v>
      </c>
      <c r="F63" s="34">
        <v>21</v>
      </c>
      <c r="G63" s="24" t="str">
        <f>VLOOKUP(tbl_ProductsView[[#This Row],[CategoryID]],categories!$A:$B,2,FALSE)</f>
        <v>Dairy Products</v>
      </c>
      <c r="I63" s="11">
        <v>11</v>
      </c>
      <c r="J63" s="11">
        <v>10251</v>
      </c>
      <c r="K63" s="11">
        <v>65</v>
      </c>
      <c r="L63" s="11">
        <v>20</v>
      </c>
    </row>
    <row r="64" spans="1:12">
      <c r="A64" s="10">
        <v>12</v>
      </c>
      <c r="B64" s="11" t="s">
        <v>491</v>
      </c>
      <c r="C64" s="11">
        <v>5</v>
      </c>
      <c r="D64" s="11">
        <v>4</v>
      </c>
      <c r="E64" s="11" t="s">
        <v>492</v>
      </c>
      <c r="F64" s="34">
        <v>38</v>
      </c>
      <c r="G64" s="24" t="str">
        <f>VLOOKUP(tbl_ProductsView[[#This Row],[CategoryID]],categories!$A:$B,2,FALSE)</f>
        <v>Dairy Products</v>
      </c>
      <c r="I64" s="11">
        <v>12</v>
      </c>
      <c r="J64" s="11">
        <v>10252</v>
      </c>
      <c r="K64" s="11">
        <v>20</v>
      </c>
      <c r="L64" s="11">
        <v>40</v>
      </c>
    </row>
    <row r="65" spans="1:12">
      <c r="A65" s="10">
        <v>13</v>
      </c>
      <c r="B65" s="11" t="s">
        <v>493</v>
      </c>
      <c r="C65" s="11">
        <v>6</v>
      </c>
      <c r="D65" s="11">
        <v>8</v>
      </c>
      <c r="E65" s="11" t="s">
        <v>494</v>
      </c>
      <c r="F65" s="34">
        <v>6</v>
      </c>
      <c r="G65" s="24" t="str">
        <f>VLOOKUP(tbl_ProductsView[[#This Row],[CategoryID]],categories!$A:$B,2,FALSE)</f>
        <v>Seafood</v>
      </c>
      <c r="I65" s="11">
        <v>13</v>
      </c>
      <c r="J65" s="11">
        <v>10252</v>
      </c>
      <c r="K65" s="11">
        <v>33</v>
      </c>
      <c r="L65" s="11">
        <v>25</v>
      </c>
    </row>
    <row r="66" spans="1:12">
      <c r="A66" s="10">
        <v>14</v>
      </c>
      <c r="B66" s="11" t="s">
        <v>495</v>
      </c>
      <c r="C66" s="11">
        <v>6</v>
      </c>
      <c r="D66" s="11">
        <v>7</v>
      </c>
      <c r="E66" s="11" t="s">
        <v>496</v>
      </c>
      <c r="F66" s="34">
        <v>23</v>
      </c>
      <c r="G66" s="24" t="str">
        <f>VLOOKUP(tbl_ProductsView[[#This Row],[CategoryID]],categories!$A:$B,2,FALSE)</f>
        <v>Produce</v>
      </c>
      <c r="I66" s="11">
        <v>14</v>
      </c>
      <c r="J66" s="11">
        <v>10252</v>
      </c>
      <c r="K66" s="11">
        <v>60</v>
      </c>
      <c r="L66" s="11">
        <v>40</v>
      </c>
    </row>
    <row r="67" spans="1:12">
      <c r="A67" s="10">
        <v>15</v>
      </c>
      <c r="B67" s="11" t="s">
        <v>497</v>
      </c>
      <c r="C67" s="11">
        <v>6</v>
      </c>
      <c r="D67" s="11">
        <v>2</v>
      </c>
      <c r="E67" s="11" t="s">
        <v>498</v>
      </c>
      <c r="F67" s="34">
        <v>16</v>
      </c>
      <c r="G67" s="24" t="str">
        <f>VLOOKUP(tbl_ProductsView[[#This Row],[CategoryID]],categories!$A:$B,2,FALSE)</f>
        <v>Condiments</v>
      </c>
      <c r="I67" s="11">
        <v>15</v>
      </c>
      <c r="J67" s="11">
        <v>10253</v>
      </c>
      <c r="K67" s="11">
        <v>31</v>
      </c>
      <c r="L67" s="11">
        <v>20</v>
      </c>
    </row>
    <row r="68" spans="1:12">
      <c r="A68" s="10">
        <v>16</v>
      </c>
      <c r="B68" s="11" t="s">
        <v>499</v>
      </c>
      <c r="C68" s="11">
        <v>7</v>
      </c>
      <c r="D68" s="11">
        <v>3</v>
      </c>
      <c r="E68" s="11" t="s">
        <v>500</v>
      </c>
      <c r="F68" s="34">
        <v>17</v>
      </c>
      <c r="G68" s="24" t="str">
        <f>VLOOKUP(tbl_ProductsView[[#This Row],[CategoryID]],categories!$A:$B,2,FALSE)</f>
        <v>Confections</v>
      </c>
      <c r="I68" s="11">
        <v>16</v>
      </c>
      <c r="J68" s="11">
        <v>10253</v>
      </c>
      <c r="K68" s="11">
        <v>39</v>
      </c>
      <c r="L68" s="11">
        <v>42</v>
      </c>
    </row>
    <row r="69" spans="1:12">
      <c r="A69" s="10">
        <v>17</v>
      </c>
      <c r="B69" s="11" t="s">
        <v>501</v>
      </c>
      <c r="C69" s="11">
        <v>7</v>
      </c>
      <c r="D69" s="11">
        <v>6</v>
      </c>
      <c r="E69" s="11" t="s">
        <v>502</v>
      </c>
      <c r="F69" s="34">
        <v>39</v>
      </c>
      <c r="G69" s="24" t="str">
        <f>VLOOKUP(tbl_ProductsView[[#This Row],[CategoryID]],categories!$A:$B,2,FALSE)</f>
        <v>Meat/Poultry</v>
      </c>
      <c r="I69" s="11">
        <v>17</v>
      </c>
      <c r="J69" s="11">
        <v>10253</v>
      </c>
      <c r="K69" s="11">
        <v>49</v>
      </c>
      <c r="L69" s="11">
        <v>40</v>
      </c>
    </row>
    <row r="70" spans="1:12">
      <c r="A70" s="10">
        <v>18</v>
      </c>
      <c r="B70" s="11" t="s">
        <v>503</v>
      </c>
      <c r="C70" s="11">
        <v>7</v>
      </c>
      <c r="D70" s="11">
        <v>8</v>
      </c>
      <c r="E70" s="11" t="s">
        <v>504</v>
      </c>
      <c r="F70" s="34">
        <v>63</v>
      </c>
      <c r="G70" s="24" t="str">
        <f>VLOOKUP(tbl_ProductsView[[#This Row],[CategoryID]],categories!$A:$B,2,FALSE)</f>
        <v>Seafood</v>
      </c>
      <c r="I70" s="11">
        <v>18</v>
      </c>
      <c r="J70" s="11">
        <v>10254</v>
      </c>
      <c r="K70" s="11">
        <v>24</v>
      </c>
      <c r="L70" s="11">
        <v>15</v>
      </c>
    </row>
    <row r="71" spans="1:12">
      <c r="A71" s="10">
        <v>19</v>
      </c>
      <c r="B71" s="11" t="s">
        <v>505</v>
      </c>
      <c r="C71" s="11">
        <v>8</v>
      </c>
      <c r="D71" s="11">
        <v>3</v>
      </c>
      <c r="E71" s="11" t="s">
        <v>506</v>
      </c>
      <c r="F71" s="34">
        <v>9</v>
      </c>
      <c r="G71" s="24" t="str">
        <f>VLOOKUP(tbl_ProductsView[[#This Row],[CategoryID]],categories!$A:$B,2,FALSE)</f>
        <v>Confections</v>
      </c>
      <c r="I71" s="11">
        <v>19</v>
      </c>
      <c r="J71" s="11">
        <v>10254</v>
      </c>
      <c r="K71" s="11">
        <v>55</v>
      </c>
      <c r="L71" s="11">
        <v>21</v>
      </c>
    </row>
    <row r="72" spans="1:12">
      <c r="A72" s="10">
        <v>20</v>
      </c>
      <c r="B72" s="11" t="s">
        <v>507</v>
      </c>
      <c r="C72" s="11">
        <v>8</v>
      </c>
      <c r="D72" s="11">
        <v>3</v>
      </c>
      <c r="E72" s="11" t="s">
        <v>508</v>
      </c>
      <c r="F72" s="34">
        <v>81</v>
      </c>
      <c r="G72" s="24" t="str">
        <f>VLOOKUP(tbl_ProductsView[[#This Row],[CategoryID]],categories!$A:$B,2,FALSE)</f>
        <v>Confections</v>
      </c>
      <c r="I72" s="11">
        <v>20</v>
      </c>
      <c r="J72" s="11">
        <v>10254</v>
      </c>
      <c r="K72" s="11">
        <v>74</v>
      </c>
      <c r="L72" s="11">
        <v>21</v>
      </c>
    </row>
    <row r="73" spans="1:12">
      <c r="A73" s="10">
        <v>21</v>
      </c>
      <c r="B73" s="11" t="s">
        <v>509</v>
      </c>
      <c r="C73" s="11">
        <v>8</v>
      </c>
      <c r="D73" s="11">
        <v>3</v>
      </c>
      <c r="E73" s="11" t="s">
        <v>510</v>
      </c>
      <c r="F73" s="34">
        <v>10</v>
      </c>
      <c r="G73" s="24" t="str">
        <f>VLOOKUP(tbl_ProductsView[[#This Row],[CategoryID]],categories!$A:$B,2,FALSE)</f>
        <v>Confections</v>
      </c>
      <c r="I73" s="11">
        <v>21</v>
      </c>
      <c r="J73" s="11">
        <v>10255</v>
      </c>
      <c r="K73" s="11">
        <v>2</v>
      </c>
      <c r="L73" s="11">
        <v>20</v>
      </c>
    </row>
    <row r="74" spans="1:12">
      <c r="A74" s="10">
        <v>22</v>
      </c>
      <c r="B74" s="11" t="s">
        <v>511</v>
      </c>
      <c r="C74" s="11">
        <v>9</v>
      </c>
      <c r="D74" s="11">
        <v>5</v>
      </c>
      <c r="E74" s="11" t="s">
        <v>512</v>
      </c>
      <c r="F74" s="34">
        <v>21</v>
      </c>
      <c r="G74" s="24" t="str">
        <f>VLOOKUP(tbl_ProductsView[[#This Row],[CategoryID]],categories!$A:$B,2,FALSE)</f>
        <v>Grains/Cereals</v>
      </c>
      <c r="I74" s="11">
        <v>22</v>
      </c>
      <c r="J74" s="11">
        <v>10255</v>
      </c>
      <c r="K74" s="11">
        <v>16</v>
      </c>
      <c r="L74" s="11">
        <v>35</v>
      </c>
    </row>
    <row r="75" spans="1:12">
      <c r="A75" s="10">
        <v>23</v>
      </c>
      <c r="B75" s="11" t="s">
        <v>513</v>
      </c>
      <c r="C75" s="11">
        <v>9</v>
      </c>
      <c r="D75" s="11">
        <v>5</v>
      </c>
      <c r="E75" s="11" t="s">
        <v>514</v>
      </c>
      <c r="F75" s="34">
        <v>9</v>
      </c>
      <c r="G75" s="24" t="str">
        <f>VLOOKUP(tbl_ProductsView[[#This Row],[CategoryID]],categories!$A:$B,2,FALSE)</f>
        <v>Grains/Cereals</v>
      </c>
      <c r="I75" s="11">
        <v>23</v>
      </c>
      <c r="J75" s="11">
        <v>10255</v>
      </c>
      <c r="K75" s="11">
        <v>36</v>
      </c>
      <c r="L75" s="11">
        <v>25</v>
      </c>
    </row>
    <row r="76" spans="1:12">
      <c r="A76" s="10">
        <v>24</v>
      </c>
      <c r="B76" s="11" t="s">
        <v>515</v>
      </c>
      <c r="C76" s="11">
        <v>10</v>
      </c>
      <c r="D76" s="11">
        <v>1</v>
      </c>
      <c r="E76" s="11" t="s">
        <v>516</v>
      </c>
      <c r="F76" s="34">
        <v>5</v>
      </c>
      <c r="G76" s="24" t="str">
        <f>VLOOKUP(tbl_ProductsView[[#This Row],[CategoryID]],categories!$A:$B,2,FALSE)</f>
        <v>Beverages</v>
      </c>
      <c r="I76" s="11">
        <v>24</v>
      </c>
      <c r="J76" s="11">
        <v>10255</v>
      </c>
      <c r="K76" s="11">
        <v>59</v>
      </c>
      <c r="L76" s="11">
        <v>30</v>
      </c>
    </row>
    <row r="77" spans="1:12">
      <c r="A77" s="13">
        <v>25</v>
      </c>
      <c r="B77" s="14" t="s">
        <v>517</v>
      </c>
      <c r="C77" s="14">
        <v>11</v>
      </c>
      <c r="D77" s="14">
        <v>3</v>
      </c>
      <c r="E77" s="14" t="s">
        <v>518</v>
      </c>
      <c r="F77" s="38">
        <v>14</v>
      </c>
      <c r="G77" s="23" t="str">
        <f>VLOOKUP(tbl_ProductsView[[#This Row],[CategoryID]],categories!$A:$B,2,FALSE)</f>
        <v>Confections</v>
      </c>
      <c r="I77" s="11">
        <v>25</v>
      </c>
      <c r="J77" s="11">
        <v>10256</v>
      </c>
      <c r="K77" s="11">
        <v>53</v>
      </c>
      <c r="L77" s="11">
        <v>15</v>
      </c>
    </row>
  </sheetData>
  <mergeCells count="10">
    <mergeCell ref="A1:N1"/>
    <mergeCell ref="E5:H5"/>
    <mergeCell ref="A5:B5"/>
    <mergeCell ref="A31:C31"/>
    <mergeCell ref="A39:C39"/>
    <mergeCell ref="A50:G50"/>
    <mergeCell ref="E17:F17"/>
    <mergeCell ref="A18:B18"/>
    <mergeCell ref="A24:C24"/>
    <mergeCell ref="E24:I24"/>
  </mergeCells>
  <conditionalFormatting sqref="B53:B77">
    <cfRule type="expression" dxfId="0" priority="2">
      <formula>$F53&gt;50</formula>
    </cfRule>
  </conditionalFormatting>
  <conditionalFormatting sqref="L52:L77">
    <cfRule type="iconSet" priority="1">
      <iconSet>
        <cfvo type="percent" val="0"/>
        <cfvo type="percent" val="33"/>
        <cfvo type="percent" val="67"/>
      </iconSet>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28280658-B485-41E0-B038-789E41053598}">
          <x14:formula1>
            <xm:f>categories!$B$2:$B$9</xm:f>
          </x14:formula1>
          <xm:sqref>B20</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874FD-4ABB-4AB0-B953-18DD3FE028A5}">
  <dimension ref="A1:V519"/>
  <sheetViews>
    <sheetView topLeftCell="F2" workbookViewId="0">
      <selection activeCell="B8" sqref="B8"/>
    </sheetView>
  </sheetViews>
  <sheetFormatPr defaultRowHeight="14.5"/>
  <cols>
    <col min="1" max="1" width="15.7265625" bestFit="1" customWidth="1"/>
    <col min="2" max="2" width="10.26953125" bestFit="1" customWidth="1"/>
    <col min="3" max="3" width="12" bestFit="1" customWidth="1"/>
    <col min="4" max="4" width="11" bestFit="1" customWidth="1"/>
    <col min="5" max="5" width="12.54296875" bestFit="1" customWidth="1"/>
    <col min="6" max="6" width="13.7265625" bestFit="1" customWidth="1"/>
    <col min="7" max="7" width="33.1796875" bestFit="1" customWidth="1"/>
    <col min="8" max="8" width="11.453125" bestFit="1" customWidth="1"/>
    <col min="9" max="9" width="14" bestFit="1" customWidth="1"/>
    <col min="10" max="10" width="12" bestFit="1" customWidth="1"/>
    <col min="11" max="11" width="16" bestFit="1" customWidth="1"/>
    <col min="12" max="12" width="31.81640625" bestFit="1" customWidth="1"/>
    <col min="13" max="13" width="13" bestFit="1" customWidth="1"/>
    <col min="14" max="14" width="16.54296875" bestFit="1" customWidth="1"/>
    <col min="15" max="15" width="12.54296875" bestFit="1" customWidth="1"/>
    <col min="16" max="16" width="38" bestFit="1" customWidth="1"/>
    <col min="17" max="17" width="7.7265625" bestFit="1" customWidth="1"/>
    <col min="18" max="18" width="13" bestFit="1" customWidth="1"/>
    <col min="19" max="19" width="12.26953125" bestFit="1" customWidth="1"/>
    <col min="22" max="22" width="12.81640625" customWidth="1"/>
  </cols>
  <sheetData>
    <row r="1" spans="1:22">
      <c r="A1" t="s">
        <v>459</v>
      </c>
      <c r="B1" t="s">
        <v>460</v>
      </c>
      <c r="C1" t="s">
        <v>461</v>
      </c>
      <c r="D1" t="s">
        <v>462</v>
      </c>
      <c r="E1" t="s">
        <v>463</v>
      </c>
      <c r="F1" t="s">
        <v>19</v>
      </c>
      <c r="G1" t="s">
        <v>20</v>
      </c>
      <c r="H1" t="s">
        <v>25</v>
      </c>
      <c r="I1" t="s">
        <v>413</v>
      </c>
      <c r="J1" t="s">
        <v>464</v>
      </c>
      <c r="K1" t="s">
        <v>616</v>
      </c>
      <c r="L1" t="s">
        <v>465</v>
      </c>
      <c r="M1" t="s">
        <v>0</v>
      </c>
      <c r="N1" t="s">
        <v>1</v>
      </c>
      <c r="O1" t="s">
        <v>466</v>
      </c>
      <c r="P1" t="s">
        <v>624</v>
      </c>
      <c r="Q1" t="s">
        <v>468</v>
      </c>
      <c r="R1" t="s">
        <v>878</v>
      </c>
      <c r="S1" t="s">
        <v>879</v>
      </c>
      <c r="T1" t="s">
        <v>880</v>
      </c>
      <c r="U1" t="s">
        <v>881</v>
      </c>
      <c r="V1" t="s">
        <v>882</v>
      </c>
    </row>
    <row r="2" spans="1:22">
      <c r="A2">
        <v>1</v>
      </c>
      <c r="B2">
        <v>10248</v>
      </c>
      <c r="C2">
        <v>11</v>
      </c>
      <c r="D2" s="19">
        <v>12</v>
      </c>
      <c r="E2" s="20">
        <f>_xlfn.XLOOKUP(tbl_FACTS[[#This Row],[OrderID]],Πίνακας64[OrderID],Πίνακας64[OrderDate])</f>
        <v>35250</v>
      </c>
      <c r="F2">
        <f>_xlfn.XLOOKUP(tbl_FACTS[[#This Row],[OrderID]],Πίνακας64[OrderID],Πίνακας64[CustomerID])</f>
        <v>90</v>
      </c>
      <c r="G2" t="str">
        <f>_xlfn.XLOOKUP(tbl_FACTS[[#This Row],[CustomerID]],Πίνακας1[CustomerID],Πίνακας1[CustomerName])</f>
        <v>Wilman Kala</v>
      </c>
      <c r="H2" t="str">
        <f>_xlfn.XLOOKUP(tbl_FACTS[[#This Row],[CustomerID]],Πίνακας1[CustomerID],Πίνακας1[Country])</f>
        <v>Finland</v>
      </c>
      <c r="I2">
        <f>_xlfn.XLOOKUP(tbl_FACTS[[#This Row],[OrderID]],Πίνακας64[OrderID],Πίνακας64[EmployeeID])</f>
        <v>5</v>
      </c>
      <c r="J2">
        <f>_xlfn.XLOOKUP(tbl_FACTS[[#This Row],[OrderID]],Πίνακας64[OrderID],Πίνακας64[ShipperID])</f>
        <v>3</v>
      </c>
      <c r="K2" t="str">
        <f>_xlfn.XLOOKUP(tbl_FACTS[[#This Row],[ShipperID]],Πίνακας8[ShipperID],Πίνακας8[ShipperName])</f>
        <v>Federal Shipping</v>
      </c>
      <c r="L2" t="str">
        <f>_xlfn.XLOOKUP(tbl_FACTS[[#This Row],[ProductID]],Πίνακας7[ProductID],Πίνακας7[ProductName])</f>
        <v>Queso Cabrales</v>
      </c>
      <c r="M2">
        <f>_xlfn.XLOOKUP(tbl_FACTS[[#This Row],[ProductID]],Πίνακας7[ProductID],Πίνακας7[CategoryID])</f>
        <v>4</v>
      </c>
      <c r="N2" t="str">
        <f>_xlfn.XLOOKUP(tbl_FACTS[[#This Row],[CategoryID]],Πίνακας4[CategoryID],Πίνακας4[CategoryName])</f>
        <v>Dairy Products</v>
      </c>
      <c r="O2">
        <f>_xlfn.XLOOKUP(tbl_FACTS[[#This Row],[ProductID]],Πίνακας7[ProductID],Πίνακας7[SupplierID])</f>
        <v>5</v>
      </c>
      <c r="P2" t="str">
        <f>_xlfn.XLOOKUP(tbl_FACTS[[#This Row],[SupplierID]],Πίνακας9[SupplierID],Πίνακας9[SupplierName])</f>
        <v>Cooperativa de Quesos 'Las Cabras'</v>
      </c>
      <c r="Q2" s="21">
        <f>_xlfn.XLOOKUP(tbl_FACTS[[#This Row],[ProductID]],Πίνακας7[ProductID],Πίνακας7[Price])</f>
        <v>21</v>
      </c>
      <c r="R2" s="21">
        <f>tbl_FACTS[[#This Row],[Quantity]]*tbl_FACTS[[#This Row],[Price]]</f>
        <v>252</v>
      </c>
      <c r="S2" s="19">
        <f>IF(COUNTIFS(tbl_FACTS[OrderID],tbl_FACTS[[#This Row],[OrderID]],tbl_FACTS[OrderDetailID],"&lt;"&amp;tbl_FACTS[[#This Row],[OrderDetailID]])=0,1,0)</f>
        <v>1</v>
      </c>
      <c r="T2" s="19">
        <f>YEAR(tbl_FACTS[[#This Row],[OrderDate]])</f>
        <v>1996</v>
      </c>
      <c r="U2" s="22">
        <f>DATE(YEAR(tbl_FACTS[[#This Row],[OrderDate]]),MONTH(tbl_FACTS[[#This Row],[OrderDate]]),1)</f>
        <v>35247</v>
      </c>
      <c r="V2" s="22" t="str">
        <f>IF(tbl_FACTS[[#This Row],[Quantity]]&lt;=10,"0–10",IF(tbl_FACTS[[#This Row],[Quantity]]&lt;=20,"11–20",IF(tbl_FACTS[[#This Row],[Quantity]]&lt;=30,"21–30",IF(tbl_FACTS[[#This Row],[Quantity]]&lt;=40,"31–40",IF(tbl_FACTS[[#This Row],[Quantity]]&lt;=50,"41–50","51+")))))</f>
        <v>11–20</v>
      </c>
    </row>
    <row r="3" spans="1:22">
      <c r="A3">
        <v>2</v>
      </c>
      <c r="B3">
        <v>10248</v>
      </c>
      <c r="C3">
        <v>42</v>
      </c>
      <c r="D3" s="19">
        <v>10</v>
      </c>
      <c r="E3" s="20">
        <f>_xlfn.XLOOKUP(tbl_FACTS[[#This Row],[OrderID]],Πίνακας64[OrderID],Πίνακας64[OrderDate])</f>
        <v>35250</v>
      </c>
      <c r="F3">
        <f>_xlfn.XLOOKUP(tbl_FACTS[[#This Row],[OrderID]],Πίνακας64[OrderID],Πίνακας64[CustomerID])</f>
        <v>90</v>
      </c>
      <c r="G3" t="str">
        <f>_xlfn.XLOOKUP(tbl_FACTS[[#This Row],[CustomerID]],Πίνακας1[CustomerID],Πίνακας1[CustomerName])</f>
        <v>Wilman Kala</v>
      </c>
      <c r="H3" t="str">
        <f>_xlfn.XLOOKUP(tbl_FACTS[[#This Row],[CustomerID]],Πίνακας1[CustomerID],Πίνακας1[Country])</f>
        <v>Finland</v>
      </c>
      <c r="I3">
        <f>_xlfn.XLOOKUP(tbl_FACTS[[#This Row],[OrderID]],Πίνακας64[OrderID],Πίνακας64[EmployeeID])</f>
        <v>5</v>
      </c>
      <c r="J3">
        <f>_xlfn.XLOOKUP(tbl_FACTS[[#This Row],[OrderID]],Πίνακας64[OrderID],Πίνακας64[ShipperID])</f>
        <v>3</v>
      </c>
      <c r="K3" t="str">
        <f>_xlfn.XLOOKUP(tbl_FACTS[[#This Row],[ShipperID]],Πίνακας8[ShipperID],Πίνακας8[ShipperName])</f>
        <v>Federal Shipping</v>
      </c>
      <c r="L3" t="str">
        <f>_xlfn.XLOOKUP(tbl_FACTS[[#This Row],[ProductID]],Πίνακας7[ProductID],Πίνακας7[ProductName])</f>
        <v>Singaporean Hokkien Fried Mee</v>
      </c>
      <c r="M3">
        <f>_xlfn.XLOOKUP(tbl_FACTS[[#This Row],[ProductID]],Πίνακας7[ProductID],Πίνακας7[CategoryID])</f>
        <v>5</v>
      </c>
      <c r="N3" t="str">
        <f>_xlfn.XLOOKUP(tbl_FACTS[[#This Row],[CategoryID]],Πίνακας4[CategoryID],Πίνακας4[CategoryName])</f>
        <v>Grains/Cereals</v>
      </c>
      <c r="O3">
        <f>_xlfn.XLOOKUP(tbl_FACTS[[#This Row],[ProductID]],Πίνακας7[ProductID],Πίνακας7[SupplierID])</f>
        <v>20</v>
      </c>
      <c r="P3" t="str">
        <f>_xlfn.XLOOKUP(tbl_FACTS[[#This Row],[SupplierID]],Πίνακας9[SupplierID],Πίνακας9[SupplierName])</f>
        <v>Leka Trading</v>
      </c>
      <c r="Q3" s="21">
        <f>_xlfn.XLOOKUP(tbl_FACTS[[#This Row],[ProductID]],Πίνακας7[ProductID],Πίνακας7[Price])</f>
        <v>14</v>
      </c>
      <c r="R3" s="21">
        <f>tbl_FACTS[[#This Row],[Quantity]]*tbl_FACTS[[#This Row],[Price]]</f>
        <v>140</v>
      </c>
      <c r="S3" s="19">
        <f>IF(COUNTIFS(tbl_FACTS[OrderID],tbl_FACTS[[#This Row],[OrderID]],tbl_FACTS[OrderDetailID],"&lt;"&amp;tbl_FACTS[[#This Row],[OrderDetailID]])=0,1,0)</f>
        <v>0</v>
      </c>
      <c r="T3" s="19">
        <f>YEAR(tbl_FACTS[[#This Row],[OrderDate]])</f>
        <v>1996</v>
      </c>
      <c r="U3" s="22">
        <f>DATE(YEAR(tbl_FACTS[[#This Row],[OrderDate]]),MONTH(tbl_FACTS[[#This Row],[OrderDate]]),1)</f>
        <v>35247</v>
      </c>
      <c r="V3" s="22" t="str">
        <f>IF(tbl_FACTS[[#This Row],[Quantity]]&lt;=10,"0–10",IF(tbl_FACTS[[#This Row],[Quantity]]&lt;=20,"11–20",IF(tbl_FACTS[[#This Row],[Quantity]]&lt;=30,"21–30",IF(tbl_FACTS[[#This Row],[Quantity]]&lt;=40,"31–40",IF(tbl_FACTS[[#This Row],[Quantity]]&lt;=50,"41–50","51+")))))</f>
        <v>0–10</v>
      </c>
    </row>
    <row r="4" spans="1:22">
      <c r="A4">
        <v>3</v>
      </c>
      <c r="B4">
        <v>10248</v>
      </c>
      <c r="C4">
        <v>72</v>
      </c>
      <c r="D4" s="19">
        <v>5</v>
      </c>
      <c r="E4" s="20">
        <f>_xlfn.XLOOKUP(tbl_FACTS[[#This Row],[OrderID]],Πίνακας64[OrderID],Πίνακας64[OrderDate])</f>
        <v>35250</v>
      </c>
      <c r="F4">
        <f>_xlfn.XLOOKUP(tbl_FACTS[[#This Row],[OrderID]],Πίνακας64[OrderID],Πίνακας64[CustomerID])</f>
        <v>90</v>
      </c>
      <c r="G4" t="str">
        <f>_xlfn.XLOOKUP(tbl_FACTS[[#This Row],[CustomerID]],Πίνακας1[CustomerID],Πίνακας1[CustomerName])</f>
        <v>Wilman Kala</v>
      </c>
      <c r="H4" t="str">
        <f>_xlfn.XLOOKUP(tbl_FACTS[[#This Row],[CustomerID]],Πίνακας1[CustomerID],Πίνακας1[Country])</f>
        <v>Finland</v>
      </c>
      <c r="I4">
        <f>_xlfn.XLOOKUP(tbl_FACTS[[#This Row],[OrderID]],Πίνακας64[OrderID],Πίνακας64[EmployeeID])</f>
        <v>5</v>
      </c>
      <c r="J4">
        <f>_xlfn.XLOOKUP(tbl_FACTS[[#This Row],[OrderID]],Πίνακας64[OrderID],Πίνακας64[ShipperID])</f>
        <v>3</v>
      </c>
      <c r="K4" t="str">
        <f>_xlfn.XLOOKUP(tbl_FACTS[[#This Row],[ShipperID]],Πίνακας8[ShipperID],Πίνακας8[ShipperName])</f>
        <v>Federal Shipping</v>
      </c>
      <c r="L4" t="str">
        <f>_xlfn.XLOOKUP(tbl_FACTS[[#This Row],[ProductID]],Πίνακας7[ProductID],Πίνακας7[ProductName])</f>
        <v>Mozzarella di Giovanni</v>
      </c>
      <c r="M4">
        <f>_xlfn.XLOOKUP(tbl_FACTS[[#This Row],[ProductID]],Πίνακας7[ProductID],Πίνακας7[CategoryID])</f>
        <v>4</v>
      </c>
      <c r="N4" t="str">
        <f>_xlfn.XLOOKUP(tbl_FACTS[[#This Row],[CategoryID]],Πίνακας4[CategoryID],Πίνακας4[CategoryName])</f>
        <v>Dairy Products</v>
      </c>
      <c r="O4">
        <f>_xlfn.XLOOKUP(tbl_FACTS[[#This Row],[ProductID]],Πίνακας7[ProductID],Πίνακας7[SupplierID])</f>
        <v>14</v>
      </c>
      <c r="P4" t="str">
        <f>_xlfn.XLOOKUP(tbl_FACTS[[#This Row],[SupplierID]],Πίνακας9[SupplierID],Πίνακας9[SupplierName])</f>
        <v>Formaggi Fortini s.r.l.</v>
      </c>
      <c r="Q4" s="21">
        <f>_xlfn.XLOOKUP(tbl_FACTS[[#This Row],[ProductID]],Πίνακας7[ProductID],Πίνακας7[Price])</f>
        <v>35</v>
      </c>
      <c r="R4" s="21">
        <f>tbl_FACTS[[#This Row],[Quantity]]*tbl_FACTS[[#This Row],[Price]]</f>
        <v>175</v>
      </c>
      <c r="S4" s="19">
        <f>IF(COUNTIFS(tbl_FACTS[OrderID],tbl_FACTS[[#This Row],[OrderID]],tbl_FACTS[OrderDetailID],"&lt;"&amp;tbl_FACTS[[#This Row],[OrderDetailID]])=0,1,0)</f>
        <v>0</v>
      </c>
      <c r="T4" s="19">
        <f>YEAR(tbl_FACTS[[#This Row],[OrderDate]])</f>
        <v>1996</v>
      </c>
      <c r="U4" s="22">
        <f>DATE(YEAR(tbl_FACTS[[#This Row],[OrderDate]]),MONTH(tbl_FACTS[[#This Row],[OrderDate]]),1)</f>
        <v>35247</v>
      </c>
      <c r="V4" s="22" t="str">
        <f>IF(tbl_FACTS[[#This Row],[Quantity]]&lt;=10,"0–10",IF(tbl_FACTS[[#This Row],[Quantity]]&lt;=20,"11–20",IF(tbl_FACTS[[#This Row],[Quantity]]&lt;=30,"21–30",IF(tbl_FACTS[[#This Row],[Quantity]]&lt;=40,"31–40",IF(tbl_FACTS[[#This Row],[Quantity]]&lt;=50,"41–50","51+")))))</f>
        <v>0–10</v>
      </c>
    </row>
    <row r="5" spans="1:22">
      <c r="A5">
        <v>4</v>
      </c>
      <c r="B5">
        <v>10249</v>
      </c>
      <c r="C5">
        <v>14</v>
      </c>
      <c r="D5" s="19">
        <v>9</v>
      </c>
      <c r="E5" s="20">
        <f>_xlfn.XLOOKUP(tbl_FACTS[[#This Row],[OrderID]],Πίνακας64[OrderID],Πίνακας64[OrderDate])</f>
        <v>35251</v>
      </c>
      <c r="F5">
        <f>_xlfn.XLOOKUP(tbl_FACTS[[#This Row],[OrderID]],Πίνακας64[OrderID],Πίνακας64[CustomerID])</f>
        <v>81</v>
      </c>
      <c r="G5" t="str">
        <f>_xlfn.XLOOKUP(tbl_FACTS[[#This Row],[CustomerID]],Πίνακας1[CustomerID],Πίνακας1[CustomerName])</f>
        <v>Tradicao Hipermercados</v>
      </c>
      <c r="H5" t="str">
        <f>_xlfn.XLOOKUP(tbl_FACTS[[#This Row],[CustomerID]],Πίνακας1[CustomerID],Πίνακας1[Country])</f>
        <v>Brazil</v>
      </c>
      <c r="I5">
        <f>_xlfn.XLOOKUP(tbl_FACTS[[#This Row],[OrderID]],Πίνακας64[OrderID],Πίνακας64[EmployeeID])</f>
        <v>6</v>
      </c>
      <c r="J5">
        <f>_xlfn.XLOOKUP(tbl_FACTS[[#This Row],[OrderID]],Πίνακας64[OrderID],Πίνακας64[ShipperID])</f>
        <v>1</v>
      </c>
      <c r="K5" t="str">
        <f>_xlfn.XLOOKUP(tbl_FACTS[[#This Row],[ShipperID]],Πίνακας8[ShipperID],Πίνακας8[ShipperName])</f>
        <v>Speedy Express</v>
      </c>
      <c r="L5" t="str">
        <f>_xlfn.XLOOKUP(tbl_FACTS[[#This Row],[ProductID]],Πίνακας7[ProductID],Πίνακας7[ProductName])</f>
        <v>Tofu</v>
      </c>
      <c r="M5">
        <f>_xlfn.XLOOKUP(tbl_FACTS[[#This Row],[ProductID]],Πίνακας7[ProductID],Πίνακας7[CategoryID])</f>
        <v>7</v>
      </c>
      <c r="N5" t="str">
        <f>_xlfn.XLOOKUP(tbl_FACTS[[#This Row],[CategoryID]],Πίνακας4[CategoryID],Πίνακας4[CategoryName])</f>
        <v>Produce</v>
      </c>
      <c r="O5">
        <f>_xlfn.XLOOKUP(tbl_FACTS[[#This Row],[ProductID]],Πίνακας7[ProductID],Πίνακας7[SupplierID])</f>
        <v>6</v>
      </c>
      <c r="P5" t="str">
        <f>_xlfn.XLOOKUP(tbl_FACTS[[#This Row],[SupplierID]],Πίνακας9[SupplierID],Πίνακας9[SupplierName])</f>
        <v>Mayumi's</v>
      </c>
      <c r="Q5" s="21">
        <f>_xlfn.XLOOKUP(tbl_FACTS[[#This Row],[ProductID]],Πίνακας7[ProductID],Πίνακας7[Price])</f>
        <v>23</v>
      </c>
      <c r="R5" s="21">
        <f>tbl_FACTS[[#This Row],[Quantity]]*tbl_FACTS[[#This Row],[Price]]</f>
        <v>207</v>
      </c>
      <c r="S5" s="19">
        <f>IF(COUNTIFS(tbl_FACTS[OrderID],tbl_FACTS[[#This Row],[OrderID]],tbl_FACTS[OrderDetailID],"&lt;"&amp;tbl_FACTS[[#This Row],[OrderDetailID]])=0,1,0)</f>
        <v>1</v>
      </c>
      <c r="T5" s="19">
        <f>YEAR(tbl_FACTS[[#This Row],[OrderDate]])</f>
        <v>1996</v>
      </c>
      <c r="U5" s="22">
        <f>DATE(YEAR(tbl_FACTS[[#This Row],[OrderDate]]),MONTH(tbl_FACTS[[#This Row],[OrderDate]]),1)</f>
        <v>35247</v>
      </c>
      <c r="V5" s="22" t="str">
        <f>IF(tbl_FACTS[[#This Row],[Quantity]]&lt;=10,"0–10",IF(tbl_FACTS[[#This Row],[Quantity]]&lt;=20,"11–20",IF(tbl_FACTS[[#This Row],[Quantity]]&lt;=30,"21–30",IF(tbl_FACTS[[#This Row],[Quantity]]&lt;=40,"31–40",IF(tbl_FACTS[[#This Row],[Quantity]]&lt;=50,"41–50","51+")))))</f>
        <v>0–10</v>
      </c>
    </row>
    <row r="6" spans="1:22">
      <c r="A6">
        <v>5</v>
      </c>
      <c r="B6">
        <v>10249</v>
      </c>
      <c r="C6">
        <v>51</v>
      </c>
      <c r="D6" s="19">
        <v>40</v>
      </c>
      <c r="E6" s="20">
        <f>_xlfn.XLOOKUP(tbl_FACTS[[#This Row],[OrderID]],Πίνακας64[OrderID],Πίνακας64[OrderDate])</f>
        <v>35251</v>
      </c>
      <c r="F6">
        <f>_xlfn.XLOOKUP(tbl_FACTS[[#This Row],[OrderID]],Πίνακας64[OrderID],Πίνακας64[CustomerID])</f>
        <v>81</v>
      </c>
      <c r="G6" t="str">
        <f>_xlfn.XLOOKUP(tbl_FACTS[[#This Row],[CustomerID]],Πίνακας1[CustomerID],Πίνακας1[CustomerName])</f>
        <v>Tradicao Hipermercados</v>
      </c>
      <c r="H6" t="str">
        <f>_xlfn.XLOOKUP(tbl_FACTS[[#This Row],[CustomerID]],Πίνακας1[CustomerID],Πίνακας1[Country])</f>
        <v>Brazil</v>
      </c>
      <c r="I6">
        <f>_xlfn.XLOOKUP(tbl_FACTS[[#This Row],[OrderID]],Πίνακας64[OrderID],Πίνακας64[EmployeeID])</f>
        <v>6</v>
      </c>
      <c r="J6">
        <f>_xlfn.XLOOKUP(tbl_FACTS[[#This Row],[OrderID]],Πίνακας64[OrderID],Πίνακας64[ShipperID])</f>
        <v>1</v>
      </c>
      <c r="K6" t="str">
        <f>_xlfn.XLOOKUP(tbl_FACTS[[#This Row],[ShipperID]],Πίνακας8[ShipperID],Πίνακας8[ShipperName])</f>
        <v>Speedy Express</v>
      </c>
      <c r="L6" t="str">
        <f>_xlfn.XLOOKUP(tbl_FACTS[[#This Row],[ProductID]],Πίνακας7[ProductID],Πίνακας7[ProductName])</f>
        <v>Manjimup Dried Apples</v>
      </c>
      <c r="M6">
        <f>_xlfn.XLOOKUP(tbl_FACTS[[#This Row],[ProductID]],Πίνακας7[ProductID],Πίνακας7[CategoryID])</f>
        <v>7</v>
      </c>
      <c r="N6" t="str">
        <f>_xlfn.XLOOKUP(tbl_FACTS[[#This Row],[CategoryID]],Πίνακας4[CategoryID],Πίνακας4[CategoryName])</f>
        <v>Produce</v>
      </c>
      <c r="O6">
        <f>_xlfn.XLOOKUP(tbl_FACTS[[#This Row],[ProductID]],Πίνακας7[ProductID],Πίνακας7[SupplierID])</f>
        <v>24</v>
      </c>
      <c r="P6" t="str">
        <f>_xlfn.XLOOKUP(tbl_FACTS[[#This Row],[SupplierID]],Πίνακας9[SupplierID],Πίνακας9[SupplierName])</f>
        <v>G'day, Mate</v>
      </c>
      <c r="Q6" s="21">
        <f>_xlfn.XLOOKUP(tbl_FACTS[[#This Row],[ProductID]],Πίνακας7[ProductID],Πίνακας7[Price])</f>
        <v>53</v>
      </c>
      <c r="R6" s="21">
        <f>tbl_FACTS[[#This Row],[Quantity]]*tbl_FACTS[[#This Row],[Price]]</f>
        <v>2120</v>
      </c>
      <c r="S6" s="19">
        <f>IF(COUNTIFS(tbl_FACTS[OrderID],tbl_FACTS[[#This Row],[OrderID]],tbl_FACTS[OrderDetailID],"&lt;"&amp;tbl_FACTS[[#This Row],[OrderDetailID]])=0,1,0)</f>
        <v>0</v>
      </c>
      <c r="T6" s="19">
        <f>YEAR(tbl_FACTS[[#This Row],[OrderDate]])</f>
        <v>1996</v>
      </c>
      <c r="U6" s="22">
        <f>DATE(YEAR(tbl_FACTS[[#This Row],[OrderDate]]),MONTH(tbl_FACTS[[#This Row],[OrderDate]]),1)</f>
        <v>35247</v>
      </c>
      <c r="V6" s="22" t="str">
        <f>IF(tbl_FACTS[[#This Row],[Quantity]]&lt;=10,"0–10",IF(tbl_FACTS[[#This Row],[Quantity]]&lt;=20,"11–20",IF(tbl_FACTS[[#This Row],[Quantity]]&lt;=30,"21–30",IF(tbl_FACTS[[#This Row],[Quantity]]&lt;=40,"31–40",IF(tbl_FACTS[[#This Row],[Quantity]]&lt;=50,"41–50","51+")))))</f>
        <v>31–40</v>
      </c>
    </row>
    <row r="7" spans="1:22">
      <c r="A7">
        <v>6</v>
      </c>
      <c r="B7">
        <v>10250</v>
      </c>
      <c r="C7">
        <v>41</v>
      </c>
      <c r="D7" s="19">
        <v>10</v>
      </c>
      <c r="E7" s="20">
        <f>_xlfn.XLOOKUP(tbl_FACTS[[#This Row],[OrderID]],Πίνακας64[OrderID],Πίνακας64[OrderDate])</f>
        <v>35254</v>
      </c>
      <c r="F7">
        <f>_xlfn.XLOOKUP(tbl_FACTS[[#This Row],[OrderID]],Πίνακας64[OrderID],Πίνακας64[CustomerID])</f>
        <v>34</v>
      </c>
      <c r="G7" t="str">
        <f>_xlfn.XLOOKUP(tbl_FACTS[[#This Row],[CustomerID]],Πίνακας1[CustomerID],Πίνακας1[CustomerName])</f>
        <v>Hanari Carnes</v>
      </c>
      <c r="H7" t="str">
        <f>_xlfn.XLOOKUP(tbl_FACTS[[#This Row],[CustomerID]],Πίνακας1[CustomerID],Πίνακας1[Country])</f>
        <v>Brazil</v>
      </c>
      <c r="I7">
        <f>_xlfn.XLOOKUP(tbl_FACTS[[#This Row],[OrderID]],Πίνακας64[OrderID],Πίνακας64[EmployeeID])</f>
        <v>4</v>
      </c>
      <c r="J7">
        <f>_xlfn.XLOOKUP(tbl_FACTS[[#This Row],[OrderID]],Πίνακας64[OrderID],Πίνακας64[ShipperID])</f>
        <v>2</v>
      </c>
      <c r="K7" t="str">
        <f>_xlfn.XLOOKUP(tbl_FACTS[[#This Row],[ShipperID]],Πίνακας8[ShipperID],Πίνακας8[ShipperName])</f>
        <v>United Package</v>
      </c>
      <c r="L7" t="str">
        <f>_xlfn.XLOOKUP(tbl_FACTS[[#This Row],[ProductID]],Πίνακας7[ProductID],Πίνακας7[ProductName])</f>
        <v>Jack's New England Clam Chowder</v>
      </c>
      <c r="M7">
        <f>_xlfn.XLOOKUP(tbl_FACTS[[#This Row],[ProductID]],Πίνακας7[ProductID],Πίνακας7[CategoryID])</f>
        <v>8</v>
      </c>
      <c r="N7" t="str">
        <f>_xlfn.XLOOKUP(tbl_FACTS[[#This Row],[CategoryID]],Πίνακας4[CategoryID],Πίνακας4[CategoryName])</f>
        <v>Seafood</v>
      </c>
      <c r="O7">
        <f>_xlfn.XLOOKUP(tbl_FACTS[[#This Row],[ProductID]],Πίνακας7[ProductID],Πίνακας7[SupplierID])</f>
        <v>19</v>
      </c>
      <c r="P7" t="str">
        <f>_xlfn.XLOOKUP(tbl_FACTS[[#This Row],[SupplierID]],Πίνακας9[SupplierID],Πίνακας9[SupplierName])</f>
        <v>New England Seafood Cannery</v>
      </c>
      <c r="Q7" s="21">
        <f>_xlfn.XLOOKUP(tbl_FACTS[[#This Row],[ProductID]],Πίνακας7[ProductID],Πίνακας7[Price])</f>
        <v>10</v>
      </c>
      <c r="R7" s="21">
        <f>tbl_FACTS[[#This Row],[Quantity]]*tbl_FACTS[[#This Row],[Price]]</f>
        <v>100</v>
      </c>
      <c r="S7" s="19">
        <f>IF(COUNTIFS(tbl_FACTS[OrderID],tbl_FACTS[[#This Row],[OrderID]],tbl_FACTS[OrderDetailID],"&lt;"&amp;tbl_FACTS[[#This Row],[OrderDetailID]])=0,1,0)</f>
        <v>1</v>
      </c>
      <c r="T7" s="19">
        <f>YEAR(tbl_FACTS[[#This Row],[OrderDate]])</f>
        <v>1996</v>
      </c>
      <c r="U7" s="22">
        <f>DATE(YEAR(tbl_FACTS[[#This Row],[OrderDate]]),MONTH(tbl_FACTS[[#This Row],[OrderDate]]),1)</f>
        <v>35247</v>
      </c>
      <c r="V7" s="22" t="str">
        <f>IF(tbl_FACTS[[#This Row],[Quantity]]&lt;=10,"0–10",IF(tbl_FACTS[[#This Row],[Quantity]]&lt;=20,"11–20",IF(tbl_FACTS[[#This Row],[Quantity]]&lt;=30,"21–30",IF(tbl_FACTS[[#This Row],[Quantity]]&lt;=40,"31–40",IF(tbl_FACTS[[#This Row],[Quantity]]&lt;=50,"41–50","51+")))))</f>
        <v>0–10</v>
      </c>
    </row>
    <row r="8" spans="1:22">
      <c r="A8">
        <v>7</v>
      </c>
      <c r="B8">
        <v>10250</v>
      </c>
      <c r="C8">
        <v>51</v>
      </c>
      <c r="D8" s="19">
        <v>35</v>
      </c>
      <c r="E8" s="20">
        <f>_xlfn.XLOOKUP(tbl_FACTS[[#This Row],[OrderID]],Πίνακας64[OrderID],Πίνακας64[OrderDate])</f>
        <v>35254</v>
      </c>
      <c r="F8">
        <f>_xlfn.XLOOKUP(tbl_FACTS[[#This Row],[OrderID]],Πίνακας64[OrderID],Πίνακας64[CustomerID])</f>
        <v>34</v>
      </c>
      <c r="G8" t="str">
        <f>_xlfn.XLOOKUP(tbl_FACTS[[#This Row],[CustomerID]],Πίνακας1[CustomerID],Πίνακας1[CustomerName])</f>
        <v>Hanari Carnes</v>
      </c>
      <c r="H8" t="str">
        <f>_xlfn.XLOOKUP(tbl_FACTS[[#This Row],[CustomerID]],Πίνακας1[CustomerID],Πίνακας1[Country])</f>
        <v>Brazil</v>
      </c>
      <c r="I8">
        <f>_xlfn.XLOOKUP(tbl_FACTS[[#This Row],[OrderID]],Πίνακας64[OrderID],Πίνακας64[EmployeeID])</f>
        <v>4</v>
      </c>
      <c r="J8">
        <f>_xlfn.XLOOKUP(tbl_FACTS[[#This Row],[OrderID]],Πίνακας64[OrderID],Πίνακας64[ShipperID])</f>
        <v>2</v>
      </c>
      <c r="K8" t="str">
        <f>_xlfn.XLOOKUP(tbl_FACTS[[#This Row],[ShipperID]],Πίνακας8[ShipperID],Πίνακας8[ShipperName])</f>
        <v>United Package</v>
      </c>
      <c r="L8" t="str">
        <f>_xlfn.XLOOKUP(tbl_FACTS[[#This Row],[ProductID]],Πίνακας7[ProductID],Πίνακας7[ProductName])</f>
        <v>Manjimup Dried Apples</v>
      </c>
      <c r="M8">
        <f>_xlfn.XLOOKUP(tbl_FACTS[[#This Row],[ProductID]],Πίνακας7[ProductID],Πίνακας7[CategoryID])</f>
        <v>7</v>
      </c>
      <c r="N8" t="str">
        <f>_xlfn.XLOOKUP(tbl_FACTS[[#This Row],[CategoryID]],Πίνακας4[CategoryID],Πίνακας4[CategoryName])</f>
        <v>Produce</v>
      </c>
      <c r="O8">
        <f>_xlfn.XLOOKUP(tbl_FACTS[[#This Row],[ProductID]],Πίνακας7[ProductID],Πίνακας7[SupplierID])</f>
        <v>24</v>
      </c>
      <c r="P8" t="str">
        <f>_xlfn.XLOOKUP(tbl_FACTS[[#This Row],[SupplierID]],Πίνακας9[SupplierID],Πίνακας9[SupplierName])</f>
        <v>G'day, Mate</v>
      </c>
      <c r="Q8" s="21">
        <f>_xlfn.XLOOKUP(tbl_FACTS[[#This Row],[ProductID]],Πίνακας7[ProductID],Πίνακας7[Price])</f>
        <v>53</v>
      </c>
      <c r="R8" s="21">
        <f>tbl_FACTS[[#This Row],[Quantity]]*tbl_FACTS[[#This Row],[Price]]</f>
        <v>1855</v>
      </c>
      <c r="S8" s="19">
        <f>IF(COUNTIFS(tbl_FACTS[OrderID],tbl_FACTS[[#This Row],[OrderID]],tbl_FACTS[OrderDetailID],"&lt;"&amp;tbl_FACTS[[#This Row],[OrderDetailID]])=0,1,0)</f>
        <v>0</v>
      </c>
      <c r="T8" s="19">
        <f>YEAR(tbl_FACTS[[#This Row],[OrderDate]])</f>
        <v>1996</v>
      </c>
      <c r="U8" s="22">
        <f>DATE(YEAR(tbl_FACTS[[#This Row],[OrderDate]]),MONTH(tbl_FACTS[[#This Row],[OrderDate]]),1)</f>
        <v>35247</v>
      </c>
      <c r="V8" s="22" t="str">
        <f>IF(tbl_FACTS[[#This Row],[Quantity]]&lt;=10,"0–10",IF(tbl_FACTS[[#This Row],[Quantity]]&lt;=20,"11–20",IF(tbl_FACTS[[#This Row],[Quantity]]&lt;=30,"21–30",IF(tbl_FACTS[[#This Row],[Quantity]]&lt;=40,"31–40",IF(tbl_FACTS[[#This Row],[Quantity]]&lt;=50,"41–50","51+")))))</f>
        <v>31–40</v>
      </c>
    </row>
    <row r="9" spans="1:22">
      <c r="A9">
        <v>8</v>
      </c>
      <c r="B9">
        <v>10250</v>
      </c>
      <c r="C9">
        <v>65</v>
      </c>
      <c r="D9" s="19">
        <v>15</v>
      </c>
      <c r="E9" s="20">
        <f>_xlfn.XLOOKUP(tbl_FACTS[[#This Row],[OrderID]],Πίνακας64[OrderID],Πίνακας64[OrderDate])</f>
        <v>35254</v>
      </c>
      <c r="F9">
        <f>_xlfn.XLOOKUP(tbl_FACTS[[#This Row],[OrderID]],Πίνακας64[OrderID],Πίνακας64[CustomerID])</f>
        <v>34</v>
      </c>
      <c r="G9" t="str">
        <f>_xlfn.XLOOKUP(tbl_FACTS[[#This Row],[CustomerID]],Πίνακας1[CustomerID],Πίνακας1[CustomerName])</f>
        <v>Hanari Carnes</v>
      </c>
      <c r="H9" t="str">
        <f>_xlfn.XLOOKUP(tbl_FACTS[[#This Row],[CustomerID]],Πίνακας1[CustomerID],Πίνακας1[Country])</f>
        <v>Brazil</v>
      </c>
      <c r="I9">
        <f>_xlfn.XLOOKUP(tbl_FACTS[[#This Row],[OrderID]],Πίνακας64[OrderID],Πίνακας64[EmployeeID])</f>
        <v>4</v>
      </c>
      <c r="J9">
        <f>_xlfn.XLOOKUP(tbl_FACTS[[#This Row],[OrderID]],Πίνακας64[OrderID],Πίνακας64[ShipperID])</f>
        <v>2</v>
      </c>
      <c r="K9" t="str">
        <f>_xlfn.XLOOKUP(tbl_FACTS[[#This Row],[ShipperID]],Πίνακας8[ShipperID],Πίνακας8[ShipperName])</f>
        <v>United Package</v>
      </c>
      <c r="L9" t="str">
        <f>_xlfn.XLOOKUP(tbl_FACTS[[#This Row],[ProductID]],Πίνακας7[ProductID],Πίνακας7[ProductName])</f>
        <v>Louisiana Fiery Hot Pepper Sauce</v>
      </c>
      <c r="M9">
        <f>_xlfn.XLOOKUP(tbl_FACTS[[#This Row],[ProductID]],Πίνακας7[ProductID],Πίνακας7[CategoryID])</f>
        <v>2</v>
      </c>
      <c r="N9" t="str">
        <f>_xlfn.XLOOKUP(tbl_FACTS[[#This Row],[CategoryID]],Πίνακας4[CategoryID],Πίνακας4[CategoryName])</f>
        <v>Condiments</v>
      </c>
      <c r="O9">
        <f>_xlfn.XLOOKUP(tbl_FACTS[[#This Row],[ProductID]],Πίνακας7[ProductID],Πίνακας7[SupplierID])</f>
        <v>2</v>
      </c>
      <c r="P9" t="str">
        <f>_xlfn.XLOOKUP(tbl_FACTS[[#This Row],[SupplierID]],Πίνακας9[SupplierID],Πίνακας9[SupplierName])</f>
        <v>New Orleans Cajun Delights</v>
      </c>
      <c r="Q9" s="21">
        <f>_xlfn.XLOOKUP(tbl_FACTS[[#This Row],[ProductID]],Πίνακας7[ProductID],Πίνακας7[Price])</f>
        <v>21</v>
      </c>
      <c r="R9" s="21">
        <f>tbl_FACTS[[#This Row],[Quantity]]*tbl_FACTS[[#This Row],[Price]]</f>
        <v>315</v>
      </c>
      <c r="S9" s="19">
        <f>IF(COUNTIFS(tbl_FACTS[OrderID],tbl_FACTS[[#This Row],[OrderID]],tbl_FACTS[OrderDetailID],"&lt;"&amp;tbl_FACTS[[#This Row],[OrderDetailID]])=0,1,0)</f>
        <v>0</v>
      </c>
      <c r="T9" s="19">
        <f>YEAR(tbl_FACTS[[#This Row],[OrderDate]])</f>
        <v>1996</v>
      </c>
      <c r="U9" s="22">
        <f>DATE(YEAR(tbl_FACTS[[#This Row],[OrderDate]]),MONTH(tbl_FACTS[[#This Row],[OrderDate]]),1)</f>
        <v>35247</v>
      </c>
      <c r="V9" s="22" t="str">
        <f>IF(tbl_FACTS[[#This Row],[Quantity]]&lt;=10,"0–10",IF(tbl_FACTS[[#This Row],[Quantity]]&lt;=20,"11–20",IF(tbl_FACTS[[#This Row],[Quantity]]&lt;=30,"21–30",IF(tbl_FACTS[[#This Row],[Quantity]]&lt;=40,"31–40",IF(tbl_FACTS[[#This Row],[Quantity]]&lt;=50,"41–50","51+")))))</f>
        <v>11–20</v>
      </c>
    </row>
    <row r="10" spans="1:22">
      <c r="A10">
        <v>9</v>
      </c>
      <c r="B10">
        <v>10251</v>
      </c>
      <c r="C10">
        <v>22</v>
      </c>
      <c r="D10" s="19">
        <v>6</v>
      </c>
      <c r="E10" s="20">
        <f>_xlfn.XLOOKUP(tbl_FACTS[[#This Row],[OrderID]],Πίνακας64[OrderID],Πίνακας64[OrderDate])</f>
        <v>35254</v>
      </c>
      <c r="F10">
        <f>_xlfn.XLOOKUP(tbl_FACTS[[#This Row],[OrderID]],Πίνακας64[OrderID],Πίνακας64[CustomerID])</f>
        <v>84</v>
      </c>
      <c r="G10" t="str">
        <f>_xlfn.XLOOKUP(tbl_FACTS[[#This Row],[CustomerID]],Πίνακας1[CustomerID],Πίνακας1[CustomerName])</f>
        <v>Victuailles en stock</v>
      </c>
      <c r="H10" t="str">
        <f>_xlfn.XLOOKUP(tbl_FACTS[[#This Row],[CustomerID]],Πίνακας1[CustomerID],Πίνακας1[Country])</f>
        <v>France</v>
      </c>
      <c r="I10">
        <f>_xlfn.XLOOKUP(tbl_FACTS[[#This Row],[OrderID]],Πίνακας64[OrderID],Πίνακας64[EmployeeID])</f>
        <v>3</v>
      </c>
      <c r="J10">
        <f>_xlfn.XLOOKUP(tbl_FACTS[[#This Row],[OrderID]],Πίνακας64[OrderID],Πίνακας64[ShipperID])</f>
        <v>1</v>
      </c>
      <c r="K10" t="str">
        <f>_xlfn.XLOOKUP(tbl_FACTS[[#This Row],[ShipperID]],Πίνακας8[ShipperID],Πίνακας8[ShipperName])</f>
        <v>Speedy Express</v>
      </c>
      <c r="L10" t="str">
        <f>_xlfn.XLOOKUP(tbl_FACTS[[#This Row],[ProductID]],Πίνακας7[ProductID],Πίνακας7[ProductName])</f>
        <v>Gustaf's Knackebrod</v>
      </c>
      <c r="M10">
        <f>_xlfn.XLOOKUP(tbl_FACTS[[#This Row],[ProductID]],Πίνακας7[ProductID],Πίνακας7[CategoryID])</f>
        <v>5</v>
      </c>
      <c r="N10" t="str">
        <f>_xlfn.XLOOKUP(tbl_FACTS[[#This Row],[CategoryID]],Πίνακας4[CategoryID],Πίνακας4[CategoryName])</f>
        <v>Grains/Cereals</v>
      </c>
      <c r="O10">
        <f>_xlfn.XLOOKUP(tbl_FACTS[[#This Row],[ProductID]],Πίνακας7[ProductID],Πίνακας7[SupplierID])</f>
        <v>9</v>
      </c>
      <c r="P10" t="str">
        <f>_xlfn.XLOOKUP(tbl_FACTS[[#This Row],[SupplierID]],Πίνακας9[SupplierID],Πίνακας9[SupplierName])</f>
        <v>PB Knackebrod AB</v>
      </c>
      <c r="Q10" s="21">
        <f>_xlfn.XLOOKUP(tbl_FACTS[[#This Row],[ProductID]],Πίνακας7[ProductID],Πίνακας7[Price])</f>
        <v>21</v>
      </c>
      <c r="R10" s="21">
        <f>tbl_FACTS[[#This Row],[Quantity]]*tbl_FACTS[[#This Row],[Price]]</f>
        <v>126</v>
      </c>
      <c r="S10" s="19">
        <f>IF(COUNTIFS(tbl_FACTS[OrderID],tbl_FACTS[[#This Row],[OrderID]],tbl_FACTS[OrderDetailID],"&lt;"&amp;tbl_FACTS[[#This Row],[OrderDetailID]])=0,1,0)</f>
        <v>1</v>
      </c>
      <c r="T10" s="19">
        <f>YEAR(tbl_FACTS[[#This Row],[OrderDate]])</f>
        <v>1996</v>
      </c>
      <c r="U10" s="22">
        <f>DATE(YEAR(tbl_FACTS[[#This Row],[OrderDate]]),MONTH(tbl_FACTS[[#This Row],[OrderDate]]),1)</f>
        <v>35247</v>
      </c>
      <c r="V10" s="22" t="str">
        <f>IF(tbl_FACTS[[#This Row],[Quantity]]&lt;=10,"0–10",IF(tbl_FACTS[[#This Row],[Quantity]]&lt;=20,"11–20",IF(tbl_FACTS[[#This Row],[Quantity]]&lt;=30,"21–30",IF(tbl_FACTS[[#This Row],[Quantity]]&lt;=40,"31–40",IF(tbl_FACTS[[#This Row],[Quantity]]&lt;=50,"41–50","51+")))))</f>
        <v>0–10</v>
      </c>
    </row>
    <row r="11" spans="1:22">
      <c r="A11">
        <v>10</v>
      </c>
      <c r="B11">
        <v>10251</v>
      </c>
      <c r="C11">
        <v>57</v>
      </c>
      <c r="D11" s="19">
        <v>15</v>
      </c>
      <c r="E11" s="20">
        <f>_xlfn.XLOOKUP(tbl_FACTS[[#This Row],[OrderID]],Πίνακας64[OrderID],Πίνακας64[OrderDate])</f>
        <v>35254</v>
      </c>
      <c r="F11">
        <f>_xlfn.XLOOKUP(tbl_FACTS[[#This Row],[OrderID]],Πίνακας64[OrderID],Πίνακας64[CustomerID])</f>
        <v>84</v>
      </c>
      <c r="G11" t="str">
        <f>_xlfn.XLOOKUP(tbl_FACTS[[#This Row],[CustomerID]],Πίνακας1[CustomerID],Πίνακας1[CustomerName])</f>
        <v>Victuailles en stock</v>
      </c>
      <c r="H11" t="str">
        <f>_xlfn.XLOOKUP(tbl_FACTS[[#This Row],[CustomerID]],Πίνακας1[CustomerID],Πίνακας1[Country])</f>
        <v>France</v>
      </c>
      <c r="I11">
        <f>_xlfn.XLOOKUP(tbl_FACTS[[#This Row],[OrderID]],Πίνακας64[OrderID],Πίνακας64[EmployeeID])</f>
        <v>3</v>
      </c>
      <c r="J11">
        <f>_xlfn.XLOOKUP(tbl_FACTS[[#This Row],[OrderID]],Πίνακας64[OrderID],Πίνακας64[ShipperID])</f>
        <v>1</v>
      </c>
      <c r="K11" t="str">
        <f>_xlfn.XLOOKUP(tbl_FACTS[[#This Row],[ShipperID]],Πίνακας8[ShipperID],Πίνακας8[ShipperName])</f>
        <v>Speedy Express</v>
      </c>
      <c r="L11" t="str">
        <f>_xlfn.XLOOKUP(tbl_FACTS[[#This Row],[ProductID]],Πίνακας7[ProductID],Πίνακας7[ProductName])</f>
        <v>Ravioli Angelo</v>
      </c>
      <c r="M11">
        <f>_xlfn.XLOOKUP(tbl_FACTS[[#This Row],[ProductID]],Πίνακας7[ProductID],Πίνακας7[CategoryID])</f>
        <v>5</v>
      </c>
      <c r="N11" t="str">
        <f>_xlfn.XLOOKUP(tbl_FACTS[[#This Row],[CategoryID]],Πίνακας4[CategoryID],Πίνακας4[CategoryName])</f>
        <v>Grains/Cereals</v>
      </c>
      <c r="O11">
        <f>_xlfn.XLOOKUP(tbl_FACTS[[#This Row],[ProductID]],Πίνακας7[ProductID],Πίνακας7[SupplierID])</f>
        <v>26</v>
      </c>
      <c r="P11" t="str">
        <f>_xlfn.XLOOKUP(tbl_FACTS[[#This Row],[SupplierID]],Πίνακας9[SupplierID],Πίνακας9[SupplierName])</f>
        <v>Pasta Buttini s.r.l.</v>
      </c>
      <c r="Q11" s="21">
        <f>_xlfn.XLOOKUP(tbl_FACTS[[#This Row],[ProductID]],Πίνακας7[ProductID],Πίνακας7[Price])</f>
        <v>20</v>
      </c>
      <c r="R11" s="21">
        <f>tbl_FACTS[[#This Row],[Quantity]]*tbl_FACTS[[#This Row],[Price]]</f>
        <v>300</v>
      </c>
      <c r="S11" s="19">
        <f>IF(COUNTIFS(tbl_FACTS[OrderID],tbl_FACTS[[#This Row],[OrderID]],tbl_FACTS[OrderDetailID],"&lt;"&amp;tbl_FACTS[[#This Row],[OrderDetailID]])=0,1,0)</f>
        <v>0</v>
      </c>
      <c r="T11" s="19">
        <f>YEAR(tbl_FACTS[[#This Row],[OrderDate]])</f>
        <v>1996</v>
      </c>
      <c r="U11" s="22">
        <f>DATE(YEAR(tbl_FACTS[[#This Row],[OrderDate]]),MONTH(tbl_FACTS[[#This Row],[OrderDate]]),1)</f>
        <v>35247</v>
      </c>
      <c r="V11" s="22" t="str">
        <f>IF(tbl_FACTS[[#This Row],[Quantity]]&lt;=10,"0–10",IF(tbl_FACTS[[#This Row],[Quantity]]&lt;=20,"11–20",IF(tbl_FACTS[[#This Row],[Quantity]]&lt;=30,"21–30",IF(tbl_FACTS[[#This Row],[Quantity]]&lt;=40,"31–40",IF(tbl_FACTS[[#This Row],[Quantity]]&lt;=50,"41–50","51+")))))</f>
        <v>11–20</v>
      </c>
    </row>
    <row r="12" spans="1:22">
      <c r="A12">
        <v>11</v>
      </c>
      <c r="B12">
        <v>10251</v>
      </c>
      <c r="C12">
        <v>65</v>
      </c>
      <c r="D12" s="19">
        <v>20</v>
      </c>
      <c r="E12" s="20">
        <f>_xlfn.XLOOKUP(tbl_FACTS[[#This Row],[OrderID]],Πίνακας64[OrderID],Πίνακας64[OrderDate])</f>
        <v>35254</v>
      </c>
      <c r="F12">
        <f>_xlfn.XLOOKUP(tbl_FACTS[[#This Row],[OrderID]],Πίνακας64[OrderID],Πίνακας64[CustomerID])</f>
        <v>84</v>
      </c>
      <c r="G12" t="str">
        <f>_xlfn.XLOOKUP(tbl_FACTS[[#This Row],[CustomerID]],Πίνακας1[CustomerID],Πίνακας1[CustomerName])</f>
        <v>Victuailles en stock</v>
      </c>
      <c r="H12" t="str">
        <f>_xlfn.XLOOKUP(tbl_FACTS[[#This Row],[CustomerID]],Πίνακας1[CustomerID],Πίνακας1[Country])</f>
        <v>France</v>
      </c>
      <c r="I12">
        <f>_xlfn.XLOOKUP(tbl_FACTS[[#This Row],[OrderID]],Πίνακας64[OrderID],Πίνακας64[EmployeeID])</f>
        <v>3</v>
      </c>
      <c r="J12">
        <f>_xlfn.XLOOKUP(tbl_FACTS[[#This Row],[OrderID]],Πίνακας64[OrderID],Πίνακας64[ShipperID])</f>
        <v>1</v>
      </c>
      <c r="K12" t="str">
        <f>_xlfn.XLOOKUP(tbl_FACTS[[#This Row],[ShipperID]],Πίνακας8[ShipperID],Πίνακας8[ShipperName])</f>
        <v>Speedy Express</v>
      </c>
      <c r="L12" t="str">
        <f>_xlfn.XLOOKUP(tbl_FACTS[[#This Row],[ProductID]],Πίνακας7[ProductID],Πίνακας7[ProductName])</f>
        <v>Louisiana Fiery Hot Pepper Sauce</v>
      </c>
      <c r="M12">
        <f>_xlfn.XLOOKUP(tbl_FACTS[[#This Row],[ProductID]],Πίνακας7[ProductID],Πίνακας7[CategoryID])</f>
        <v>2</v>
      </c>
      <c r="N12" t="str">
        <f>_xlfn.XLOOKUP(tbl_FACTS[[#This Row],[CategoryID]],Πίνακας4[CategoryID],Πίνακας4[CategoryName])</f>
        <v>Condiments</v>
      </c>
      <c r="O12">
        <f>_xlfn.XLOOKUP(tbl_FACTS[[#This Row],[ProductID]],Πίνακας7[ProductID],Πίνακας7[SupplierID])</f>
        <v>2</v>
      </c>
      <c r="P12" t="str">
        <f>_xlfn.XLOOKUP(tbl_FACTS[[#This Row],[SupplierID]],Πίνακας9[SupplierID],Πίνακας9[SupplierName])</f>
        <v>New Orleans Cajun Delights</v>
      </c>
      <c r="Q12" s="21">
        <f>_xlfn.XLOOKUP(tbl_FACTS[[#This Row],[ProductID]],Πίνακας7[ProductID],Πίνακας7[Price])</f>
        <v>21</v>
      </c>
      <c r="R12" s="21">
        <f>tbl_FACTS[[#This Row],[Quantity]]*tbl_FACTS[[#This Row],[Price]]</f>
        <v>420</v>
      </c>
      <c r="S12" s="19">
        <f>IF(COUNTIFS(tbl_FACTS[OrderID],tbl_FACTS[[#This Row],[OrderID]],tbl_FACTS[OrderDetailID],"&lt;"&amp;tbl_FACTS[[#This Row],[OrderDetailID]])=0,1,0)</f>
        <v>0</v>
      </c>
      <c r="T12" s="19">
        <f>YEAR(tbl_FACTS[[#This Row],[OrderDate]])</f>
        <v>1996</v>
      </c>
      <c r="U12" s="22">
        <f>DATE(YEAR(tbl_FACTS[[#This Row],[OrderDate]]),MONTH(tbl_FACTS[[#This Row],[OrderDate]]),1)</f>
        <v>35247</v>
      </c>
      <c r="V12" s="22" t="str">
        <f>IF(tbl_FACTS[[#This Row],[Quantity]]&lt;=10,"0–10",IF(tbl_FACTS[[#This Row],[Quantity]]&lt;=20,"11–20",IF(tbl_FACTS[[#This Row],[Quantity]]&lt;=30,"21–30",IF(tbl_FACTS[[#This Row],[Quantity]]&lt;=40,"31–40",IF(tbl_FACTS[[#This Row],[Quantity]]&lt;=50,"41–50","51+")))))</f>
        <v>11–20</v>
      </c>
    </row>
    <row r="13" spans="1:22">
      <c r="A13">
        <v>12</v>
      </c>
      <c r="B13">
        <v>10252</v>
      </c>
      <c r="C13">
        <v>20</v>
      </c>
      <c r="D13" s="19">
        <v>40</v>
      </c>
      <c r="E13" s="20">
        <f>_xlfn.XLOOKUP(tbl_FACTS[[#This Row],[OrderID]],Πίνακας64[OrderID],Πίνακας64[OrderDate])</f>
        <v>35255</v>
      </c>
      <c r="F13">
        <f>_xlfn.XLOOKUP(tbl_FACTS[[#This Row],[OrderID]],Πίνακας64[OrderID],Πίνακας64[CustomerID])</f>
        <v>76</v>
      </c>
      <c r="G13" t="str">
        <f>_xlfn.XLOOKUP(tbl_FACTS[[#This Row],[CustomerID]],Πίνακας1[CustomerID],Πίνακας1[CustomerName])</f>
        <v>Supremes delices</v>
      </c>
      <c r="H13" t="str">
        <f>_xlfn.XLOOKUP(tbl_FACTS[[#This Row],[CustomerID]],Πίνακας1[CustomerID],Πίνακας1[Country])</f>
        <v>Belgium</v>
      </c>
      <c r="I13">
        <f>_xlfn.XLOOKUP(tbl_FACTS[[#This Row],[OrderID]],Πίνακας64[OrderID],Πίνακας64[EmployeeID])</f>
        <v>4</v>
      </c>
      <c r="J13">
        <f>_xlfn.XLOOKUP(tbl_FACTS[[#This Row],[OrderID]],Πίνακας64[OrderID],Πίνακας64[ShipperID])</f>
        <v>2</v>
      </c>
      <c r="K13" t="str">
        <f>_xlfn.XLOOKUP(tbl_FACTS[[#This Row],[ShipperID]],Πίνακας8[ShipperID],Πίνακας8[ShipperName])</f>
        <v>United Package</v>
      </c>
      <c r="L13" t="str">
        <f>_xlfn.XLOOKUP(tbl_FACTS[[#This Row],[ProductID]],Πίνακας7[ProductID],Πίνακας7[ProductName])</f>
        <v>Sir Rodney's Marmalade</v>
      </c>
      <c r="M13">
        <f>_xlfn.XLOOKUP(tbl_FACTS[[#This Row],[ProductID]],Πίνακας7[ProductID],Πίνακας7[CategoryID])</f>
        <v>3</v>
      </c>
      <c r="N13" t="str">
        <f>_xlfn.XLOOKUP(tbl_FACTS[[#This Row],[CategoryID]],Πίνακας4[CategoryID],Πίνακας4[CategoryName])</f>
        <v>Confections</v>
      </c>
      <c r="O13">
        <f>_xlfn.XLOOKUP(tbl_FACTS[[#This Row],[ProductID]],Πίνακας7[ProductID],Πίνακας7[SupplierID])</f>
        <v>8</v>
      </c>
      <c r="P13" t="str">
        <f>_xlfn.XLOOKUP(tbl_FACTS[[#This Row],[SupplierID]],Πίνακας9[SupplierID],Πίνακας9[SupplierName])</f>
        <v>Specialty Biscuits, Ltd.</v>
      </c>
      <c r="Q13" s="21">
        <f>_xlfn.XLOOKUP(tbl_FACTS[[#This Row],[ProductID]],Πίνακας7[ProductID],Πίνακας7[Price])</f>
        <v>81</v>
      </c>
      <c r="R13" s="21">
        <f>tbl_FACTS[[#This Row],[Quantity]]*tbl_FACTS[[#This Row],[Price]]</f>
        <v>3240</v>
      </c>
      <c r="S13" s="19">
        <f>IF(COUNTIFS(tbl_FACTS[OrderID],tbl_FACTS[[#This Row],[OrderID]],tbl_FACTS[OrderDetailID],"&lt;"&amp;tbl_FACTS[[#This Row],[OrderDetailID]])=0,1,0)</f>
        <v>1</v>
      </c>
      <c r="T13" s="19">
        <f>YEAR(tbl_FACTS[[#This Row],[OrderDate]])</f>
        <v>1996</v>
      </c>
      <c r="U13" s="22">
        <f>DATE(YEAR(tbl_FACTS[[#This Row],[OrderDate]]),MONTH(tbl_FACTS[[#This Row],[OrderDate]]),1)</f>
        <v>35247</v>
      </c>
      <c r="V13" s="22" t="str">
        <f>IF(tbl_FACTS[[#This Row],[Quantity]]&lt;=10,"0–10",IF(tbl_FACTS[[#This Row],[Quantity]]&lt;=20,"11–20",IF(tbl_FACTS[[#This Row],[Quantity]]&lt;=30,"21–30",IF(tbl_FACTS[[#This Row],[Quantity]]&lt;=40,"31–40",IF(tbl_FACTS[[#This Row],[Quantity]]&lt;=50,"41–50","51+")))))</f>
        <v>31–40</v>
      </c>
    </row>
    <row r="14" spans="1:22">
      <c r="A14">
        <v>13</v>
      </c>
      <c r="B14">
        <v>10252</v>
      </c>
      <c r="C14">
        <v>33</v>
      </c>
      <c r="D14" s="19">
        <v>25</v>
      </c>
      <c r="E14" s="20">
        <f>_xlfn.XLOOKUP(tbl_FACTS[[#This Row],[OrderID]],Πίνακας64[OrderID],Πίνακας64[OrderDate])</f>
        <v>35255</v>
      </c>
      <c r="F14">
        <f>_xlfn.XLOOKUP(tbl_FACTS[[#This Row],[OrderID]],Πίνακας64[OrderID],Πίνακας64[CustomerID])</f>
        <v>76</v>
      </c>
      <c r="G14" t="str">
        <f>_xlfn.XLOOKUP(tbl_FACTS[[#This Row],[CustomerID]],Πίνακας1[CustomerID],Πίνακας1[CustomerName])</f>
        <v>Supremes delices</v>
      </c>
      <c r="H14" t="str">
        <f>_xlfn.XLOOKUP(tbl_FACTS[[#This Row],[CustomerID]],Πίνακας1[CustomerID],Πίνακας1[Country])</f>
        <v>Belgium</v>
      </c>
      <c r="I14">
        <f>_xlfn.XLOOKUP(tbl_FACTS[[#This Row],[OrderID]],Πίνακας64[OrderID],Πίνακας64[EmployeeID])</f>
        <v>4</v>
      </c>
      <c r="J14">
        <f>_xlfn.XLOOKUP(tbl_FACTS[[#This Row],[OrderID]],Πίνακας64[OrderID],Πίνακας64[ShipperID])</f>
        <v>2</v>
      </c>
      <c r="K14" t="str">
        <f>_xlfn.XLOOKUP(tbl_FACTS[[#This Row],[ShipperID]],Πίνακας8[ShipperID],Πίνακας8[ShipperName])</f>
        <v>United Package</v>
      </c>
      <c r="L14" t="str">
        <f>_xlfn.XLOOKUP(tbl_FACTS[[#This Row],[ProductID]],Πίνακας7[ProductID],Πίνακας7[ProductName])</f>
        <v>Geitost</v>
      </c>
      <c r="M14">
        <f>_xlfn.XLOOKUP(tbl_FACTS[[#This Row],[ProductID]],Πίνακας7[ProductID],Πίνακας7[CategoryID])</f>
        <v>4</v>
      </c>
      <c r="N14" t="str">
        <f>_xlfn.XLOOKUP(tbl_FACTS[[#This Row],[CategoryID]],Πίνακας4[CategoryID],Πίνακας4[CategoryName])</f>
        <v>Dairy Products</v>
      </c>
      <c r="O14">
        <f>_xlfn.XLOOKUP(tbl_FACTS[[#This Row],[ProductID]],Πίνακας7[ProductID],Πίνακας7[SupplierID])</f>
        <v>15</v>
      </c>
      <c r="P14" t="str">
        <f>_xlfn.XLOOKUP(tbl_FACTS[[#This Row],[SupplierID]],Πίνακας9[SupplierID],Πίνακας9[SupplierName])</f>
        <v>Norske Meierier</v>
      </c>
      <c r="Q14" s="21">
        <f>_xlfn.XLOOKUP(tbl_FACTS[[#This Row],[ProductID]],Πίνακας7[ProductID],Πίνακας7[Price])</f>
        <v>3</v>
      </c>
      <c r="R14" s="21">
        <f>tbl_FACTS[[#This Row],[Quantity]]*tbl_FACTS[[#This Row],[Price]]</f>
        <v>75</v>
      </c>
      <c r="S14" s="19">
        <f>IF(COUNTIFS(tbl_FACTS[OrderID],tbl_FACTS[[#This Row],[OrderID]],tbl_FACTS[OrderDetailID],"&lt;"&amp;tbl_FACTS[[#This Row],[OrderDetailID]])=0,1,0)</f>
        <v>0</v>
      </c>
      <c r="T14" s="19">
        <f>YEAR(tbl_FACTS[[#This Row],[OrderDate]])</f>
        <v>1996</v>
      </c>
      <c r="U14" s="22">
        <f>DATE(YEAR(tbl_FACTS[[#This Row],[OrderDate]]),MONTH(tbl_FACTS[[#This Row],[OrderDate]]),1)</f>
        <v>35247</v>
      </c>
      <c r="V14" s="22" t="str">
        <f>IF(tbl_FACTS[[#This Row],[Quantity]]&lt;=10,"0–10",IF(tbl_FACTS[[#This Row],[Quantity]]&lt;=20,"11–20",IF(tbl_FACTS[[#This Row],[Quantity]]&lt;=30,"21–30",IF(tbl_FACTS[[#This Row],[Quantity]]&lt;=40,"31–40",IF(tbl_FACTS[[#This Row],[Quantity]]&lt;=50,"41–50","51+")))))</f>
        <v>21–30</v>
      </c>
    </row>
    <row r="15" spans="1:22">
      <c r="A15">
        <v>14</v>
      </c>
      <c r="B15">
        <v>10252</v>
      </c>
      <c r="C15">
        <v>60</v>
      </c>
      <c r="D15" s="19">
        <v>40</v>
      </c>
      <c r="E15" s="20">
        <f>_xlfn.XLOOKUP(tbl_FACTS[[#This Row],[OrderID]],Πίνακας64[OrderID],Πίνακας64[OrderDate])</f>
        <v>35255</v>
      </c>
      <c r="F15">
        <f>_xlfn.XLOOKUP(tbl_FACTS[[#This Row],[OrderID]],Πίνακας64[OrderID],Πίνακας64[CustomerID])</f>
        <v>76</v>
      </c>
      <c r="G15" t="str">
        <f>_xlfn.XLOOKUP(tbl_FACTS[[#This Row],[CustomerID]],Πίνακας1[CustomerID],Πίνακας1[CustomerName])</f>
        <v>Supremes delices</v>
      </c>
      <c r="H15" t="str">
        <f>_xlfn.XLOOKUP(tbl_FACTS[[#This Row],[CustomerID]],Πίνακας1[CustomerID],Πίνακας1[Country])</f>
        <v>Belgium</v>
      </c>
      <c r="I15">
        <f>_xlfn.XLOOKUP(tbl_FACTS[[#This Row],[OrderID]],Πίνακας64[OrderID],Πίνακας64[EmployeeID])</f>
        <v>4</v>
      </c>
      <c r="J15">
        <f>_xlfn.XLOOKUP(tbl_FACTS[[#This Row],[OrderID]],Πίνακας64[OrderID],Πίνακας64[ShipperID])</f>
        <v>2</v>
      </c>
      <c r="K15" t="str">
        <f>_xlfn.XLOOKUP(tbl_FACTS[[#This Row],[ShipperID]],Πίνακας8[ShipperID],Πίνακας8[ShipperName])</f>
        <v>United Package</v>
      </c>
      <c r="L15" t="str">
        <f>_xlfn.XLOOKUP(tbl_FACTS[[#This Row],[ProductID]],Πίνακας7[ProductID],Πίνακας7[ProductName])</f>
        <v>Camembert Pierrot</v>
      </c>
      <c r="M15">
        <f>_xlfn.XLOOKUP(tbl_FACTS[[#This Row],[ProductID]],Πίνακας7[ProductID],Πίνακας7[CategoryID])</f>
        <v>4</v>
      </c>
      <c r="N15" t="str">
        <f>_xlfn.XLOOKUP(tbl_FACTS[[#This Row],[CategoryID]],Πίνακας4[CategoryID],Πίνακας4[CategoryName])</f>
        <v>Dairy Products</v>
      </c>
      <c r="O15">
        <f>_xlfn.XLOOKUP(tbl_FACTS[[#This Row],[ProductID]],Πίνακας7[ProductID],Πίνακας7[SupplierID])</f>
        <v>28</v>
      </c>
      <c r="P15" t="str">
        <f>_xlfn.XLOOKUP(tbl_FACTS[[#This Row],[SupplierID]],Πίνακας9[SupplierID],Πίνακας9[SupplierName])</f>
        <v>Gai paturage</v>
      </c>
      <c r="Q15" s="21">
        <f>_xlfn.XLOOKUP(tbl_FACTS[[#This Row],[ProductID]],Πίνακας7[ProductID],Πίνακας7[Price])</f>
        <v>34</v>
      </c>
      <c r="R15" s="21">
        <f>tbl_FACTS[[#This Row],[Quantity]]*tbl_FACTS[[#This Row],[Price]]</f>
        <v>1360</v>
      </c>
      <c r="S15" s="19">
        <f>IF(COUNTIFS(tbl_FACTS[OrderID],tbl_FACTS[[#This Row],[OrderID]],tbl_FACTS[OrderDetailID],"&lt;"&amp;tbl_FACTS[[#This Row],[OrderDetailID]])=0,1,0)</f>
        <v>0</v>
      </c>
      <c r="T15" s="19">
        <f>YEAR(tbl_FACTS[[#This Row],[OrderDate]])</f>
        <v>1996</v>
      </c>
      <c r="U15" s="22">
        <f>DATE(YEAR(tbl_FACTS[[#This Row],[OrderDate]]),MONTH(tbl_FACTS[[#This Row],[OrderDate]]),1)</f>
        <v>35247</v>
      </c>
      <c r="V15" s="22" t="str">
        <f>IF(tbl_FACTS[[#This Row],[Quantity]]&lt;=10,"0–10",IF(tbl_FACTS[[#This Row],[Quantity]]&lt;=20,"11–20",IF(tbl_FACTS[[#This Row],[Quantity]]&lt;=30,"21–30",IF(tbl_FACTS[[#This Row],[Quantity]]&lt;=40,"31–40",IF(tbl_FACTS[[#This Row],[Quantity]]&lt;=50,"41–50","51+")))))</f>
        <v>31–40</v>
      </c>
    </row>
    <row r="16" spans="1:22">
      <c r="A16">
        <v>15</v>
      </c>
      <c r="B16">
        <v>10253</v>
      </c>
      <c r="C16">
        <v>31</v>
      </c>
      <c r="D16" s="19">
        <v>20</v>
      </c>
      <c r="E16" s="20">
        <f>_xlfn.XLOOKUP(tbl_FACTS[[#This Row],[OrderID]],Πίνακας64[OrderID],Πίνακας64[OrderDate])</f>
        <v>35256</v>
      </c>
      <c r="F16">
        <f>_xlfn.XLOOKUP(tbl_FACTS[[#This Row],[OrderID]],Πίνακας64[OrderID],Πίνακας64[CustomerID])</f>
        <v>34</v>
      </c>
      <c r="G16" t="str">
        <f>_xlfn.XLOOKUP(tbl_FACTS[[#This Row],[CustomerID]],Πίνακας1[CustomerID],Πίνακας1[CustomerName])</f>
        <v>Hanari Carnes</v>
      </c>
      <c r="H16" t="str">
        <f>_xlfn.XLOOKUP(tbl_FACTS[[#This Row],[CustomerID]],Πίνακας1[CustomerID],Πίνακας1[Country])</f>
        <v>Brazil</v>
      </c>
      <c r="I16">
        <f>_xlfn.XLOOKUP(tbl_FACTS[[#This Row],[OrderID]],Πίνακας64[OrderID],Πίνακας64[EmployeeID])</f>
        <v>3</v>
      </c>
      <c r="J16">
        <f>_xlfn.XLOOKUP(tbl_FACTS[[#This Row],[OrderID]],Πίνακας64[OrderID],Πίνακας64[ShipperID])</f>
        <v>2</v>
      </c>
      <c r="K16" t="str">
        <f>_xlfn.XLOOKUP(tbl_FACTS[[#This Row],[ShipperID]],Πίνακας8[ShipperID],Πίνακας8[ShipperName])</f>
        <v>United Package</v>
      </c>
      <c r="L16" t="str">
        <f>_xlfn.XLOOKUP(tbl_FACTS[[#This Row],[ProductID]],Πίνακας7[ProductID],Πίνακας7[ProductName])</f>
        <v>Gorgonzola Telino</v>
      </c>
      <c r="M16">
        <f>_xlfn.XLOOKUP(tbl_FACTS[[#This Row],[ProductID]],Πίνακας7[ProductID],Πίνακας7[CategoryID])</f>
        <v>4</v>
      </c>
      <c r="N16" t="str">
        <f>_xlfn.XLOOKUP(tbl_FACTS[[#This Row],[CategoryID]],Πίνακας4[CategoryID],Πίνακας4[CategoryName])</f>
        <v>Dairy Products</v>
      </c>
      <c r="O16">
        <f>_xlfn.XLOOKUP(tbl_FACTS[[#This Row],[ProductID]],Πίνακας7[ProductID],Πίνακας7[SupplierID])</f>
        <v>14</v>
      </c>
      <c r="P16" t="str">
        <f>_xlfn.XLOOKUP(tbl_FACTS[[#This Row],[SupplierID]],Πίνακας9[SupplierID],Πίνακας9[SupplierName])</f>
        <v>Formaggi Fortini s.r.l.</v>
      </c>
      <c r="Q16" s="21">
        <f>_xlfn.XLOOKUP(tbl_FACTS[[#This Row],[ProductID]],Πίνακας7[ProductID],Πίνακας7[Price])</f>
        <v>13</v>
      </c>
      <c r="R16" s="21">
        <f>tbl_FACTS[[#This Row],[Quantity]]*tbl_FACTS[[#This Row],[Price]]</f>
        <v>260</v>
      </c>
      <c r="S16" s="19">
        <f>IF(COUNTIFS(tbl_FACTS[OrderID],tbl_FACTS[[#This Row],[OrderID]],tbl_FACTS[OrderDetailID],"&lt;"&amp;tbl_FACTS[[#This Row],[OrderDetailID]])=0,1,0)</f>
        <v>1</v>
      </c>
      <c r="T16" s="19">
        <f>YEAR(tbl_FACTS[[#This Row],[OrderDate]])</f>
        <v>1996</v>
      </c>
      <c r="U16" s="22">
        <f>DATE(YEAR(tbl_FACTS[[#This Row],[OrderDate]]),MONTH(tbl_FACTS[[#This Row],[OrderDate]]),1)</f>
        <v>35247</v>
      </c>
      <c r="V16" s="22" t="str">
        <f>IF(tbl_FACTS[[#This Row],[Quantity]]&lt;=10,"0–10",IF(tbl_FACTS[[#This Row],[Quantity]]&lt;=20,"11–20",IF(tbl_FACTS[[#This Row],[Quantity]]&lt;=30,"21–30",IF(tbl_FACTS[[#This Row],[Quantity]]&lt;=40,"31–40",IF(tbl_FACTS[[#This Row],[Quantity]]&lt;=50,"41–50","51+")))))</f>
        <v>11–20</v>
      </c>
    </row>
    <row r="17" spans="1:22">
      <c r="A17">
        <v>16</v>
      </c>
      <c r="B17">
        <v>10253</v>
      </c>
      <c r="C17">
        <v>39</v>
      </c>
      <c r="D17" s="19">
        <v>42</v>
      </c>
      <c r="E17" s="20">
        <f>_xlfn.XLOOKUP(tbl_FACTS[[#This Row],[OrderID]],Πίνακας64[OrderID],Πίνακας64[OrderDate])</f>
        <v>35256</v>
      </c>
      <c r="F17">
        <f>_xlfn.XLOOKUP(tbl_FACTS[[#This Row],[OrderID]],Πίνακας64[OrderID],Πίνακας64[CustomerID])</f>
        <v>34</v>
      </c>
      <c r="G17" t="str">
        <f>_xlfn.XLOOKUP(tbl_FACTS[[#This Row],[CustomerID]],Πίνακας1[CustomerID],Πίνακας1[CustomerName])</f>
        <v>Hanari Carnes</v>
      </c>
      <c r="H17" t="str">
        <f>_xlfn.XLOOKUP(tbl_FACTS[[#This Row],[CustomerID]],Πίνακας1[CustomerID],Πίνακας1[Country])</f>
        <v>Brazil</v>
      </c>
      <c r="I17">
        <f>_xlfn.XLOOKUP(tbl_FACTS[[#This Row],[OrderID]],Πίνακας64[OrderID],Πίνακας64[EmployeeID])</f>
        <v>3</v>
      </c>
      <c r="J17">
        <f>_xlfn.XLOOKUP(tbl_FACTS[[#This Row],[OrderID]],Πίνακας64[OrderID],Πίνακας64[ShipperID])</f>
        <v>2</v>
      </c>
      <c r="K17" t="str">
        <f>_xlfn.XLOOKUP(tbl_FACTS[[#This Row],[ShipperID]],Πίνακας8[ShipperID],Πίνακας8[ShipperName])</f>
        <v>United Package</v>
      </c>
      <c r="L17" t="str">
        <f>_xlfn.XLOOKUP(tbl_FACTS[[#This Row],[ProductID]],Πίνακας7[ProductID],Πίνακας7[ProductName])</f>
        <v>Chartreuse verte</v>
      </c>
      <c r="M17">
        <f>_xlfn.XLOOKUP(tbl_FACTS[[#This Row],[ProductID]],Πίνακας7[ProductID],Πίνακας7[CategoryID])</f>
        <v>1</v>
      </c>
      <c r="N17" t="str">
        <f>_xlfn.XLOOKUP(tbl_FACTS[[#This Row],[CategoryID]],Πίνακας4[CategoryID],Πίνακας4[CategoryName])</f>
        <v>Beverages</v>
      </c>
      <c r="O17">
        <f>_xlfn.XLOOKUP(tbl_FACTS[[#This Row],[ProductID]],Πίνακας7[ProductID],Πίνακας7[SupplierID])</f>
        <v>18</v>
      </c>
      <c r="P17" t="str">
        <f>_xlfn.XLOOKUP(tbl_FACTS[[#This Row],[SupplierID]],Πίνακας9[SupplierID],Πίνακας9[SupplierName])</f>
        <v>Aux joyeux ecclesiastiques</v>
      </c>
      <c r="Q17" s="21">
        <f>_xlfn.XLOOKUP(tbl_FACTS[[#This Row],[ProductID]],Πίνακας7[ProductID],Πίνακας7[Price])</f>
        <v>18</v>
      </c>
      <c r="R17" s="21">
        <f>tbl_FACTS[[#This Row],[Quantity]]*tbl_FACTS[[#This Row],[Price]]</f>
        <v>756</v>
      </c>
      <c r="S17" s="19">
        <f>IF(COUNTIFS(tbl_FACTS[OrderID],tbl_FACTS[[#This Row],[OrderID]],tbl_FACTS[OrderDetailID],"&lt;"&amp;tbl_FACTS[[#This Row],[OrderDetailID]])=0,1,0)</f>
        <v>0</v>
      </c>
      <c r="T17" s="19">
        <f>YEAR(tbl_FACTS[[#This Row],[OrderDate]])</f>
        <v>1996</v>
      </c>
      <c r="U17" s="22">
        <f>DATE(YEAR(tbl_FACTS[[#This Row],[OrderDate]]),MONTH(tbl_FACTS[[#This Row],[OrderDate]]),1)</f>
        <v>35247</v>
      </c>
      <c r="V17" s="22" t="str">
        <f>IF(tbl_FACTS[[#This Row],[Quantity]]&lt;=10,"0–10",IF(tbl_FACTS[[#This Row],[Quantity]]&lt;=20,"11–20",IF(tbl_FACTS[[#This Row],[Quantity]]&lt;=30,"21–30",IF(tbl_FACTS[[#This Row],[Quantity]]&lt;=40,"31–40",IF(tbl_FACTS[[#This Row],[Quantity]]&lt;=50,"41–50","51+")))))</f>
        <v>41–50</v>
      </c>
    </row>
    <row r="18" spans="1:22">
      <c r="A18">
        <v>17</v>
      </c>
      <c r="B18">
        <v>10253</v>
      </c>
      <c r="C18">
        <v>49</v>
      </c>
      <c r="D18" s="19">
        <v>40</v>
      </c>
      <c r="E18" s="20">
        <f>_xlfn.XLOOKUP(tbl_FACTS[[#This Row],[OrderID]],Πίνακας64[OrderID],Πίνακας64[OrderDate])</f>
        <v>35256</v>
      </c>
      <c r="F18">
        <f>_xlfn.XLOOKUP(tbl_FACTS[[#This Row],[OrderID]],Πίνακας64[OrderID],Πίνακας64[CustomerID])</f>
        <v>34</v>
      </c>
      <c r="G18" t="str">
        <f>_xlfn.XLOOKUP(tbl_FACTS[[#This Row],[CustomerID]],Πίνακας1[CustomerID],Πίνακας1[CustomerName])</f>
        <v>Hanari Carnes</v>
      </c>
      <c r="H18" t="str">
        <f>_xlfn.XLOOKUP(tbl_FACTS[[#This Row],[CustomerID]],Πίνακας1[CustomerID],Πίνακας1[Country])</f>
        <v>Brazil</v>
      </c>
      <c r="I18">
        <f>_xlfn.XLOOKUP(tbl_FACTS[[#This Row],[OrderID]],Πίνακας64[OrderID],Πίνακας64[EmployeeID])</f>
        <v>3</v>
      </c>
      <c r="J18">
        <f>_xlfn.XLOOKUP(tbl_FACTS[[#This Row],[OrderID]],Πίνακας64[OrderID],Πίνακας64[ShipperID])</f>
        <v>2</v>
      </c>
      <c r="K18" t="str">
        <f>_xlfn.XLOOKUP(tbl_FACTS[[#This Row],[ShipperID]],Πίνακας8[ShipperID],Πίνακας8[ShipperName])</f>
        <v>United Package</v>
      </c>
      <c r="L18" t="str">
        <f>_xlfn.XLOOKUP(tbl_FACTS[[#This Row],[ProductID]],Πίνακας7[ProductID],Πίνακας7[ProductName])</f>
        <v>Maxilaku</v>
      </c>
      <c r="M18">
        <f>_xlfn.XLOOKUP(tbl_FACTS[[#This Row],[ProductID]],Πίνακας7[ProductID],Πίνακας7[CategoryID])</f>
        <v>3</v>
      </c>
      <c r="N18" t="str">
        <f>_xlfn.XLOOKUP(tbl_FACTS[[#This Row],[CategoryID]],Πίνακας4[CategoryID],Πίνακας4[CategoryName])</f>
        <v>Confections</v>
      </c>
      <c r="O18">
        <f>_xlfn.XLOOKUP(tbl_FACTS[[#This Row],[ProductID]],Πίνακας7[ProductID],Πίνακας7[SupplierID])</f>
        <v>23</v>
      </c>
      <c r="P18" t="str">
        <f>_xlfn.XLOOKUP(tbl_FACTS[[#This Row],[SupplierID]],Πίνακας9[SupplierID],Πίνακας9[SupplierName])</f>
        <v>Karkki Oy</v>
      </c>
      <c r="Q18" s="21">
        <f>_xlfn.XLOOKUP(tbl_FACTS[[#This Row],[ProductID]],Πίνακας7[ProductID],Πίνακας7[Price])</f>
        <v>20</v>
      </c>
      <c r="R18" s="21">
        <f>tbl_FACTS[[#This Row],[Quantity]]*tbl_FACTS[[#This Row],[Price]]</f>
        <v>800</v>
      </c>
      <c r="S18" s="19">
        <f>IF(COUNTIFS(tbl_FACTS[OrderID],tbl_FACTS[[#This Row],[OrderID]],tbl_FACTS[OrderDetailID],"&lt;"&amp;tbl_FACTS[[#This Row],[OrderDetailID]])=0,1,0)</f>
        <v>0</v>
      </c>
      <c r="T18" s="19">
        <f>YEAR(tbl_FACTS[[#This Row],[OrderDate]])</f>
        <v>1996</v>
      </c>
      <c r="U18" s="22">
        <f>DATE(YEAR(tbl_FACTS[[#This Row],[OrderDate]]),MONTH(tbl_FACTS[[#This Row],[OrderDate]]),1)</f>
        <v>35247</v>
      </c>
      <c r="V18" s="22" t="str">
        <f>IF(tbl_FACTS[[#This Row],[Quantity]]&lt;=10,"0–10",IF(tbl_FACTS[[#This Row],[Quantity]]&lt;=20,"11–20",IF(tbl_FACTS[[#This Row],[Quantity]]&lt;=30,"21–30",IF(tbl_FACTS[[#This Row],[Quantity]]&lt;=40,"31–40",IF(tbl_FACTS[[#This Row],[Quantity]]&lt;=50,"41–50","51+")))))</f>
        <v>31–40</v>
      </c>
    </row>
    <row r="19" spans="1:22">
      <c r="A19">
        <v>18</v>
      </c>
      <c r="B19">
        <v>10254</v>
      </c>
      <c r="C19">
        <v>24</v>
      </c>
      <c r="D19" s="19">
        <v>15</v>
      </c>
      <c r="E19" s="20">
        <f>_xlfn.XLOOKUP(tbl_FACTS[[#This Row],[OrderID]],Πίνακας64[OrderID],Πίνακας64[OrderDate])</f>
        <v>35257</v>
      </c>
      <c r="F19">
        <f>_xlfn.XLOOKUP(tbl_FACTS[[#This Row],[OrderID]],Πίνακας64[OrderID],Πίνακας64[CustomerID])</f>
        <v>14</v>
      </c>
      <c r="G19" t="str">
        <f>_xlfn.XLOOKUP(tbl_FACTS[[#This Row],[CustomerID]],Πίνακας1[CustomerID],Πίνακας1[CustomerName])</f>
        <v>Chop-suey Chinese</v>
      </c>
      <c r="H19" t="str">
        <f>_xlfn.XLOOKUP(tbl_FACTS[[#This Row],[CustomerID]],Πίνακας1[CustomerID],Πίνακας1[Country])</f>
        <v>Switzerland</v>
      </c>
      <c r="I19">
        <f>_xlfn.XLOOKUP(tbl_FACTS[[#This Row],[OrderID]],Πίνακας64[OrderID],Πίνακας64[EmployeeID])</f>
        <v>5</v>
      </c>
      <c r="J19">
        <f>_xlfn.XLOOKUP(tbl_FACTS[[#This Row],[OrderID]],Πίνακας64[OrderID],Πίνακας64[ShipperID])</f>
        <v>2</v>
      </c>
      <c r="K19" t="str">
        <f>_xlfn.XLOOKUP(tbl_FACTS[[#This Row],[ShipperID]],Πίνακας8[ShipperID],Πίνακας8[ShipperName])</f>
        <v>United Package</v>
      </c>
      <c r="L19" t="str">
        <f>_xlfn.XLOOKUP(tbl_FACTS[[#This Row],[ProductID]],Πίνακας7[ProductID],Πίνακας7[ProductName])</f>
        <v>Guarana Fantastica</v>
      </c>
      <c r="M19">
        <f>_xlfn.XLOOKUP(tbl_FACTS[[#This Row],[ProductID]],Πίνακας7[ProductID],Πίνακας7[CategoryID])</f>
        <v>1</v>
      </c>
      <c r="N19" t="str">
        <f>_xlfn.XLOOKUP(tbl_FACTS[[#This Row],[CategoryID]],Πίνακας4[CategoryID],Πίνακας4[CategoryName])</f>
        <v>Beverages</v>
      </c>
      <c r="O19">
        <f>_xlfn.XLOOKUP(tbl_FACTS[[#This Row],[ProductID]],Πίνακας7[ProductID],Πίνακας7[SupplierID])</f>
        <v>10</v>
      </c>
      <c r="P19" t="str">
        <f>_xlfn.XLOOKUP(tbl_FACTS[[#This Row],[SupplierID]],Πίνακας9[SupplierID],Πίνακας9[SupplierName])</f>
        <v>Refrescos Americanas LTDA</v>
      </c>
      <c r="Q19" s="21">
        <f>_xlfn.XLOOKUP(tbl_FACTS[[#This Row],[ProductID]],Πίνακας7[ProductID],Πίνακας7[Price])</f>
        <v>5</v>
      </c>
      <c r="R19" s="21">
        <f>tbl_FACTS[[#This Row],[Quantity]]*tbl_FACTS[[#This Row],[Price]]</f>
        <v>75</v>
      </c>
      <c r="S19" s="19">
        <f>IF(COUNTIFS(tbl_FACTS[OrderID],tbl_FACTS[[#This Row],[OrderID]],tbl_FACTS[OrderDetailID],"&lt;"&amp;tbl_FACTS[[#This Row],[OrderDetailID]])=0,1,0)</f>
        <v>1</v>
      </c>
      <c r="T19" s="19">
        <f>YEAR(tbl_FACTS[[#This Row],[OrderDate]])</f>
        <v>1996</v>
      </c>
      <c r="U19" s="22">
        <f>DATE(YEAR(tbl_FACTS[[#This Row],[OrderDate]]),MONTH(tbl_FACTS[[#This Row],[OrderDate]]),1)</f>
        <v>35247</v>
      </c>
      <c r="V19" s="22" t="str">
        <f>IF(tbl_FACTS[[#This Row],[Quantity]]&lt;=10,"0–10",IF(tbl_FACTS[[#This Row],[Quantity]]&lt;=20,"11–20",IF(tbl_FACTS[[#This Row],[Quantity]]&lt;=30,"21–30",IF(tbl_FACTS[[#This Row],[Quantity]]&lt;=40,"31–40",IF(tbl_FACTS[[#This Row],[Quantity]]&lt;=50,"41–50","51+")))))</f>
        <v>11–20</v>
      </c>
    </row>
    <row r="20" spans="1:22">
      <c r="A20">
        <v>19</v>
      </c>
      <c r="B20">
        <v>10254</v>
      </c>
      <c r="C20">
        <v>55</v>
      </c>
      <c r="D20" s="19">
        <v>21</v>
      </c>
      <c r="E20" s="20">
        <f>_xlfn.XLOOKUP(tbl_FACTS[[#This Row],[OrderID]],Πίνακας64[OrderID],Πίνακας64[OrderDate])</f>
        <v>35257</v>
      </c>
      <c r="F20">
        <f>_xlfn.XLOOKUP(tbl_FACTS[[#This Row],[OrderID]],Πίνακας64[OrderID],Πίνακας64[CustomerID])</f>
        <v>14</v>
      </c>
      <c r="G20" t="str">
        <f>_xlfn.XLOOKUP(tbl_FACTS[[#This Row],[CustomerID]],Πίνακας1[CustomerID],Πίνακας1[CustomerName])</f>
        <v>Chop-suey Chinese</v>
      </c>
      <c r="H20" t="str">
        <f>_xlfn.XLOOKUP(tbl_FACTS[[#This Row],[CustomerID]],Πίνακας1[CustomerID],Πίνακας1[Country])</f>
        <v>Switzerland</v>
      </c>
      <c r="I20">
        <f>_xlfn.XLOOKUP(tbl_FACTS[[#This Row],[OrderID]],Πίνακας64[OrderID],Πίνακας64[EmployeeID])</f>
        <v>5</v>
      </c>
      <c r="J20">
        <f>_xlfn.XLOOKUP(tbl_FACTS[[#This Row],[OrderID]],Πίνακας64[OrderID],Πίνακας64[ShipperID])</f>
        <v>2</v>
      </c>
      <c r="K20" t="str">
        <f>_xlfn.XLOOKUP(tbl_FACTS[[#This Row],[ShipperID]],Πίνακας8[ShipperID],Πίνακας8[ShipperName])</f>
        <v>United Package</v>
      </c>
      <c r="L20" t="str">
        <f>_xlfn.XLOOKUP(tbl_FACTS[[#This Row],[ProductID]],Πίνακας7[ProductID],Πίνακας7[ProductName])</f>
        <v>Pate chinois</v>
      </c>
      <c r="M20">
        <f>_xlfn.XLOOKUP(tbl_FACTS[[#This Row],[ProductID]],Πίνακας7[ProductID],Πίνακας7[CategoryID])</f>
        <v>6</v>
      </c>
      <c r="N20" t="str">
        <f>_xlfn.XLOOKUP(tbl_FACTS[[#This Row],[CategoryID]],Πίνακας4[CategoryID],Πίνακας4[CategoryName])</f>
        <v>Meat/Poultry</v>
      </c>
      <c r="O20">
        <f>_xlfn.XLOOKUP(tbl_FACTS[[#This Row],[ProductID]],Πίνακας7[ProductID],Πίνακας7[SupplierID])</f>
        <v>25</v>
      </c>
      <c r="P20" t="str">
        <f>_xlfn.XLOOKUP(tbl_FACTS[[#This Row],[SupplierID]],Πίνακας9[SupplierID],Πίνακας9[SupplierName])</f>
        <v>Ma Maison</v>
      </c>
      <c r="Q20" s="21">
        <f>_xlfn.XLOOKUP(tbl_FACTS[[#This Row],[ProductID]],Πίνακας7[ProductID],Πίνακας7[Price])</f>
        <v>24</v>
      </c>
      <c r="R20" s="21">
        <f>tbl_FACTS[[#This Row],[Quantity]]*tbl_FACTS[[#This Row],[Price]]</f>
        <v>504</v>
      </c>
      <c r="S20" s="19">
        <f>IF(COUNTIFS(tbl_FACTS[OrderID],tbl_FACTS[[#This Row],[OrderID]],tbl_FACTS[OrderDetailID],"&lt;"&amp;tbl_FACTS[[#This Row],[OrderDetailID]])=0,1,0)</f>
        <v>0</v>
      </c>
      <c r="T20" s="19">
        <f>YEAR(tbl_FACTS[[#This Row],[OrderDate]])</f>
        <v>1996</v>
      </c>
      <c r="U20" s="22">
        <f>DATE(YEAR(tbl_FACTS[[#This Row],[OrderDate]]),MONTH(tbl_FACTS[[#This Row],[OrderDate]]),1)</f>
        <v>35247</v>
      </c>
      <c r="V20" s="22" t="str">
        <f>IF(tbl_FACTS[[#This Row],[Quantity]]&lt;=10,"0–10",IF(tbl_FACTS[[#This Row],[Quantity]]&lt;=20,"11–20",IF(tbl_FACTS[[#This Row],[Quantity]]&lt;=30,"21–30",IF(tbl_FACTS[[#This Row],[Quantity]]&lt;=40,"31–40",IF(tbl_FACTS[[#This Row],[Quantity]]&lt;=50,"41–50","51+")))))</f>
        <v>21–30</v>
      </c>
    </row>
    <row r="21" spans="1:22">
      <c r="A21">
        <v>20</v>
      </c>
      <c r="B21">
        <v>10254</v>
      </c>
      <c r="C21">
        <v>74</v>
      </c>
      <c r="D21" s="19">
        <v>21</v>
      </c>
      <c r="E21" s="20">
        <f>_xlfn.XLOOKUP(tbl_FACTS[[#This Row],[OrderID]],Πίνακας64[OrderID],Πίνακας64[OrderDate])</f>
        <v>35257</v>
      </c>
      <c r="F21">
        <f>_xlfn.XLOOKUP(tbl_FACTS[[#This Row],[OrderID]],Πίνακας64[OrderID],Πίνακας64[CustomerID])</f>
        <v>14</v>
      </c>
      <c r="G21" t="str">
        <f>_xlfn.XLOOKUP(tbl_FACTS[[#This Row],[CustomerID]],Πίνακας1[CustomerID],Πίνακας1[CustomerName])</f>
        <v>Chop-suey Chinese</v>
      </c>
      <c r="H21" t="str">
        <f>_xlfn.XLOOKUP(tbl_FACTS[[#This Row],[CustomerID]],Πίνακας1[CustomerID],Πίνακας1[Country])</f>
        <v>Switzerland</v>
      </c>
      <c r="I21">
        <f>_xlfn.XLOOKUP(tbl_FACTS[[#This Row],[OrderID]],Πίνακας64[OrderID],Πίνακας64[EmployeeID])</f>
        <v>5</v>
      </c>
      <c r="J21">
        <f>_xlfn.XLOOKUP(tbl_FACTS[[#This Row],[OrderID]],Πίνακας64[OrderID],Πίνακας64[ShipperID])</f>
        <v>2</v>
      </c>
      <c r="K21" t="str">
        <f>_xlfn.XLOOKUP(tbl_FACTS[[#This Row],[ShipperID]],Πίνακας8[ShipperID],Πίνακας8[ShipperName])</f>
        <v>United Package</v>
      </c>
      <c r="L21" t="str">
        <f>_xlfn.XLOOKUP(tbl_FACTS[[#This Row],[ProductID]],Πίνακας7[ProductID],Πίνακας7[ProductName])</f>
        <v>Longlife Tofu</v>
      </c>
      <c r="M21">
        <f>_xlfn.XLOOKUP(tbl_FACTS[[#This Row],[ProductID]],Πίνακας7[ProductID],Πίνακας7[CategoryID])</f>
        <v>7</v>
      </c>
      <c r="N21" t="str">
        <f>_xlfn.XLOOKUP(tbl_FACTS[[#This Row],[CategoryID]],Πίνακας4[CategoryID],Πίνακας4[CategoryName])</f>
        <v>Produce</v>
      </c>
      <c r="O21">
        <f>_xlfn.XLOOKUP(tbl_FACTS[[#This Row],[ProductID]],Πίνακας7[ProductID],Πίνακας7[SupplierID])</f>
        <v>4</v>
      </c>
      <c r="P21" t="str">
        <f>_xlfn.XLOOKUP(tbl_FACTS[[#This Row],[SupplierID]],Πίνακας9[SupplierID],Πίνακας9[SupplierName])</f>
        <v>Tokyo Traders</v>
      </c>
      <c r="Q21" s="21">
        <f>_xlfn.XLOOKUP(tbl_FACTS[[#This Row],[ProductID]],Πίνακας7[ProductID],Πίνακας7[Price])</f>
        <v>10</v>
      </c>
      <c r="R21" s="21">
        <f>tbl_FACTS[[#This Row],[Quantity]]*tbl_FACTS[[#This Row],[Price]]</f>
        <v>210</v>
      </c>
      <c r="S21" s="19">
        <f>IF(COUNTIFS(tbl_FACTS[OrderID],tbl_FACTS[[#This Row],[OrderID]],tbl_FACTS[OrderDetailID],"&lt;"&amp;tbl_FACTS[[#This Row],[OrderDetailID]])=0,1,0)</f>
        <v>0</v>
      </c>
      <c r="T21" s="19">
        <f>YEAR(tbl_FACTS[[#This Row],[OrderDate]])</f>
        <v>1996</v>
      </c>
      <c r="U21" s="22">
        <f>DATE(YEAR(tbl_FACTS[[#This Row],[OrderDate]]),MONTH(tbl_FACTS[[#This Row],[OrderDate]]),1)</f>
        <v>35247</v>
      </c>
      <c r="V21" s="22" t="str">
        <f>IF(tbl_FACTS[[#This Row],[Quantity]]&lt;=10,"0–10",IF(tbl_FACTS[[#This Row],[Quantity]]&lt;=20,"11–20",IF(tbl_FACTS[[#This Row],[Quantity]]&lt;=30,"21–30",IF(tbl_FACTS[[#This Row],[Quantity]]&lt;=40,"31–40",IF(tbl_FACTS[[#This Row],[Quantity]]&lt;=50,"41–50","51+")))))</f>
        <v>21–30</v>
      </c>
    </row>
    <row r="22" spans="1:22">
      <c r="A22">
        <v>21</v>
      </c>
      <c r="B22">
        <v>10255</v>
      </c>
      <c r="C22">
        <v>2</v>
      </c>
      <c r="D22" s="19">
        <v>20</v>
      </c>
      <c r="E22" s="20">
        <f>_xlfn.XLOOKUP(tbl_FACTS[[#This Row],[OrderID]],Πίνακας64[OrderID],Πίνακας64[OrderDate])</f>
        <v>35258</v>
      </c>
      <c r="F22">
        <f>_xlfn.XLOOKUP(tbl_FACTS[[#This Row],[OrderID]],Πίνακας64[OrderID],Πίνακας64[CustomerID])</f>
        <v>68</v>
      </c>
      <c r="G22" t="str">
        <f>_xlfn.XLOOKUP(tbl_FACTS[[#This Row],[CustomerID]],Πίνακας1[CustomerID],Πίνακας1[CustomerName])</f>
        <v>Richter Supermarkt</v>
      </c>
      <c r="H22" t="str">
        <f>_xlfn.XLOOKUP(tbl_FACTS[[#This Row],[CustomerID]],Πίνακας1[CustomerID],Πίνακας1[Country])</f>
        <v>Switzerland</v>
      </c>
      <c r="I22">
        <f>_xlfn.XLOOKUP(tbl_FACTS[[#This Row],[OrderID]],Πίνακας64[OrderID],Πίνακας64[EmployeeID])</f>
        <v>9</v>
      </c>
      <c r="J22">
        <f>_xlfn.XLOOKUP(tbl_FACTS[[#This Row],[OrderID]],Πίνακας64[OrderID],Πίνακας64[ShipperID])</f>
        <v>3</v>
      </c>
      <c r="K22" t="str">
        <f>_xlfn.XLOOKUP(tbl_FACTS[[#This Row],[ShipperID]],Πίνακας8[ShipperID],Πίνακας8[ShipperName])</f>
        <v>Federal Shipping</v>
      </c>
      <c r="L22" t="str">
        <f>_xlfn.XLOOKUP(tbl_FACTS[[#This Row],[ProductID]],Πίνακας7[ProductID],Πίνακας7[ProductName])</f>
        <v>Chang</v>
      </c>
      <c r="M22">
        <f>_xlfn.XLOOKUP(tbl_FACTS[[#This Row],[ProductID]],Πίνακας7[ProductID],Πίνακας7[CategoryID])</f>
        <v>1</v>
      </c>
      <c r="N22" t="str">
        <f>_xlfn.XLOOKUP(tbl_FACTS[[#This Row],[CategoryID]],Πίνακας4[CategoryID],Πίνακας4[CategoryName])</f>
        <v>Beverages</v>
      </c>
      <c r="O22">
        <f>_xlfn.XLOOKUP(tbl_FACTS[[#This Row],[ProductID]],Πίνακας7[ProductID],Πίνακας7[SupplierID])</f>
        <v>1</v>
      </c>
      <c r="P22" t="str">
        <f>_xlfn.XLOOKUP(tbl_FACTS[[#This Row],[SupplierID]],Πίνακας9[SupplierID],Πίνακας9[SupplierName])</f>
        <v>Exotic Liquid</v>
      </c>
      <c r="Q22" s="21">
        <f>_xlfn.XLOOKUP(tbl_FACTS[[#This Row],[ProductID]],Πίνακας7[ProductID],Πίνακας7[Price])</f>
        <v>19</v>
      </c>
      <c r="R22" s="21">
        <f>tbl_FACTS[[#This Row],[Quantity]]*tbl_FACTS[[#This Row],[Price]]</f>
        <v>380</v>
      </c>
      <c r="S22" s="19">
        <f>IF(COUNTIFS(tbl_FACTS[OrderID],tbl_FACTS[[#This Row],[OrderID]],tbl_FACTS[OrderDetailID],"&lt;"&amp;tbl_FACTS[[#This Row],[OrderDetailID]])=0,1,0)</f>
        <v>1</v>
      </c>
      <c r="T22" s="19">
        <f>YEAR(tbl_FACTS[[#This Row],[OrderDate]])</f>
        <v>1996</v>
      </c>
      <c r="U22" s="22">
        <f>DATE(YEAR(tbl_FACTS[[#This Row],[OrderDate]]),MONTH(tbl_FACTS[[#This Row],[OrderDate]]),1)</f>
        <v>35247</v>
      </c>
      <c r="V22" s="22" t="str">
        <f>IF(tbl_FACTS[[#This Row],[Quantity]]&lt;=10,"0–10",IF(tbl_FACTS[[#This Row],[Quantity]]&lt;=20,"11–20",IF(tbl_FACTS[[#This Row],[Quantity]]&lt;=30,"21–30",IF(tbl_FACTS[[#This Row],[Quantity]]&lt;=40,"31–40",IF(tbl_FACTS[[#This Row],[Quantity]]&lt;=50,"41–50","51+")))))</f>
        <v>11–20</v>
      </c>
    </row>
    <row r="23" spans="1:22">
      <c r="A23">
        <v>22</v>
      </c>
      <c r="B23">
        <v>10255</v>
      </c>
      <c r="C23">
        <v>16</v>
      </c>
      <c r="D23" s="19">
        <v>35</v>
      </c>
      <c r="E23" s="20">
        <f>_xlfn.XLOOKUP(tbl_FACTS[[#This Row],[OrderID]],Πίνακας64[OrderID],Πίνακας64[OrderDate])</f>
        <v>35258</v>
      </c>
      <c r="F23">
        <f>_xlfn.XLOOKUP(tbl_FACTS[[#This Row],[OrderID]],Πίνακας64[OrderID],Πίνακας64[CustomerID])</f>
        <v>68</v>
      </c>
      <c r="G23" t="str">
        <f>_xlfn.XLOOKUP(tbl_FACTS[[#This Row],[CustomerID]],Πίνακας1[CustomerID],Πίνακας1[CustomerName])</f>
        <v>Richter Supermarkt</v>
      </c>
      <c r="H23" t="str">
        <f>_xlfn.XLOOKUP(tbl_FACTS[[#This Row],[CustomerID]],Πίνακας1[CustomerID],Πίνακας1[Country])</f>
        <v>Switzerland</v>
      </c>
      <c r="I23">
        <f>_xlfn.XLOOKUP(tbl_FACTS[[#This Row],[OrderID]],Πίνακας64[OrderID],Πίνακας64[EmployeeID])</f>
        <v>9</v>
      </c>
      <c r="J23">
        <f>_xlfn.XLOOKUP(tbl_FACTS[[#This Row],[OrderID]],Πίνακας64[OrderID],Πίνακας64[ShipperID])</f>
        <v>3</v>
      </c>
      <c r="K23" t="str">
        <f>_xlfn.XLOOKUP(tbl_FACTS[[#This Row],[ShipperID]],Πίνακας8[ShipperID],Πίνακας8[ShipperName])</f>
        <v>Federal Shipping</v>
      </c>
      <c r="L23" t="str">
        <f>_xlfn.XLOOKUP(tbl_FACTS[[#This Row],[ProductID]],Πίνακας7[ProductID],Πίνακας7[ProductName])</f>
        <v>Pavlova</v>
      </c>
      <c r="M23">
        <f>_xlfn.XLOOKUP(tbl_FACTS[[#This Row],[ProductID]],Πίνακας7[ProductID],Πίνακας7[CategoryID])</f>
        <v>3</v>
      </c>
      <c r="N23" t="str">
        <f>_xlfn.XLOOKUP(tbl_FACTS[[#This Row],[CategoryID]],Πίνακας4[CategoryID],Πίνακας4[CategoryName])</f>
        <v>Confections</v>
      </c>
      <c r="O23">
        <f>_xlfn.XLOOKUP(tbl_FACTS[[#This Row],[ProductID]],Πίνακας7[ProductID],Πίνακας7[SupplierID])</f>
        <v>7</v>
      </c>
      <c r="P23" t="str">
        <f>_xlfn.XLOOKUP(tbl_FACTS[[#This Row],[SupplierID]],Πίνακας9[SupplierID],Πίνακας9[SupplierName])</f>
        <v>Pavlova, Ltd.</v>
      </c>
      <c r="Q23" s="21">
        <f>_xlfn.XLOOKUP(tbl_FACTS[[#This Row],[ProductID]],Πίνακας7[ProductID],Πίνακας7[Price])</f>
        <v>17</v>
      </c>
      <c r="R23" s="21">
        <f>tbl_FACTS[[#This Row],[Quantity]]*tbl_FACTS[[#This Row],[Price]]</f>
        <v>595</v>
      </c>
      <c r="S23" s="19">
        <f>IF(COUNTIFS(tbl_FACTS[OrderID],tbl_FACTS[[#This Row],[OrderID]],tbl_FACTS[OrderDetailID],"&lt;"&amp;tbl_FACTS[[#This Row],[OrderDetailID]])=0,1,0)</f>
        <v>0</v>
      </c>
      <c r="T23" s="19">
        <f>YEAR(tbl_FACTS[[#This Row],[OrderDate]])</f>
        <v>1996</v>
      </c>
      <c r="U23" s="22">
        <f>DATE(YEAR(tbl_FACTS[[#This Row],[OrderDate]]),MONTH(tbl_FACTS[[#This Row],[OrderDate]]),1)</f>
        <v>35247</v>
      </c>
      <c r="V23" s="22" t="str">
        <f>IF(tbl_FACTS[[#This Row],[Quantity]]&lt;=10,"0–10",IF(tbl_FACTS[[#This Row],[Quantity]]&lt;=20,"11–20",IF(tbl_FACTS[[#This Row],[Quantity]]&lt;=30,"21–30",IF(tbl_FACTS[[#This Row],[Quantity]]&lt;=40,"31–40",IF(tbl_FACTS[[#This Row],[Quantity]]&lt;=50,"41–50","51+")))))</f>
        <v>31–40</v>
      </c>
    </row>
    <row r="24" spans="1:22">
      <c r="A24">
        <v>23</v>
      </c>
      <c r="B24">
        <v>10255</v>
      </c>
      <c r="C24">
        <v>36</v>
      </c>
      <c r="D24" s="19">
        <v>25</v>
      </c>
      <c r="E24" s="20">
        <f>_xlfn.XLOOKUP(tbl_FACTS[[#This Row],[OrderID]],Πίνακας64[OrderID],Πίνακας64[OrderDate])</f>
        <v>35258</v>
      </c>
      <c r="F24">
        <f>_xlfn.XLOOKUP(tbl_FACTS[[#This Row],[OrderID]],Πίνακας64[OrderID],Πίνακας64[CustomerID])</f>
        <v>68</v>
      </c>
      <c r="G24" t="str">
        <f>_xlfn.XLOOKUP(tbl_FACTS[[#This Row],[CustomerID]],Πίνακας1[CustomerID],Πίνακας1[CustomerName])</f>
        <v>Richter Supermarkt</v>
      </c>
      <c r="H24" t="str">
        <f>_xlfn.XLOOKUP(tbl_FACTS[[#This Row],[CustomerID]],Πίνακας1[CustomerID],Πίνακας1[Country])</f>
        <v>Switzerland</v>
      </c>
      <c r="I24">
        <f>_xlfn.XLOOKUP(tbl_FACTS[[#This Row],[OrderID]],Πίνακας64[OrderID],Πίνακας64[EmployeeID])</f>
        <v>9</v>
      </c>
      <c r="J24">
        <f>_xlfn.XLOOKUP(tbl_FACTS[[#This Row],[OrderID]],Πίνακας64[OrderID],Πίνακας64[ShipperID])</f>
        <v>3</v>
      </c>
      <c r="K24" t="str">
        <f>_xlfn.XLOOKUP(tbl_FACTS[[#This Row],[ShipperID]],Πίνακας8[ShipperID],Πίνακας8[ShipperName])</f>
        <v>Federal Shipping</v>
      </c>
      <c r="L24" t="str">
        <f>_xlfn.XLOOKUP(tbl_FACTS[[#This Row],[ProductID]],Πίνακας7[ProductID],Πίνακας7[ProductName])</f>
        <v>Inlagd Sill</v>
      </c>
      <c r="M24">
        <f>_xlfn.XLOOKUP(tbl_FACTS[[#This Row],[ProductID]],Πίνακας7[ProductID],Πίνακας7[CategoryID])</f>
        <v>8</v>
      </c>
      <c r="N24" t="str">
        <f>_xlfn.XLOOKUP(tbl_FACTS[[#This Row],[CategoryID]],Πίνακας4[CategoryID],Πίνακας4[CategoryName])</f>
        <v>Seafood</v>
      </c>
      <c r="O24">
        <f>_xlfn.XLOOKUP(tbl_FACTS[[#This Row],[ProductID]],Πίνακας7[ProductID],Πίνακας7[SupplierID])</f>
        <v>17</v>
      </c>
      <c r="P24" t="str">
        <f>_xlfn.XLOOKUP(tbl_FACTS[[#This Row],[SupplierID]],Πίνακας9[SupplierID],Πίνακας9[SupplierName])</f>
        <v>Svensk Sjofoda AB</v>
      </c>
      <c r="Q24" s="21">
        <f>_xlfn.XLOOKUP(tbl_FACTS[[#This Row],[ProductID]],Πίνακας7[ProductID],Πίνακας7[Price])</f>
        <v>19</v>
      </c>
      <c r="R24" s="21">
        <f>tbl_FACTS[[#This Row],[Quantity]]*tbl_FACTS[[#This Row],[Price]]</f>
        <v>475</v>
      </c>
      <c r="S24" s="19">
        <f>IF(COUNTIFS(tbl_FACTS[OrderID],tbl_FACTS[[#This Row],[OrderID]],tbl_FACTS[OrderDetailID],"&lt;"&amp;tbl_FACTS[[#This Row],[OrderDetailID]])=0,1,0)</f>
        <v>0</v>
      </c>
      <c r="T24" s="19">
        <f>YEAR(tbl_FACTS[[#This Row],[OrderDate]])</f>
        <v>1996</v>
      </c>
      <c r="U24" s="22">
        <f>DATE(YEAR(tbl_FACTS[[#This Row],[OrderDate]]),MONTH(tbl_FACTS[[#This Row],[OrderDate]]),1)</f>
        <v>35247</v>
      </c>
      <c r="V24" s="22" t="str">
        <f>IF(tbl_FACTS[[#This Row],[Quantity]]&lt;=10,"0–10",IF(tbl_FACTS[[#This Row],[Quantity]]&lt;=20,"11–20",IF(tbl_FACTS[[#This Row],[Quantity]]&lt;=30,"21–30",IF(tbl_FACTS[[#This Row],[Quantity]]&lt;=40,"31–40",IF(tbl_FACTS[[#This Row],[Quantity]]&lt;=50,"41–50","51+")))))</f>
        <v>21–30</v>
      </c>
    </row>
    <row r="25" spans="1:22">
      <c r="A25">
        <v>24</v>
      </c>
      <c r="B25">
        <v>10255</v>
      </c>
      <c r="C25">
        <v>59</v>
      </c>
      <c r="D25" s="19">
        <v>30</v>
      </c>
      <c r="E25" s="20">
        <f>_xlfn.XLOOKUP(tbl_FACTS[[#This Row],[OrderID]],Πίνακας64[OrderID],Πίνακας64[OrderDate])</f>
        <v>35258</v>
      </c>
      <c r="F25">
        <f>_xlfn.XLOOKUP(tbl_FACTS[[#This Row],[OrderID]],Πίνακας64[OrderID],Πίνακας64[CustomerID])</f>
        <v>68</v>
      </c>
      <c r="G25" t="str">
        <f>_xlfn.XLOOKUP(tbl_FACTS[[#This Row],[CustomerID]],Πίνακας1[CustomerID],Πίνακας1[CustomerName])</f>
        <v>Richter Supermarkt</v>
      </c>
      <c r="H25" t="str">
        <f>_xlfn.XLOOKUP(tbl_FACTS[[#This Row],[CustomerID]],Πίνακας1[CustomerID],Πίνακας1[Country])</f>
        <v>Switzerland</v>
      </c>
      <c r="I25">
        <f>_xlfn.XLOOKUP(tbl_FACTS[[#This Row],[OrderID]],Πίνακας64[OrderID],Πίνακας64[EmployeeID])</f>
        <v>9</v>
      </c>
      <c r="J25">
        <f>_xlfn.XLOOKUP(tbl_FACTS[[#This Row],[OrderID]],Πίνακας64[OrderID],Πίνακας64[ShipperID])</f>
        <v>3</v>
      </c>
      <c r="K25" t="str">
        <f>_xlfn.XLOOKUP(tbl_FACTS[[#This Row],[ShipperID]],Πίνακας8[ShipperID],Πίνακας8[ShipperName])</f>
        <v>Federal Shipping</v>
      </c>
      <c r="L25" t="str">
        <f>_xlfn.XLOOKUP(tbl_FACTS[[#This Row],[ProductID]],Πίνακας7[ProductID],Πίνακας7[ProductName])</f>
        <v>Raclette Courdavault</v>
      </c>
      <c r="M25">
        <f>_xlfn.XLOOKUP(tbl_FACTS[[#This Row],[ProductID]],Πίνακας7[ProductID],Πίνακας7[CategoryID])</f>
        <v>4</v>
      </c>
      <c r="N25" t="str">
        <f>_xlfn.XLOOKUP(tbl_FACTS[[#This Row],[CategoryID]],Πίνακας4[CategoryID],Πίνακας4[CategoryName])</f>
        <v>Dairy Products</v>
      </c>
      <c r="O25">
        <f>_xlfn.XLOOKUP(tbl_FACTS[[#This Row],[ProductID]],Πίνακας7[ProductID],Πίνακας7[SupplierID])</f>
        <v>28</v>
      </c>
      <c r="P25" t="str">
        <f>_xlfn.XLOOKUP(tbl_FACTS[[#This Row],[SupplierID]],Πίνακας9[SupplierID],Πίνακας9[SupplierName])</f>
        <v>Gai paturage</v>
      </c>
      <c r="Q25" s="21">
        <f>_xlfn.XLOOKUP(tbl_FACTS[[#This Row],[ProductID]],Πίνακας7[ProductID],Πίνακας7[Price])</f>
        <v>55</v>
      </c>
      <c r="R25" s="21">
        <f>tbl_FACTS[[#This Row],[Quantity]]*tbl_FACTS[[#This Row],[Price]]</f>
        <v>1650</v>
      </c>
      <c r="S25" s="19">
        <f>IF(COUNTIFS(tbl_FACTS[OrderID],tbl_FACTS[[#This Row],[OrderID]],tbl_FACTS[OrderDetailID],"&lt;"&amp;tbl_FACTS[[#This Row],[OrderDetailID]])=0,1,0)</f>
        <v>0</v>
      </c>
      <c r="T25" s="19">
        <f>YEAR(tbl_FACTS[[#This Row],[OrderDate]])</f>
        <v>1996</v>
      </c>
      <c r="U25" s="22">
        <f>DATE(YEAR(tbl_FACTS[[#This Row],[OrderDate]]),MONTH(tbl_FACTS[[#This Row],[OrderDate]]),1)</f>
        <v>35247</v>
      </c>
      <c r="V25" s="22" t="str">
        <f>IF(tbl_FACTS[[#This Row],[Quantity]]&lt;=10,"0–10",IF(tbl_FACTS[[#This Row],[Quantity]]&lt;=20,"11–20",IF(tbl_FACTS[[#This Row],[Quantity]]&lt;=30,"21–30",IF(tbl_FACTS[[#This Row],[Quantity]]&lt;=40,"31–40",IF(tbl_FACTS[[#This Row],[Quantity]]&lt;=50,"41–50","51+")))))</f>
        <v>21–30</v>
      </c>
    </row>
    <row r="26" spans="1:22">
      <c r="A26">
        <v>25</v>
      </c>
      <c r="B26">
        <v>10256</v>
      </c>
      <c r="C26">
        <v>53</v>
      </c>
      <c r="D26" s="19">
        <v>15</v>
      </c>
      <c r="E26" s="20">
        <f>_xlfn.XLOOKUP(tbl_FACTS[[#This Row],[OrderID]],Πίνακας64[OrderID],Πίνακας64[OrderDate])</f>
        <v>35261</v>
      </c>
      <c r="F26">
        <f>_xlfn.XLOOKUP(tbl_FACTS[[#This Row],[OrderID]],Πίνακας64[OrderID],Πίνακας64[CustomerID])</f>
        <v>88</v>
      </c>
      <c r="G26" t="str">
        <f>_xlfn.XLOOKUP(tbl_FACTS[[#This Row],[CustomerID]],Πίνακας1[CustomerID],Πίνακας1[CustomerName])</f>
        <v>Wellington Importadora</v>
      </c>
      <c r="H26" t="str">
        <f>_xlfn.XLOOKUP(tbl_FACTS[[#This Row],[CustomerID]],Πίνακας1[CustomerID],Πίνακας1[Country])</f>
        <v>Brazil</v>
      </c>
      <c r="I26">
        <f>_xlfn.XLOOKUP(tbl_FACTS[[#This Row],[OrderID]],Πίνακας64[OrderID],Πίνακας64[EmployeeID])</f>
        <v>3</v>
      </c>
      <c r="J26">
        <f>_xlfn.XLOOKUP(tbl_FACTS[[#This Row],[OrderID]],Πίνακας64[OrderID],Πίνακας64[ShipperID])</f>
        <v>2</v>
      </c>
      <c r="K26" t="str">
        <f>_xlfn.XLOOKUP(tbl_FACTS[[#This Row],[ShipperID]],Πίνακας8[ShipperID],Πίνακας8[ShipperName])</f>
        <v>United Package</v>
      </c>
      <c r="L26" t="str">
        <f>_xlfn.XLOOKUP(tbl_FACTS[[#This Row],[ProductID]],Πίνακας7[ProductID],Πίνακας7[ProductName])</f>
        <v>Perth Pasties</v>
      </c>
      <c r="M26">
        <f>_xlfn.XLOOKUP(tbl_FACTS[[#This Row],[ProductID]],Πίνακας7[ProductID],Πίνακας7[CategoryID])</f>
        <v>6</v>
      </c>
      <c r="N26" t="str">
        <f>_xlfn.XLOOKUP(tbl_FACTS[[#This Row],[CategoryID]],Πίνακας4[CategoryID],Πίνακας4[CategoryName])</f>
        <v>Meat/Poultry</v>
      </c>
      <c r="O26">
        <f>_xlfn.XLOOKUP(tbl_FACTS[[#This Row],[ProductID]],Πίνακας7[ProductID],Πίνακας7[SupplierID])</f>
        <v>24</v>
      </c>
      <c r="P26" t="str">
        <f>_xlfn.XLOOKUP(tbl_FACTS[[#This Row],[SupplierID]],Πίνακας9[SupplierID],Πίνακας9[SupplierName])</f>
        <v>G'day, Mate</v>
      </c>
      <c r="Q26" s="21">
        <f>_xlfn.XLOOKUP(tbl_FACTS[[#This Row],[ProductID]],Πίνακας7[ProductID],Πίνακας7[Price])</f>
        <v>33</v>
      </c>
      <c r="R26" s="21">
        <f>tbl_FACTS[[#This Row],[Quantity]]*tbl_FACTS[[#This Row],[Price]]</f>
        <v>495</v>
      </c>
      <c r="S26" s="19">
        <f>IF(COUNTIFS(tbl_FACTS[OrderID],tbl_FACTS[[#This Row],[OrderID]],tbl_FACTS[OrderDetailID],"&lt;"&amp;tbl_FACTS[[#This Row],[OrderDetailID]])=0,1,0)</f>
        <v>1</v>
      </c>
      <c r="T26" s="19">
        <f>YEAR(tbl_FACTS[[#This Row],[OrderDate]])</f>
        <v>1996</v>
      </c>
      <c r="U26" s="22">
        <f>DATE(YEAR(tbl_FACTS[[#This Row],[OrderDate]]),MONTH(tbl_FACTS[[#This Row],[OrderDate]]),1)</f>
        <v>35247</v>
      </c>
      <c r="V26" s="22" t="str">
        <f>IF(tbl_FACTS[[#This Row],[Quantity]]&lt;=10,"0–10",IF(tbl_FACTS[[#This Row],[Quantity]]&lt;=20,"11–20",IF(tbl_FACTS[[#This Row],[Quantity]]&lt;=30,"21–30",IF(tbl_FACTS[[#This Row],[Quantity]]&lt;=40,"31–40",IF(tbl_FACTS[[#This Row],[Quantity]]&lt;=50,"41–50","51+")))))</f>
        <v>11–20</v>
      </c>
    </row>
    <row r="27" spans="1:22">
      <c r="A27">
        <v>26</v>
      </c>
      <c r="B27">
        <v>10256</v>
      </c>
      <c r="C27">
        <v>77</v>
      </c>
      <c r="D27" s="19">
        <v>12</v>
      </c>
      <c r="E27" s="20">
        <f>_xlfn.XLOOKUP(tbl_FACTS[[#This Row],[OrderID]],Πίνακας64[OrderID],Πίνακας64[OrderDate])</f>
        <v>35261</v>
      </c>
      <c r="F27">
        <f>_xlfn.XLOOKUP(tbl_FACTS[[#This Row],[OrderID]],Πίνακας64[OrderID],Πίνακας64[CustomerID])</f>
        <v>88</v>
      </c>
      <c r="G27" t="str">
        <f>_xlfn.XLOOKUP(tbl_FACTS[[#This Row],[CustomerID]],Πίνακας1[CustomerID],Πίνακας1[CustomerName])</f>
        <v>Wellington Importadora</v>
      </c>
      <c r="H27" t="str">
        <f>_xlfn.XLOOKUP(tbl_FACTS[[#This Row],[CustomerID]],Πίνακας1[CustomerID],Πίνακας1[Country])</f>
        <v>Brazil</v>
      </c>
      <c r="I27">
        <f>_xlfn.XLOOKUP(tbl_FACTS[[#This Row],[OrderID]],Πίνακας64[OrderID],Πίνακας64[EmployeeID])</f>
        <v>3</v>
      </c>
      <c r="J27">
        <f>_xlfn.XLOOKUP(tbl_FACTS[[#This Row],[OrderID]],Πίνακας64[OrderID],Πίνακας64[ShipperID])</f>
        <v>2</v>
      </c>
      <c r="K27" t="str">
        <f>_xlfn.XLOOKUP(tbl_FACTS[[#This Row],[ShipperID]],Πίνακας8[ShipperID],Πίνακας8[ShipperName])</f>
        <v>United Package</v>
      </c>
      <c r="L27" t="str">
        <f>_xlfn.XLOOKUP(tbl_FACTS[[#This Row],[ProductID]],Πίνακας7[ProductID],Πίνακας7[ProductName])</f>
        <v>Original Frankfurter grune So├ƒe</v>
      </c>
      <c r="M27">
        <f>_xlfn.XLOOKUP(tbl_FACTS[[#This Row],[ProductID]],Πίνακας7[ProductID],Πίνακας7[CategoryID])</f>
        <v>2</v>
      </c>
      <c r="N27" t="str">
        <f>_xlfn.XLOOKUP(tbl_FACTS[[#This Row],[CategoryID]],Πίνακας4[CategoryID],Πίνακας4[CategoryName])</f>
        <v>Condiments</v>
      </c>
      <c r="O27">
        <f>_xlfn.XLOOKUP(tbl_FACTS[[#This Row],[ProductID]],Πίνακας7[ProductID],Πίνακας7[SupplierID])</f>
        <v>12</v>
      </c>
      <c r="P27" t="str">
        <f>_xlfn.XLOOKUP(tbl_FACTS[[#This Row],[SupplierID]],Πίνακας9[SupplierID],Πίνακας9[SupplierName])</f>
        <v>Plutzer Lebensmittelgro├ƒmarkte AG</v>
      </c>
      <c r="Q27" s="21">
        <f>_xlfn.XLOOKUP(tbl_FACTS[[#This Row],[ProductID]],Πίνακας7[ProductID],Πίνακας7[Price])</f>
        <v>13</v>
      </c>
      <c r="R27" s="21">
        <f>tbl_FACTS[[#This Row],[Quantity]]*tbl_FACTS[[#This Row],[Price]]</f>
        <v>156</v>
      </c>
      <c r="S27" s="19">
        <f>IF(COUNTIFS(tbl_FACTS[OrderID],tbl_FACTS[[#This Row],[OrderID]],tbl_FACTS[OrderDetailID],"&lt;"&amp;tbl_FACTS[[#This Row],[OrderDetailID]])=0,1,0)</f>
        <v>0</v>
      </c>
      <c r="T27" s="19">
        <f>YEAR(tbl_FACTS[[#This Row],[OrderDate]])</f>
        <v>1996</v>
      </c>
      <c r="U27" s="22">
        <f>DATE(YEAR(tbl_FACTS[[#This Row],[OrderDate]]),MONTH(tbl_FACTS[[#This Row],[OrderDate]]),1)</f>
        <v>35247</v>
      </c>
      <c r="V27" s="22" t="str">
        <f>IF(tbl_FACTS[[#This Row],[Quantity]]&lt;=10,"0–10",IF(tbl_FACTS[[#This Row],[Quantity]]&lt;=20,"11–20",IF(tbl_FACTS[[#This Row],[Quantity]]&lt;=30,"21–30",IF(tbl_FACTS[[#This Row],[Quantity]]&lt;=40,"31–40",IF(tbl_FACTS[[#This Row],[Quantity]]&lt;=50,"41–50","51+")))))</f>
        <v>11–20</v>
      </c>
    </row>
    <row r="28" spans="1:22">
      <c r="A28">
        <v>27</v>
      </c>
      <c r="B28">
        <v>10257</v>
      </c>
      <c r="C28">
        <v>27</v>
      </c>
      <c r="D28" s="19">
        <v>25</v>
      </c>
      <c r="E28" s="20">
        <f>_xlfn.XLOOKUP(tbl_FACTS[[#This Row],[OrderID]],Πίνακας64[OrderID],Πίνακας64[OrderDate])</f>
        <v>35262</v>
      </c>
      <c r="F28">
        <f>_xlfn.XLOOKUP(tbl_FACTS[[#This Row],[OrderID]],Πίνακας64[OrderID],Πίνακας64[CustomerID])</f>
        <v>35</v>
      </c>
      <c r="G28" t="str">
        <f>_xlfn.XLOOKUP(tbl_FACTS[[#This Row],[CustomerID]],Πίνακας1[CustomerID],Πίνακας1[CustomerName])</f>
        <v>HILARION-Abastos</v>
      </c>
      <c r="H28" t="str">
        <f>_xlfn.XLOOKUP(tbl_FACTS[[#This Row],[CustomerID]],Πίνακας1[CustomerID],Πίνακας1[Country])</f>
        <v>Venezuela</v>
      </c>
      <c r="I28">
        <f>_xlfn.XLOOKUP(tbl_FACTS[[#This Row],[OrderID]],Πίνακας64[OrderID],Πίνακας64[EmployeeID])</f>
        <v>4</v>
      </c>
      <c r="J28">
        <f>_xlfn.XLOOKUP(tbl_FACTS[[#This Row],[OrderID]],Πίνακας64[OrderID],Πίνακας64[ShipperID])</f>
        <v>3</v>
      </c>
      <c r="K28" t="str">
        <f>_xlfn.XLOOKUP(tbl_FACTS[[#This Row],[ShipperID]],Πίνακας8[ShipperID],Πίνακας8[ShipperName])</f>
        <v>Federal Shipping</v>
      </c>
      <c r="L28" t="str">
        <f>_xlfn.XLOOKUP(tbl_FACTS[[#This Row],[ProductID]],Πίνακας7[ProductID],Πίνακας7[ProductName])</f>
        <v>Schoggi Schokolade</v>
      </c>
      <c r="M28">
        <f>_xlfn.XLOOKUP(tbl_FACTS[[#This Row],[ProductID]],Πίνακας7[ProductID],Πίνακας7[CategoryID])</f>
        <v>3</v>
      </c>
      <c r="N28" t="str">
        <f>_xlfn.XLOOKUP(tbl_FACTS[[#This Row],[CategoryID]],Πίνακας4[CategoryID],Πίνακας4[CategoryName])</f>
        <v>Confections</v>
      </c>
      <c r="O28">
        <f>_xlfn.XLOOKUP(tbl_FACTS[[#This Row],[ProductID]],Πίνακας7[ProductID],Πίνακας7[SupplierID])</f>
        <v>11</v>
      </c>
      <c r="P28" t="str">
        <f>_xlfn.XLOOKUP(tbl_FACTS[[#This Row],[SupplierID]],Πίνακας9[SupplierID],Πίνακας9[SupplierName])</f>
        <v>Heli Su├ƒwaren GmbH &amp; Co. KG</v>
      </c>
      <c r="Q28" s="21">
        <f>_xlfn.XLOOKUP(tbl_FACTS[[#This Row],[ProductID]],Πίνακας7[ProductID],Πίνακας7[Price])</f>
        <v>44</v>
      </c>
      <c r="R28" s="21">
        <f>tbl_FACTS[[#This Row],[Quantity]]*tbl_FACTS[[#This Row],[Price]]</f>
        <v>1100</v>
      </c>
      <c r="S28" s="19">
        <f>IF(COUNTIFS(tbl_FACTS[OrderID],tbl_FACTS[[#This Row],[OrderID]],tbl_FACTS[OrderDetailID],"&lt;"&amp;tbl_FACTS[[#This Row],[OrderDetailID]])=0,1,0)</f>
        <v>1</v>
      </c>
      <c r="T28" s="19">
        <f>YEAR(tbl_FACTS[[#This Row],[OrderDate]])</f>
        <v>1996</v>
      </c>
      <c r="U28" s="22">
        <f>DATE(YEAR(tbl_FACTS[[#This Row],[OrderDate]]),MONTH(tbl_FACTS[[#This Row],[OrderDate]]),1)</f>
        <v>35247</v>
      </c>
      <c r="V28" s="22" t="str">
        <f>IF(tbl_FACTS[[#This Row],[Quantity]]&lt;=10,"0–10",IF(tbl_FACTS[[#This Row],[Quantity]]&lt;=20,"11–20",IF(tbl_FACTS[[#This Row],[Quantity]]&lt;=30,"21–30",IF(tbl_FACTS[[#This Row],[Quantity]]&lt;=40,"31–40",IF(tbl_FACTS[[#This Row],[Quantity]]&lt;=50,"41–50","51+")))))</f>
        <v>21–30</v>
      </c>
    </row>
    <row r="29" spans="1:22">
      <c r="A29">
        <v>28</v>
      </c>
      <c r="B29">
        <v>10257</v>
      </c>
      <c r="C29">
        <v>39</v>
      </c>
      <c r="D29" s="19">
        <v>6</v>
      </c>
      <c r="E29" s="20">
        <f>_xlfn.XLOOKUP(tbl_FACTS[[#This Row],[OrderID]],Πίνακας64[OrderID],Πίνακας64[OrderDate])</f>
        <v>35262</v>
      </c>
      <c r="F29">
        <f>_xlfn.XLOOKUP(tbl_FACTS[[#This Row],[OrderID]],Πίνακας64[OrderID],Πίνακας64[CustomerID])</f>
        <v>35</v>
      </c>
      <c r="G29" t="str">
        <f>_xlfn.XLOOKUP(tbl_FACTS[[#This Row],[CustomerID]],Πίνακας1[CustomerID],Πίνακας1[CustomerName])</f>
        <v>HILARION-Abastos</v>
      </c>
      <c r="H29" t="str">
        <f>_xlfn.XLOOKUP(tbl_FACTS[[#This Row],[CustomerID]],Πίνακας1[CustomerID],Πίνακας1[Country])</f>
        <v>Venezuela</v>
      </c>
      <c r="I29">
        <f>_xlfn.XLOOKUP(tbl_FACTS[[#This Row],[OrderID]],Πίνακας64[OrderID],Πίνακας64[EmployeeID])</f>
        <v>4</v>
      </c>
      <c r="J29">
        <f>_xlfn.XLOOKUP(tbl_FACTS[[#This Row],[OrderID]],Πίνακας64[OrderID],Πίνακας64[ShipperID])</f>
        <v>3</v>
      </c>
      <c r="K29" t="str">
        <f>_xlfn.XLOOKUP(tbl_FACTS[[#This Row],[ShipperID]],Πίνακας8[ShipperID],Πίνακας8[ShipperName])</f>
        <v>Federal Shipping</v>
      </c>
      <c r="L29" t="str">
        <f>_xlfn.XLOOKUP(tbl_FACTS[[#This Row],[ProductID]],Πίνακας7[ProductID],Πίνακας7[ProductName])</f>
        <v>Chartreuse verte</v>
      </c>
      <c r="M29">
        <f>_xlfn.XLOOKUP(tbl_FACTS[[#This Row],[ProductID]],Πίνακας7[ProductID],Πίνακας7[CategoryID])</f>
        <v>1</v>
      </c>
      <c r="N29" t="str">
        <f>_xlfn.XLOOKUP(tbl_FACTS[[#This Row],[CategoryID]],Πίνακας4[CategoryID],Πίνακας4[CategoryName])</f>
        <v>Beverages</v>
      </c>
      <c r="O29">
        <f>_xlfn.XLOOKUP(tbl_FACTS[[#This Row],[ProductID]],Πίνακας7[ProductID],Πίνακας7[SupplierID])</f>
        <v>18</v>
      </c>
      <c r="P29" t="str">
        <f>_xlfn.XLOOKUP(tbl_FACTS[[#This Row],[SupplierID]],Πίνακας9[SupplierID],Πίνακας9[SupplierName])</f>
        <v>Aux joyeux ecclesiastiques</v>
      </c>
      <c r="Q29" s="21">
        <f>_xlfn.XLOOKUP(tbl_FACTS[[#This Row],[ProductID]],Πίνακας7[ProductID],Πίνακας7[Price])</f>
        <v>18</v>
      </c>
      <c r="R29" s="21">
        <f>tbl_FACTS[[#This Row],[Quantity]]*tbl_FACTS[[#This Row],[Price]]</f>
        <v>108</v>
      </c>
      <c r="S29" s="19">
        <f>IF(COUNTIFS(tbl_FACTS[OrderID],tbl_FACTS[[#This Row],[OrderID]],tbl_FACTS[OrderDetailID],"&lt;"&amp;tbl_FACTS[[#This Row],[OrderDetailID]])=0,1,0)</f>
        <v>0</v>
      </c>
      <c r="T29" s="19">
        <f>YEAR(tbl_FACTS[[#This Row],[OrderDate]])</f>
        <v>1996</v>
      </c>
      <c r="U29" s="22">
        <f>DATE(YEAR(tbl_FACTS[[#This Row],[OrderDate]]),MONTH(tbl_FACTS[[#This Row],[OrderDate]]),1)</f>
        <v>35247</v>
      </c>
      <c r="V29" s="22" t="str">
        <f>IF(tbl_FACTS[[#This Row],[Quantity]]&lt;=10,"0–10",IF(tbl_FACTS[[#This Row],[Quantity]]&lt;=20,"11–20",IF(tbl_FACTS[[#This Row],[Quantity]]&lt;=30,"21–30",IF(tbl_FACTS[[#This Row],[Quantity]]&lt;=40,"31–40",IF(tbl_FACTS[[#This Row],[Quantity]]&lt;=50,"41–50","51+")))))</f>
        <v>0–10</v>
      </c>
    </row>
    <row r="30" spans="1:22">
      <c r="A30">
        <v>29</v>
      </c>
      <c r="B30">
        <v>10257</v>
      </c>
      <c r="C30">
        <v>77</v>
      </c>
      <c r="D30" s="19">
        <v>15</v>
      </c>
      <c r="E30" s="20">
        <f>_xlfn.XLOOKUP(tbl_FACTS[[#This Row],[OrderID]],Πίνακας64[OrderID],Πίνακας64[OrderDate])</f>
        <v>35262</v>
      </c>
      <c r="F30">
        <f>_xlfn.XLOOKUP(tbl_FACTS[[#This Row],[OrderID]],Πίνακας64[OrderID],Πίνακας64[CustomerID])</f>
        <v>35</v>
      </c>
      <c r="G30" t="str">
        <f>_xlfn.XLOOKUP(tbl_FACTS[[#This Row],[CustomerID]],Πίνακας1[CustomerID],Πίνακας1[CustomerName])</f>
        <v>HILARION-Abastos</v>
      </c>
      <c r="H30" t="str">
        <f>_xlfn.XLOOKUP(tbl_FACTS[[#This Row],[CustomerID]],Πίνακας1[CustomerID],Πίνακας1[Country])</f>
        <v>Venezuela</v>
      </c>
      <c r="I30">
        <f>_xlfn.XLOOKUP(tbl_FACTS[[#This Row],[OrderID]],Πίνακας64[OrderID],Πίνακας64[EmployeeID])</f>
        <v>4</v>
      </c>
      <c r="J30">
        <f>_xlfn.XLOOKUP(tbl_FACTS[[#This Row],[OrderID]],Πίνακας64[OrderID],Πίνακας64[ShipperID])</f>
        <v>3</v>
      </c>
      <c r="K30" t="str">
        <f>_xlfn.XLOOKUP(tbl_FACTS[[#This Row],[ShipperID]],Πίνακας8[ShipperID],Πίνακας8[ShipperName])</f>
        <v>Federal Shipping</v>
      </c>
      <c r="L30" t="str">
        <f>_xlfn.XLOOKUP(tbl_FACTS[[#This Row],[ProductID]],Πίνακας7[ProductID],Πίνακας7[ProductName])</f>
        <v>Original Frankfurter grune So├ƒe</v>
      </c>
      <c r="M30">
        <f>_xlfn.XLOOKUP(tbl_FACTS[[#This Row],[ProductID]],Πίνακας7[ProductID],Πίνακας7[CategoryID])</f>
        <v>2</v>
      </c>
      <c r="N30" t="str">
        <f>_xlfn.XLOOKUP(tbl_FACTS[[#This Row],[CategoryID]],Πίνακας4[CategoryID],Πίνακας4[CategoryName])</f>
        <v>Condiments</v>
      </c>
      <c r="O30">
        <f>_xlfn.XLOOKUP(tbl_FACTS[[#This Row],[ProductID]],Πίνακας7[ProductID],Πίνακας7[SupplierID])</f>
        <v>12</v>
      </c>
      <c r="P30" t="str">
        <f>_xlfn.XLOOKUP(tbl_FACTS[[#This Row],[SupplierID]],Πίνακας9[SupplierID],Πίνακας9[SupplierName])</f>
        <v>Plutzer Lebensmittelgro├ƒmarkte AG</v>
      </c>
      <c r="Q30" s="21">
        <f>_xlfn.XLOOKUP(tbl_FACTS[[#This Row],[ProductID]],Πίνακας7[ProductID],Πίνακας7[Price])</f>
        <v>13</v>
      </c>
      <c r="R30" s="21">
        <f>tbl_FACTS[[#This Row],[Quantity]]*tbl_FACTS[[#This Row],[Price]]</f>
        <v>195</v>
      </c>
      <c r="S30" s="19">
        <f>IF(COUNTIFS(tbl_FACTS[OrderID],tbl_FACTS[[#This Row],[OrderID]],tbl_FACTS[OrderDetailID],"&lt;"&amp;tbl_FACTS[[#This Row],[OrderDetailID]])=0,1,0)</f>
        <v>0</v>
      </c>
      <c r="T30" s="19">
        <f>YEAR(tbl_FACTS[[#This Row],[OrderDate]])</f>
        <v>1996</v>
      </c>
      <c r="U30" s="22">
        <f>DATE(YEAR(tbl_FACTS[[#This Row],[OrderDate]]),MONTH(tbl_FACTS[[#This Row],[OrderDate]]),1)</f>
        <v>35247</v>
      </c>
      <c r="V30" s="22" t="str">
        <f>IF(tbl_FACTS[[#This Row],[Quantity]]&lt;=10,"0–10",IF(tbl_FACTS[[#This Row],[Quantity]]&lt;=20,"11–20",IF(tbl_FACTS[[#This Row],[Quantity]]&lt;=30,"21–30",IF(tbl_FACTS[[#This Row],[Quantity]]&lt;=40,"31–40",IF(tbl_FACTS[[#This Row],[Quantity]]&lt;=50,"41–50","51+")))))</f>
        <v>11–20</v>
      </c>
    </row>
    <row r="31" spans="1:22">
      <c r="A31">
        <v>30</v>
      </c>
      <c r="B31">
        <v>10258</v>
      </c>
      <c r="C31">
        <v>2</v>
      </c>
      <c r="D31" s="19">
        <v>50</v>
      </c>
      <c r="E31" s="20">
        <f>_xlfn.XLOOKUP(tbl_FACTS[[#This Row],[OrderID]],Πίνακας64[OrderID],Πίνακας64[OrderDate])</f>
        <v>35263</v>
      </c>
      <c r="F31">
        <f>_xlfn.XLOOKUP(tbl_FACTS[[#This Row],[OrderID]],Πίνακας64[OrderID],Πίνακας64[CustomerID])</f>
        <v>20</v>
      </c>
      <c r="G31" t="str">
        <f>_xlfn.XLOOKUP(tbl_FACTS[[#This Row],[CustomerID]],Πίνακας1[CustomerID],Πίνακας1[CustomerName])</f>
        <v>Ernst Handel</v>
      </c>
      <c r="H31" t="str">
        <f>_xlfn.XLOOKUP(tbl_FACTS[[#This Row],[CustomerID]],Πίνακας1[CustomerID],Πίνακας1[Country])</f>
        <v>Austria</v>
      </c>
      <c r="I31">
        <f>_xlfn.XLOOKUP(tbl_FACTS[[#This Row],[OrderID]],Πίνακας64[OrderID],Πίνακας64[EmployeeID])</f>
        <v>1</v>
      </c>
      <c r="J31">
        <f>_xlfn.XLOOKUP(tbl_FACTS[[#This Row],[OrderID]],Πίνακας64[OrderID],Πίνακας64[ShipperID])</f>
        <v>1</v>
      </c>
      <c r="K31" t="str">
        <f>_xlfn.XLOOKUP(tbl_FACTS[[#This Row],[ShipperID]],Πίνακας8[ShipperID],Πίνακας8[ShipperName])</f>
        <v>Speedy Express</v>
      </c>
      <c r="L31" t="str">
        <f>_xlfn.XLOOKUP(tbl_FACTS[[#This Row],[ProductID]],Πίνακας7[ProductID],Πίνακας7[ProductName])</f>
        <v>Chang</v>
      </c>
      <c r="M31">
        <f>_xlfn.XLOOKUP(tbl_FACTS[[#This Row],[ProductID]],Πίνακας7[ProductID],Πίνακας7[CategoryID])</f>
        <v>1</v>
      </c>
      <c r="N31" t="str">
        <f>_xlfn.XLOOKUP(tbl_FACTS[[#This Row],[CategoryID]],Πίνακας4[CategoryID],Πίνακας4[CategoryName])</f>
        <v>Beverages</v>
      </c>
      <c r="O31">
        <f>_xlfn.XLOOKUP(tbl_FACTS[[#This Row],[ProductID]],Πίνακας7[ProductID],Πίνακας7[SupplierID])</f>
        <v>1</v>
      </c>
      <c r="P31" t="str">
        <f>_xlfn.XLOOKUP(tbl_FACTS[[#This Row],[SupplierID]],Πίνακας9[SupplierID],Πίνακας9[SupplierName])</f>
        <v>Exotic Liquid</v>
      </c>
      <c r="Q31" s="21">
        <f>_xlfn.XLOOKUP(tbl_FACTS[[#This Row],[ProductID]],Πίνακας7[ProductID],Πίνακας7[Price])</f>
        <v>19</v>
      </c>
      <c r="R31" s="21">
        <f>tbl_FACTS[[#This Row],[Quantity]]*tbl_FACTS[[#This Row],[Price]]</f>
        <v>950</v>
      </c>
      <c r="S31" s="19">
        <f>IF(COUNTIFS(tbl_FACTS[OrderID],tbl_FACTS[[#This Row],[OrderID]],tbl_FACTS[OrderDetailID],"&lt;"&amp;tbl_FACTS[[#This Row],[OrderDetailID]])=0,1,0)</f>
        <v>1</v>
      </c>
      <c r="T31" s="19">
        <f>YEAR(tbl_FACTS[[#This Row],[OrderDate]])</f>
        <v>1996</v>
      </c>
      <c r="U31" s="22">
        <f>DATE(YEAR(tbl_FACTS[[#This Row],[OrderDate]]),MONTH(tbl_FACTS[[#This Row],[OrderDate]]),1)</f>
        <v>35247</v>
      </c>
      <c r="V31" s="22" t="str">
        <f>IF(tbl_FACTS[[#This Row],[Quantity]]&lt;=10,"0–10",IF(tbl_FACTS[[#This Row],[Quantity]]&lt;=20,"11–20",IF(tbl_FACTS[[#This Row],[Quantity]]&lt;=30,"21–30",IF(tbl_FACTS[[#This Row],[Quantity]]&lt;=40,"31–40",IF(tbl_FACTS[[#This Row],[Quantity]]&lt;=50,"41–50","51+")))))</f>
        <v>41–50</v>
      </c>
    </row>
    <row r="32" spans="1:22">
      <c r="A32">
        <v>31</v>
      </c>
      <c r="B32">
        <v>10258</v>
      </c>
      <c r="C32">
        <v>5</v>
      </c>
      <c r="D32" s="19">
        <v>65</v>
      </c>
      <c r="E32" s="20">
        <f>_xlfn.XLOOKUP(tbl_FACTS[[#This Row],[OrderID]],Πίνακας64[OrderID],Πίνακας64[OrderDate])</f>
        <v>35263</v>
      </c>
      <c r="F32">
        <f>_xlfn.XLOOKUP(tbl_FACTS[[#This Row],[OrderID]],Πίνακας64[OrderID],Πίνακας64[CustomerID])</f>
        <v>20</v>
      </c>
      <c r="G32" t="str">
        <f>_xlfn.XLOOKUP(tbl_FACTS[[#This Row],[CustomerID]],Πίνακας1[CustomerID],Πίνακας1[CustomerName])</f>
        <v>Ernst Handel</v>
      </c>
      <c r="H32" t="str">
        <f>_xlfn.XLOOKUP(tbl_FACTS[[#This Row],[CustomerID]],Πίνακας1[CustomerID],Πίνακας1[Country])</f>
        <v>Austria</v>
      </c>
      <c r="I32">
        <f>_xlfn.XLOOKUP(tbl_FACTS[[#This Row],[OrderID]],Πίνακας64[OrderID],Πίνακας64[EmployeeID])</f>
        <v>1</v>
      </c>
      <c r="J32">
        <f>_xlfn.XLOOKUP(tbl_FACTS[[#This Row],[OrderID]],Πίνακας64[OrderID],Πίνακας64[ShipperID])</f>
        <v>1</v>
      </c>
      <c r="K32" t="str">
        <f>_xlfn.XLOOKUP(tbl_FACTS[[#This Row],[ShipperID]],Πίνακας8[ShipperID],Πίνακας8[ShipperName])</f>
        <v>Speedy Express</v>
      </c>
      <c r="L32" t="str">
        <f>_xlfn.XLOOKUP(tbl_FACTS[[#This Row],[ProductID]],Πίνακας7[ProductID],Πίνακας7[ProductName])</f>
        <v>Chef Anton's Gumbo Mix</v>
      </c>
      <c r="M32">
        <f>_xlfn.XLOOKUP(tbl_FACTS[[#This Row],[ProductID]],Πίνακας7[ProductID],Πίνακας7[CategoryID])</f>
        <v>2</v>
      </c>
      <c r="N32" t="str">
        <f>_xlfn.XLOOKUP(tbl_FACTS[[#This Row],[CategoryID]],Πίνακας4[CategoryID],Πίνακας4[CategoryName])</f>
        <v>Condiments</v>
      </c>
      <c r="O32">
        <f>_xlfn.XLOOKUP(tbl_FACTS[[#This Row],[ProductID]],Πίνακας7[ProductID],Πίνακας7[SupplierID])</f>
        <v>2</v>
      </c>
      <c r="P32" t="str">
        <f>_xlfn.XLOOKUP(tbl_FACTS[[#This Row],[SupplierID]],Πίνακας9[SupplierID],Πίνακας9[SupplierName])</f>
        <v>New Orleans Cajun Delights</v>
      </c>
      <c r="Q32" s="21">
        <f>_xlfn.XLOOKUP(tbl_FACTS[[#This Row],[ProductID]],Πίνακας7[ProductID],Πίνακας7[Price])</f>
        <v>21</v>
      </c>
      <c r="R32" s="21">
        <f>tbl_FACTS[[#This Row],[Quantity]]*tbl_FACTS[[#This Row],[Price]]</f>
        <v>1365</v>
      </c>
      <c r="S32" s="19">
        <f>IF(COUNTIFS(tbl_FACTS[OrderID],tbl_FACTS[[#This Row],[OrderID]],tbl_FACTS[OrderDetailID],"&lt;"&amp;tbl_FACTS[[#This Row],[OrderDetailID]])=0,1,0)</f>
        <v>0</v>
      </c>
      <c r="T32" s="19">
        <f>YEAR(tbl_FACTS[[#This Row],[OrderDate]])</f>
        <v>1996</v>
      </c>
      <c r="U32" s="22">
        <f>DATE(YEAR(tbl_FACTS[[#This Row],[OrderDate]]),MONTH(tbl_FACTS[[#This Row],[OrderDate]]),1)</f>
        <v>35247</v>
      </c>
      <c r="V32" s="22" t="str">
        <f>IF(tbl_FACTS[[#This Row],[Quantity]]&lt;=10,"0–10",IF(tbl_FACTS[[#This Row],[Quantity]]&lt;=20,"11–20",IF(tbl_FACTS[[#This Row],[Quantity]]&lt;=30,"21–30",IF(tbl_FACTS[[#This Row],[Quantity]]&lt;=40,"31–40",IF(tbl_FACTS[[#This Row],[Quantity]]&lt;=50,"41–50","51+")))))</f>
        <v>51+</v>
      </c>
    </row>
    <row r="33" spans="1:22">
      <c r="A33">
        <v>32</v>
      </c>
      <c r="B33">
        <v>10258</v>
      </c>
      <c r="C33">
        <v>32</v>
      </c>
      <c r="D33" s="19">
        <v>6</v>
      </c>
      <c r="E33" s="20">
        <f>_xlfn.XLOOKUP(tbl_FACTS[[#This Row],[OrderID]],Πίνακας64[OrderID],Πίνακας64[OrderDate])</f>
        <v>35263</v>
      </c>
      <c r="F33">
        <f>_xlfn.XLOOKUP(tbl_FACTS[[#This Row],[OrderID]],Πίνακας64[OrderID],Πίνακας64[CustomerID])</f>
        <v>20</v>
      </c>
      <c r="G33" t="str">
        <f>_xlfn.XLOOKUP(tbl_FACTS[[#This Row],[CustomerID]],Πίνακας1[CustomerID],Πίνακας1[CustomerName])</f>
        <v>Ernst Handel</v>
      </c>
      <c r="H33" t="str">
        <f>_xlfn.XLOOKUP(tbl_FACTS[[#This Row],[CustomerID]],Πίνακας1[CustomerID],Πίνακας1[Country])</f>
        <v>Austria</v>
      </c>
      <c r="I33">
        <f>_xlfn.XLOOKUP(tbl_FACTS[[#This Row],[OrderID]],Πίνακας64[OrderID],Πίνακας64[EmployeeID])</f>
        <v>1</v>
      </c>
      <c r="J33">
        <f>_xlfn.XLOOKUP(tbl_FACTS[[#This Row],[OrderID]],Πίνακας64[OrderID],Πίνακας64[ShipperID])</f>
        <v>1</v>
      </c>
      <c r="K33" t="str">
        <f>_xlfn.XLOOKUP(tbl_FACTS[[#This Row],[ShipperID]],Πίνακας8[ShipperID],Πίνακας8[ShipperName])</f>
        <v>Speedy Express</v>
      </c>
      <c r="L33" t="str">
        <f>_xlfn.XLOOKUP(tbl_FACTS[[#This Row],[ProductID]],Πίνακας7[ProductID],Πίνακας7[ProductName])</f>
        <v>Mascarpone Fabioli</v>
      </c>
      <c r="M33">
        <f>_xlfn.XLOOKUP(tbl_FACTS[[#This Row],[ProductID]],Πίνακας7[ProductID],Πίνακας7[CategoryID])</f>
        <v>4</v>
      </c>
      <c r="N33" t="str">
        <f>_xlfn.XLOOKUP(tbl_FACTS[[#This Row],[CategoryID]],Πίνακας4[CategoryID],Πίνακας4[CategoryName])</f>
        <v>Dairy Products</v>
      </c>
      <c r="O33">
        <f>_xlfn.XLOOKUP(tbl_FACTS[[#This Row],[ProductID]],Πίνακας7[ProductID],Πίνακας7[SupplierID])</f>
        <v>14</v>
      </c>
      <c r="P33" t="str">
        <f>_xlfn.XLOOKUP(tbl_FACTS[[#This Row],[SupplierID]],Πίνακας9[SupplierID],Πίνακας9[SupplierName])</f>
        <v>Formaggi Fortini s.r.l.</v>
      </c>
      <c r="Q33" s="21">
        <f>_xlfn.XLOOKUP(tbl_FACTS[[#This Row],[ProductID]],Πίνακας7[ProductID],Πίνακας7[Price])</f>
        <v>32</v>
      </c>
      <c r="R33" s="21">
        <f>tbl_FACTS[[#This Row],[Quantity]]*tbl_FACTS[[#This Row],[Price]]</f>
        <v>192</v>
      </c>
      <c r="S33" s="19">
        <f>IF(COUNTIFS(tbl_FACTS[OrderID],tbl_FACTS[[#This Row],[OrderID]],tbl_FACTS[OrderDetailID],"&lt;"&amp;tbl_FACTS[[#This Row],[OrderDetailID]])=0,1,0)</f>
        <v>0</v>
      </c>
      <c r="T33" s="19">
        <f>YEAR(tbl_FACTS[[#This Row],[OrderDate]])</f>
        <v>1996</v>
      </c>
      <c r="U33" s="22">
        <f>DATE(YEAR(tbl_FACTS[[#This Row],[OrderDate]]),MONTH(tbl_FACTS[[#This Row],[OrderDate]]),1)</f>
        <v>35247</v>
      </c>
      <c r="V33" s="22" t="str">
        <f>IF(tbl_FACTS[[#This Row],[Quantity]]&lt;=10,"0–10",IF(tbl_FACTS[[#This Row],[Quantity]]&lt;=20,"11–20",IF(tbl_FACTS[[#This Row],[Quantity]]&lt;=30,"21–30",IF(tbl_FACTS[[#This Row],[Quantity]]&lt;=40,"31–40",IF(tbl_FACTS[[#This Row],[Quantity]]&lt;=50,"41–50","51+")))))</f>
        <v>0–10</v>
      </c>
    </row>
    <row r="34" spans="1:22">
      <c r="A34">
        <v>33</v>
      </c>
      <c r="B34">
        <v>10259</v>
      </c>
      <c r="C34">
        <v>21</v>
      </c>
      <c r="D34" s="19">
        <v>10</v>
      </c>
      <c r="E34" s="20">
        <f>_xlfn.XLOOKUP(tbl_FACTS[[#This Row],[OrderID]],Πίνακας64[OrderID],Πίνακας64[OrderDate])</f>
        <v>35264</v>
      </c>
      <c r="F34">
        <f>_xlfn.XLOOKUP(tbl_FACTS[[#This Row],[OrderID]],Πίνακας64[OrderID],Πίνακας64[CustomerID])</f>
        <v>13</v>
      </c>
      <c r="G34" t="str">
        <f>_xlfn.XLOOKUP(tbl_FACTS[[#This Row],[CustomerID]],Πίνακας1[CustomerID],Πίνακας1[CustomerName])</f>
        <v>Centro comercial Moctezuma</v>
      </c>
      <c r="H34" t="str">
        <f>_xlfn.XLOOKUP(tbl_FACTS[[#This Row],[CustomerID]],Πίνακας1[CustomerID],Πίνακας1[Country])</f>
        <v>Mexico</v>
      </c>
      <c r="I34">
        <f>_xlfn.XLOOKUP(tbl_FACTS[[#This Row],[OrderID]],Πίνακας64[OrderID],Πίνακας64[EmployeeID])</f>
        <v>4</v>
      </c>
      <c r="J34">
        <f>_xlfn.XLOOKUP(tbl_FACTS[[#This Row],[OrderID]],Πίνακας64[OrderID],Πίνακας64[ShipperID])</f>
        <v>3</v>
      </c>
      <c r="K34" t="str">
        <f>_xlfn.XLOOKUP(tbl_FACTS[[#This Row],[ShipperID]],Πίνακας8[ShipperID],Πίνακας8[ShipperName])</f>
        <v>Federal Shipping</v>
      </c>
      <c r="L34" t="str">
        <f>_xlfn.XLOOKUP(tbl_FACTS[[#This Row],[ProductID]],Πίνακας7[ProductID],Πίνακας7[ProductName])</f>
        <v>Sir Rodney's Scones</v>
      </c>
      <c r="M34">
        <f>_xlfn.XLOOKUP(tbl_FACTS[[#This Row],[ProductID]],Πίνακας7[ProductID],Πίνακας7[CategoryID])</f>
        <v>3</v>
      </c>
      <c r="N34" t="str">
        <f>_xlfn.XLOOKUP(tbl_FACTS[[#This Row],[CategoryID]],Πίνακας4[CategoryID],Πίνακας4[CategoryName])</f>
        <v>Confections</v>
      </c>
      <c r="O34">
        <f>_xlfn.XLOOKUP(tbl_FACTS[[#This Row],[ProductID]],Πίνακας7[ProductID],Πίνακας7[SupplierID])</f>
        <v>8</v>
      </c>
      <c r="P34" t="str">
        <f>_xlfn.XLOOKUP(tbl_FACTS[[#This Row],[SupplierID]],Πίνακας9[SupplierID],Πίνακας9[SupplierName])</f>
        <v>Specialty Biscuits, Ltd.</v>
      </c>
      <c r="Q34" s="21">
        <f>_xlfn.XLOOKUP(tbl_FACTS[[#This Row],[ProductID]],Πίνακας7[ProductID],Πίνακας7[Price])</f>
        <v>10</v>
      </c>
      <c r="R34" s="21">
        <f>tbl_FACTS[[#This Row],[Quantity]]*tbl_FACTS[[#This Row],[Price]]</f>
        <v>100</v>
      </c>
      <c r="S34" s="19">
        <f>IF(COUNTIFS(tbl_FACTS[OrderID],tbl_FACTS[[#This Row],[OrderID]],tbl_FACTS[OrderDetailID],"&lt;"&amp;tbl_FACTS[[#This Row],[OrderDetailID]])=0,1,0)</f>
        <v>1</v>
      </c>
      <c r="T34" s="19">
        <f>YEAR(tbl_FACTS[[#This Row],[OrderDate]])</f>
        <v>1996</v>
      </c>
      <c r="U34" s="22">
        <f>DATE(YEAR(tbl_FACTS[[#This Row],[OrderDate]]),MONTH(tbl_FACTS[[#This Row],[OrderDate]]),1)</f>
        <v>35247</v>
      </c>
      <c r="V34" s="22" t="str">
        <f>IF(tbl_FACTS[[#This Row],[Quantity]]&lt;=10,"0–10",IF(tbl_FACTS[[#This Row],[Quantity]]&lt;=20,"11–20",IF(tbl_FACTS[[#This Row],[Quantity]]&lt;=30,"21–30",IF(tbl_FACTS[[#This Row],[Quantity]]&lt;=40,"31–40",IF(tbl_FACTS[[#This Row],[Quantity]]&lt;=50,"41–50","51+")))))</f>
        <v>0–10</v>
      </c>
    </row>
    <row r="35" spans="1:22">
      <c r="A35">
        <v>34</v>
      </c>
      <c r="B35">
        <v>10259</v>
      </c>
      <c r="C35">
        <v>37</v>
      </c>
      <c r="D35" s="19">
        <v>1</v>
      </c>
      <c r="E35" s="20">
        <f>_xlfn.XLOOKUP(tbl_FACTS[[#This Row],[OrderID]],Πίνακας64[OrderID],Πίνακας64[OrderDate])</f>
        <v>35264</v>
      </c>
      <c r="F35">
        <f>_xlfn.XLOOKUP(tbl_FACTS[[#This Row],[OrderID]],Πίνακας64[OrderID],Πίνακας64[CustomerID])</f>
        <v>13</v>
      </c>
      <c r="G35" t="str">
        <f>_xlfn.XLOOKUP(tbl_FACTS[[#This Row],[CustomerID]],Πίνακας1[CustomerID],Πίνακας1[CustomerName])</f>
        <v>Centro comercial Moctezuma</v>
      </c>
      <c r="H35" t="str">
        <f>_xlfn.XLOOKUP(tbl_FACTS[[#This Row],[CustomerID]],Πίνακας1[CustomerID],Πίνακας1[Country])</f>
        <v>Mexico</v>
      </c>
      <c r="I35">
        <f>_xlfn.XLOOKUP(tbl_FACTS[[#This Row],[OrderID]],Πίνακας64[OrderID],Πίνακας64[EmployeeID])</f>
        <v>4</v>
      </c>
      <c r="J35">
        <f>_xlfn.XLOOKUP(tbl_FACTS[[#This Row],[OrderID]],Πίνακας64[OrderID],Πίνακας64[ShipperID])</f>
        <v>3</v>
      </c>
      <c r="K35" t="str">
        <f>_xlfn.XLOOKUP(tbl_FACTS[[#This Row],[ShipperID]],Πίνακας8[ShipperID],Πίνακας8[ShipperName])</f>
        <v>Federal Shipping</v>
      </c>
      <c r="L35" t="str">
        <f>_xlfn.XLOOKUP(tbl_FACTS[[#This Row],[ProductID]],Πίνακας7[ProductID],Πίνακας7[ProductName])</f>
        <v>Gravad lax</v>
      </c>
      <c r="M35">
        <f>_xlfn.XLOOKUP(tbl_FACTS[[#This Row],[ProductID]],Πίνακας7[ProductID],Πίνακας7[CategoryID])</f>
        <v>8</v>
      </c>
      <c r="N35" t="str">
        <f>_xlfn.XLOOKUP(tbl_FACTS[[#This Row],[CategoryID]],Πίνακας4[CategoryID],Πίνακας4[CategoryName])</f>
        <v>Seafood</v>
      </c>
      <c r="O35">
        <f>_xlfn.XLOOKUP(tbl_FACTS[[#This Row],[ProductID]],Πίνακας7[ProductID],Πίνακας7[SupplierID])</f>
        <v>17</v>
      </c>
      <c r="P35" t="str">
        <f>_xlfn.XLOOKUP(tbl_FACTS[[#This Row],[SupplierID]],Πίνακας9[SupplierID],Πίνακας9[SupplierName])</f>
        <v>Svensk Sjofoda AB</v>
      </c>
      <c r="Q35" s="21">
        <f>_xlfn.XLOOKUP(tbl_FACTS[[#This Row],[ProductID]],Πίνακας7[ProductID],Πίνακας7[Price])</f>
        <v>26</v>
      </c>
      <c r="R35" s="21">
        <f>tbl_FACTS[[#This Row],[Quantity]]*tbl_FACTS[[#This Row],[Price]]</f>
        <v>26</v>
      </c>
      <c r="S35" s="19">
        <f>IF(COUNTIFS(tbl_FACTS[OrderID],tbl_FACTS[[#This Row],[OrderID]],tbl_FACTS[OrderDetailID],"&lt;"&amp;tbl_FACTS[[#This Row],[OrderDetailID]])=0,1,0)</f>
        <v>0</v>
      </c>
      <c r="T35" s="19">
        <f>YEAR(tbl_FACTS[[#This Row],[OrderDate]])</f>
        <v>1996</v>
      </c>
      <c r="U35" s="22">
        <f>DATE(YEAR(tbl_FACTS[[#This Row],[OrderDate]]),MONTH(tbl_FACTS[[#This Row],[OrderDate]]),1)</f>
        <v>35247</v>
      </c>
      <c r="V35" s="22" t="str">
        <f>IF(tbl_FACTS[[#This Row],[Quantity]]&lt;=10,"0–10",IF(tbl_FACTS[[#This Row],[Quantity]]&lt;=20,"11–20",IF(tbl_FACTS[[#This Row],[Quantity]]&lt;=30,"21–30",IF(tbl_FACTS[[#This Row],[Quantity]]&lt;=40,"31–40",IF(tbl_FACTS[[#This Row],[Quantity]]&lt;=50,"41–50","51+")))))</f>
        <v>0–10</v>
      </c>
    </row>
    <row r="36" spans="1:22">
      <c r="A36">
        <v>35</v>
      </c>
      <c r="B36">
        <v>10260</v>
      </c>
      <c r="C36">
        <v>41</v>
      </c>
      <c r="D36" s="19">
        <v>16</v>
      </c>
      <c r="E36" s="20">
        <f>_xlfn.XLOOKUP(tbl_FACTS[[#This Row],[OrderID]],Πίνακας64[OrderID],Πίνακας64[OrderDate])</f>
        <v>35265</v>
      </c>
      <c r="F36">
        <f>_xlfn.XLOOKUP(tbl_FACTS[[#This Row],[OrderID]],Πίνακας64[OrderID],Πίνακας64[CustomerID])</f>
        <v>55</v>
      </c>
      <c r="G36" t="str">
        <f>_xlfn.XLOOKUP(tbl_FACTS[[#This Row],[CustomerID]],Πίνακας1[CustomerID],Πίνακας1[CustomerName])</f>
        <v>Old World Delicatessen</v>
      </c>
      <c r="H36" t="str">
        <f>_xlfn.XLOOKUP(tbl_FACTS[[#This Row],[CustomerID]],Πίνακας1[CustomerID],Πίνακας1[Country])</f>
        <v>USA</v>
      </c>
      <c r="I36">
        <f>_xlfn.XLOOKUP(tbl_FACTS[[#This Row],[OrderID]],Πίνακας64[OrderID],Πίνακας64[EmployeeID])</f>
        <v>4</v>
      </c>
      <c r="J36">
        <f>_xlfn.XLOOKUP(tbl_FACTS[[#This Row],[OrderID]],Πίνακας64[OrderID],Πίνακας64[ShipperID])</f>
        <v>1</v>
      </c>
      <c r="K36" t="str">
        <f>_xlfn.XLOOKUP(tbl_FACTS[[#This Row],[ShipperID]],Πίνακας8[ShipperID],Πίνακας8[ShipperName])</f>
        <v>Speedy Express</v>
      </c>
      <c r="L36" t="str">
        <f>_xlfn.XLOOKUP(tbl_FACTS[[#This Row],[ProductID]],Πίνακας7[ProductID],Πίνακας7[ProductName])</f>
        <v>Jack's New England Clam Chowder</v>
      </c>
      <c r="M36">
        <f>_xlfn.XLOOKUP(tbl_FACTS[[#This Row],[ProductID]],Πίνακας7[ProductID],Πίνακας7[CategoryID])</f>
        <v>8</v>
      </c>
      <c r="N36" t="str">
        <f>_xlfn.XLOOKUP(tbl_FACTS[[#This Row],[CategoryID]],Πίνακας4[CategoryID],Πίνακας4[CategoryName])</f>
        <v>Seafood</v>
      </c>
      <c r="O36">
        <f>_xlfn.XLOOKUP(tbl_FACTS[[#This Row],[ProductID]],Πίνακας7[ProductID],Πίνακας7[SupplierID])</f>
        <v>19</v>
      </c>
      <c r="P36" t="str">
        <f>_xlfn.XLOOKUP(tbl_FACTS[[#This Row],[SupplierID]],Πίνακας9[SupplierID],Πίνακας9[SupplierName])</f>
        <v>New England Seafood Cannery</v>
      </c>
      <c r="Q36" s="21">
        <f>_xlfn.XLOOKUP(tbl_FACTS[[#This Row],[ProductID]],Πίνακας7[ProductID],Πίνακας7[Price])</f>
        <v>10</v>
      </c>
      <c r="R36" s="21">
        <f>tbl_FACTS[[#This Row],[Quantity]]*tbl_FACTS[[#This Row],[Price]]</f>
        <v>160</v>
      </c>
      <c r="S36" s="19">
        <f>IF(COUNTIFS(tbl_FACTS[OrderID],tbl_FACTS[[#This Row],[OrderID]],tbl_FACTS[OrderDetailID],"&lt;"&amp;tbl_FACTS[[#This Row],[OrderDetailID]])=0,1,0)</f>
        <v>1</v>
      </c>
      <c r="T36" s="19">
        <f>YEAR(tbl_FACTS[[#This Row],[OrderDate]])</f>
        <v>1996</v>
      </c>
      <c r="U36" s="22">
        <f>DATE(YEAR(tbl_FACTS[[#This Row],[OrderDate]]),MONTH(tbl_FACTS[[#This Row],[OrderDate]]),1)</f>
        <v>35247</v>
      </c>
      <c r="V36" s="22" t="str">
        <f>IF(tbl_FACTS[[#This Row],[Quantity]]&lt;=10,"0–10",IF(tbl_FACTS[[#This Row],[Quantity]]&lt;=20,"11–20",IF(tbl_FACTS[[#This Row],[Quantity]]&lt;=30,"21–30",IF(tbl_FACTS[[#This Row],[Quantity]]&lt;=40,"31–40",IF(tbl_FACTS[[#This Row],[Quantity]]&lt;=50,"41–50","51+")))))</f>
        <v>11–20</v>
      </c>
    </row>
    <row r="37" spans="1:22">
      <c r="A37">
        <v>36</v>
      </c>
      <c r="B37">
        <v>10260</v>
      </c>
      <c r="C37">
        <v>57</v>
      </c>
      <c r="D37" s="19">
        <v>50</v>
      </c>
      <c r="E37" s="20">
        <f>_xlfn.XLOOKUP(tbl_FACTS[[#This Row],[OrderID]],Πίνακας64[OrderID],Πίνακας64[OrderDate])</f>
        <v>35265</v>
      </c>
      <c r="F37">
        <f>_xlfn.XLOOKUP(tbl_FACTS[[#This Row],[OrderID]],Πίνακας64[OrderID],Πίνακας64[CustomerID])</f>
        <v>55</v>
      </c>
      <c r="G37" t="str">
        <f>_xlfn.XLOOKUP(tbl_FACTS[[#This Row],[CustomerID]],Πίνακας1[CustomerID],Πίνακας1[CustomerName])</f>
        <v>Old World Delicatessen</v>
      </c>
      <c r="H37" t="str">
        <f>_xlfn.XLOOKUP(tbl_FACTS[[#This Row],[CustomerID]],Πίνακας1[CustomerID],Πίνακας1[Country])</f>
        <v>USA</v>
      </c>
      <c r="I37">
        <f>_xlfn.XLOOKUP(tbl_FACTS[[#This Row],[OrderID]],Πίνακας64[OrderID],Πίνακας64[EmployeeID])</f>
        <v>4</v>
      </c>
      <c r="J37">
        <f>_xlfn.XLOOKUP(tbl_FACTS[[#This Row],[OrderID]],Πίνακας64[OrderID],Πίνακας64[ShipperID])</f>
        <v>1</v>
      </c>
      <c r="K37" t="str">
        <f>_xlfn.XLOOKUP(tbl_FACTS[[#This Row],[ShipperID]],Πίνακας8[ShipperID],Πίνακας8[ShipperName])</f>
        <v>Speedy Express</v>
      </c>
      <c r="L37" t="str">
        <f>_xlfn.XLOOKUP(tbl_FACTS[[#This Row],[ProductID]],Πίνακας7[ProductID],Πίνακας7[ProductName])</f>
        <v>Ravioli Angelo</v>
      </c>
      <c r="M37">
        <f>_xlfn.XLOOKUP(tbl_FACTS[[#This Row],[ProductID]],Πίνακας7[ProductID],Πίνακας7[CategoryID])</f>
        <v>5</v>
      </c>
      <c r="N37" t="str">
        <f>_xlfn.XLOOKUP(tbl_FACTS[[#This Row],[CategoryID]],Πίνακας4[CategoryID],Πίνακας4[CategoryName])</f>
        <v>Grains/Cereals</v>
      </c>
      <c r="O37">
        <f>_xlfn.XLOOKUP(tbl_FACTS[[#This Row],[ProductID]],Πίνακας7[ProductID],Πίνακας7[SupplierID])</f>
        <v>26</v>
      </c>
      <c r="P37" t="str">
        <f>_xlfn.XLOOKUP(tbl_FACTS[[#This Row],[SupplierID]],Πίνακας9[SupplierID],Πίνακας9[SupplierName])</f>
        <v>Pasta Buttini s.r.l.</v>
      </c>
      <c r="Q37" s="21">
        <f>_xlfn.XLOOKUP(tbl_FACTS[[#This Row],[ProductID]],Πίνακας7[ProductID],Πίνακας7[Price])</f>
        <v>20</v>
      </c>
      <c r="R37" s="21">
        <f>tbl_FACTS[[#This Row],[Quantity]]*tbl_FACTS[[#This Row],[Price]]</f>
        <v>1000</v>
      </c>
      <c r="S37" s="19">
        <f>IF(COUNTIFS(tbl_FACTS[OrderID],tbl_FACTS[[#This Row],[OrderID]],tbl_FACTS[OrderDetailID],"&lt;"&amp;tbl_FACTS[[#This Row],[OrderDetailID]])=0,1,0)</f>
        <v>0</v>
      </c>
      <c r="T37" s="19">
        <f>YEAR(tbl_FACTS[[#This Row],[OrderDate]])</f>
        <v>1996</v>
      </c>
      <c r="U37" s="22">
        <f>DATE(YEAR(tbl_FACTS[[#This Row],[OrderDate]]),MONTH(tbl_FACTS[[#This Row],[OrderDate]]),1)</f>
        <v>35247</v>
      </c>
      <c r="V37" s="22" t="str">
        <f>IF(tbl_FACTS[[#This Row],[Quantity]]&lt;=10,"0–10",IF(tbl_FACTS[[#This Row],[Quantity]]&lt;=20,"11–20",IF(tbl_FACTS[[#This Row],[Quantity]]&lt;=30,"21–30",IF(tbl_FACTS[[#This Row],[Quantity]]&lt;=40,"31–40",IF(tbl_FACTS[[#This Row],[Quantity]]&lt;=50,"41–50","51+")))))</f>
        <v>41–50</v>
      </c>
    </row>
    <row r="38" spans="1:22">
      <c r="A38">
        <v>37</v>
      </c>
      <c r="B38">
        <v>10260</v>
      </c>
      <c r="C38">
        <v>62</v>
      </c>
      <c r="D38" s="19">
        <v>15</v>
      </c>
      <c r="E38" s="20">
        <f>_xlfn.XLOOKUP(tbl_FACTS[[#This Row],[OrderID]],Πίνακας64[OrderID],Πίνακας64[OrderDate])</f>
        <v>35265</v>
      </c>
      <c r="F38">
        <f>_xlfn.XLOOKUP(tbl_FACTS[[#This Row],[OrderID]],Πίνακας64[OrderID],Πίνακας64[CustomerID])</f>
        <v>55</v>
      </c>
      <c r="G38" t="str">
        <f>_xlfn.XLOOKUP(tbl_FACTS[[#This Row],[CustomerID]],Πίνακας1[CustomerID],Πίνακας1[CustomerName])</f>
        <v>Old World Delicatessen</v>
      </c>
      <c r="H38" t="str">
        <f>_xlfn.XLOOKUP(tbl_FACTS[[#This Row],[CustomerID]],Πίνακας1[CustomerID],Πίνακας1[Country])</f>
        <v>USA</v>
      </c>
      <c r="I38">
        <f>_xlfn.XLOOKUP(tbl_FACTS[[#This Row],[OrderID]],Πίνακας64[OrderID],Πίνακας64[EmployeeID])</f>
        <v>4</v>
      </c>
      <c r="J38">
        <f>_xlfn.XLOOKUP(tbl_FACTS[[#This Row],[OrderID]],Πίνακας64[OrderID],Πίνακας64[ShipperID])</f>
        <v>1</v>
      </c>
      <c r="K38" t="str">
        <f>_xlfn.XLOOKUP(tbl_FACTS[[#This Row],[ShipperID]],Πίνακας8[ShipperID],Πίνακας8[ShipperName])</f>
        <v>Speedy Express</v>
      </c>
      <c r="L38" t="str">
        <f>_xlfn.XLOOKUP(tbl_FACTS[[#This Row],[ProductID]],Πίνακας7[ProductID],Πίνακας7[ProductName])</f>
        <v>Tarte au sucre</v>
      </c>
      <c r="M38">
        <f>_xlfn.XLOOKUP(tbl_FACTS[[#This Row],[ProductID]],Πίνακας7[ProductID],Πίνακας7[CategoryID])</f>
        <v>3</v>
      </c>
      <c r="N38" t="str">
        <f>_xlfn.XLOOKUP(tbl_FACTS[[#This Row],[CategoryID]],Πίνακας4[CategoryID],Πίνακας4[CategoryName])</f>
        <v>Confections</v>
      </c>
      <c r="O38">
        <f>_xlfn.XLOOKUP(tbl_FACTS[[#This Row],[ProductID]],Πίνακας7[ProductID],Πίνακας7[SupplierID])</f>
        <v>29</v>
      </c>
      <c r="P38" t="str">
        <f>_xlfn.XLOOKUP(tbl_FACTS[[#This Row],[SupplierID]],Πίνακας9[SupplierID],Πίνακας9[SupplierName])</f>
        <v>Forets d'erables</v>
      </c>
      <c r="Q38" s="21">
        <f>_xlfn.XLOOKUP(tbl_FACTS[[#This Row],[ProductID]],Πίνακας7[ProductID],Πίνακας7[Price])</f>
        <v>49</v>
      </c>
      <c r="R38" s="21">
        <f>tbl_FACTS[[#This Row],[Quantity]]*tbl_FACTS[[#This Row],[Price]]</f>
        <v>735</v>
      </c>
      <c r="S38" s="19">
        <f>IF(COUNTIFS(tbl_FACTS[OrderID],tbl_FACTS[[#This Row],[OrderID]],tbl_FACTS[OrderDetailID],"&lt;"&amp;tbl_FACTS[[#This Row],[OrderDetailID]])=0,1,0)</f>
        <v>0</v>
      </c>
      <c r="T38" s="19">
        <f>YEAR(tbl_FACTS[[#This Row],[OrderDate]])</f>
        <v>1996</v>
      </c>
      <c r="U38" s="22">
        <f>DATE(YEAR(tbl_FACTS[[#This Row],[OrderDate]]),MONTH(tbl_FACTS[[#This Row],[OrderDate]]),1)</f>
        <v>35247</v>
      </c>
      <c r="V38" s="22" t="str">
        <f>IF(tbl_FACTS[[#This Row],[Quantity]]&lt;=10,"0–10",IF(tbl_FACTS[[#This Row],[Quantity]]&lt;=20,"11–20",IF(tbl_FACTS[[#This Row],[Quantity]]&lt;=30,"21–30",IF(tbl_FACTS[[#This Row],[Quantity]]&lt;=40,"31–40",IF(tbl_FACTS[[#This Row],[Quantity]]&lt;=50,"41–50","51+")))))</f>
        <v>11–20</v>
      </c>
    </row>
    <row r="39" spans="1:22">
      <c r="A39">
        <v>38</v>
      </c>
      <c r="B39">
        <v>10260</v>
      </c>
      <c r="C39">
        <v>70</v>
      </c>
      <c r="D39" s="19">
        <v>21</v>
      </c>
      <c r="E39" s="20">
        <f>_xlfn.XLOOKUP(tbl_FACTS[[#This Row],[OrderID]],Πίνακας64[OrderID],Πίνακας64[OrderDate])</f>
        <v>35265</v>
      </c>
      <c r="F39">
        <f>_xlfn.XLOOKUP(tbl_FACTS[[#This Row],[OrderID]],Πίνακας64[OrderID],Πίνακας64[CustomerID])</f>
        <v>55</v>
      </c>
      <c r="G39" t="str">
        <f>_xlfn.XLOOKUP(tbl_FACTS[[#This Row],[CustomerID]],Πίνακας1[CustomerID],Πίνακας1[CustomerName])</f>
        <v>Old World Delicatessen</v>
      </c>
      <c r="H39" t="str">
        <f>_xlfn.XLOOKUP(tbl_FACTS[[#This Row],[CustomerID]],Πίνακας1[CustomerID],Πίνακας1[Country])</f>
        <v>USA</v>
      </c>
      <c r="I39">
        <f>_xlfn.XLOOKUP(tbl_FACTS[[#This Row],[OrderID]],Πίνακας64[OrderID],Πίνακας64[EmployeeID])</f>
        <v>4</v>
      </c>
      <c r="J39">
        <f>_xlfn.XLOOKUP(tbl_FACTS[[#This Row],[OrderID]],Πίνακας64[OrderID],Πίνακας64[ShipperID])</f>
        <v>1</v>
      </c>
      <c r="K39" t="str">
        <f>_xlfn.XLOOKUP(tbl_FACTS[[#This Row],[ShipperID]],Πίνακας8[ShipperID],Πίνακας8[ShipperName])</f>
        <v>Speedy Express</v>
      </c>
      <c r="L39" t="str">
        <f>_xlfn.XLOOKUP(tbl_FACTS[[#This Row],[ProductID]],Πίνακας7[ProductID],Πίνακας7[ProductName])</f>
        <v>Outback Lager</v>
      </c>
      <c r="M39">
        <f>_xlfn.XLOOKUP(tbl_FACTS[[#This Row],[ProductID]],Πίνακας7[ProductID],Πίνακας7[CategoryID])</f>
        <v>1</v>
      </c>
      <c r="N39" t="str">
        <f>_xlfn.XLOOKUP(tbl_FACTS[[#This Row],[CategoryID]],Πίνακας4[CategoryID],Πίνακας4[CategoryName])</f>
        <v>Beverages</v>
      </c>
      <c r="O39">
        <f>_xlfn.XLOOKUP(tbl_FACTS[[#This Row],[ProductID]],Πίνακας7[ProductID],Πίνακας7[SupplierID])</f>
        <v>7</v>
      </c>
      <c r="P39" t="str">
        <f>_xlfn.XLOOKUP(tbl_FACTS[[#This Row],[SupplierID]],Πίνακας9[SupplierID],Πίνακας9[SupplierName])</f>
        <v>Pavlova, Ltd.</v>
      </c>
      <c r="Q39" s="21">
        <f>_xlfn.XLOOKUP(tbl_FACTS[[#This Row],[ProductID]],Πίνακας7[ProductID],Πίνακας7[Price])</f>
        <v>15</v>
      </c>
      <c r="R39" s="21">
        <f>tbl_FACTS[[#This Row],[Quantity]]*tbl_FACTS[[#This Row],[Price]]</f>
        <v>315</v>
      </c>
      <c r="S39" s="19">
        <f>IF(COUNTIFS(tbl_FACTS[OrderID],tbl_FACTS[[#This Row],[OrderID]],tbl_FACTS[OrderDetailID],"&lt;"&amp;tbl_FACTS[[#This Row],[OrderDetailID]])=0,1,0)</f>
        <v>0</v>
      </c>
      <c r="T39" s="19">
        <f>YEAR(tbl_FACTS[[#This Row],[OrderDate]])</f>
        <v>1996</v>
      </c>
      <c r="U39" s="22">
        <f>DATE(YEAR(tbl_FACTS[[#This Row],[OrderDate]]),MONTH(tbl_FACTS[[#This Row],[OrderDate]]),1)</f>
        <v>35247</v>
      </c>
      <c r="V39" s="22" t="str">
        <f>IF(tbl_FACTS[[#This Row],[Quantity]]&lt;=10,"0–10",IF(tbl_FACTS[[#This Row],[Quantity]]&lt;=20,"11–20",IF(tbl_FACTS[[#This Row],[Quantity]]&lt;=30,"21–30",IF(tbl_FACTS[[#This Row],[Quantity]]&lt;=40,"31–40",IF(tbl_FACTS[[#This Row],[Quantity]]&lt;=50,"41–50","51+")))))</f>
        <v>21–30</v>
      </c>
    </row>
    <row r="40" spans="1:22">
      <c r="A40">
        <v>39</v>
      </c>
      <c r="B40">
        <v>10261</v>
      </c>
      <c r="C40">
        <v>21</v>
      </c>
      <c r="D40" s="19">
        <v>20</v>
      </c>
      <c r="E40" s="20">
        <f>_xlfn.XLOOKUP(tbl_FACTS[[#This Row],[OrderID]],Πίνακας64[OrderID],Πίνακας64[OrderDate])</f>
        <v>35265</v>
      </c>
      <c r="F40">
        <f>_xlfn.XLOOKUP(tbl_FACTS[[#This Row],[OrderID]],Πίνακας64[OrderID],Πίνακας64[CustomerID])</f>
        <v>61</v>
      </c>
      <c r="G40" t="str">
        <f>_xlfn.XLOOKUP(tbl_FACTS[[#This Row],[CustomerID]],Πίνακας1[CustomerID],Πίνακας1[CustomerName])</f>
        <v>Que Delicia</v>
      </c>
      <c r="H40" t="str">
        <f>_xlfn.XLOOKUP(tbl_FACTS[[#This Row],[CustomerID]],Πίνακας1[CustomerID],Πίνακας1[Country])</f>
        <v>Brazil</v>
      </c>
      <c r="I40">
        <f>_xlfn.XLOOKUP(tbl_FACTS[[#This Row],[OrderID]],Πίνακας64[OrderID],Πίνακας64[EmployeeID])</f>
        <v>4</v>
      </c>
      <c r="J40">
        <f>_xlfn.XLOOKUP(tbl_FACTS[[#This Row],[OrderID]],Πίνακας64[OrderID],Πίνακας64[ShipperID])</f>
        <v>2</v>
      </c>
      <c r="K40" t="str">
        <f>_xlfn.XLOOKUP(tbl_FACTS[[#This Row],[ShipperID]],Πίνακας8[ShipperID],Πίνακας8[ShipperName])</f>
        <v>United Package</v>
      </c>
      <c r="L40" t="str">
        <f>_xlfn.XLOOKUP(tbl_FACTS[[#This Row],[ProductID]],Πίνακας7[ProductID],Πίνακας7[ProductName])</f>
        <v>Sir Rodney's Scones</v>
      </c>
      <c r="M40">
        <f>_xlfn.XLOOKUP(tbl_FACTS[[#This Row],[ProductID]],Πίνακας7[ProductID],Πίνακας7[CategoryID])</f>
        <v>3</v>
      </c>
      <c r="N40" t="str">
        <f>_xlfn.XLOOKUP(tbl_FACTS[[#This Row],[CategoryID]],Πίνακας4[CategoryID],Πίνακας4[CategoryName])</f>
        <v>Confections</v>
      </c>
      <c r="O40">
        <f>_xlfn.XLOOKUP(tbl_FACTS[[#This Row],[ProductID]],Πίνακας7[ProductID],Πίνακας7[SupplierID])</f>
        <v>8</v>
      </c>
      <c r="P40" t="str">
        <f>_xlfn.XLOOKUP(tbl_FACTS[[#This Row],[SupplierID]],Πίνακας9[SupplierID],Πίνακας9[SupplierName])</f>
        <v>Specialty Biscuits, Ltd.</v>
      </c>
      <c r="Q40" s="21">
        <f>_xlfn.XLOOKUP(tbl_FACTS[[#This Row],[ProductID]],Πίνακας7[ProductID],Πίνακας7[Price])</f>
        <v>10</v>
      </c>
      <c r="R40" s="21">
        <f>tbl_FACTS[[#This Row],[Quantity]]*tbl_FACTS[[#This Row],[Price]]</f>
        <v>200</v>
      </c>
      <c r="S40" s="19">
        <f>IF(COUNTIFS(tbl_FACTS[OrderID],tbl_FACTS[[#This Row],[OrderID]],tbl_FACTS[OrderDetailID],"&lt;"&amp;tbl_FACTS[[#This Row],[OrderDetailID]])=0,1,0)</f>
        <v>1</v>
      </c>
      <c r="T40" s="19">
        <f>YEAR(tbl_FACTS[[#This Row],[OrderDate]])</f>
        <v>1996</v>
      </c>
      <c r="U40" s="22">
        <f>DATE(YEAR(tbl_FACTS[[#This Row],[OrderDate]]),MONTH(tbl_FACTS[[#This Row],[OrderDate]]),1)</f>
        <v>35247</v>
      </c>
      <c r="V40" s="22" t="str">
        <f>IF(tbl_FACTS[[#This Row],[Quantity]]&lt;=10,"0–10",IF(tbl_FACTS[[#This Row],[Quantity]]&lt;=20,"11–20",IF(tbl_FACTS[[#This Row],[Quantity]]&lt;=30,"21–30",IF(tbl_FACTS[[#This Row],[Quantity]]&lt;=40,"31–40",IF(tbl_FACTS[[#This Row],[Quantity]]&lt;=50,"41–50","51+")))))</f>
        <v>11–20</v>
      </c>
    </row>
    <row r="41" spans="1:22">
      <c r="A41">
        <v>40</v>
      </c>
      <c r="B41">
        <v>10261</v>
      </c>
      <c r="C41">
        <v>35</v>
      </c>
      <c r="D41" s="19">
        <v>20</v>
      </c>
      <c r="E41" s="20">
        <f>_xlfn.XLOOKUP(tbl_FACTS[[#This Row],[OrderID]],Πίνακας64[OrderID],Πίνακας64[OrderDate])</f>
        <v>35265</v>
      </c>
      <c r="F41">
        <f>_xlfn.XLOOKUP(tbl_FACTS[[#This Row],[OrderID]],Πίνακας64[OrderID],Πίνακας64[CustomerID])</f>
        <v>61</v>
      </c>
      <c r="G41" t="str">
        <f>_xlfn.XLOOKUP(tbl_FACTS[[#This Row],[CustomerID]],Πίνακας1[CustomerID],Πίνακας1[CustomerName])</f>
        <v>Que Delicia</v>
      </c>
      <c r="H41" t="str">
        <f>_xlfn.XLOOKUP(tbl_FACTS[[#This Row],[CustomerID]],Πίνακας1[CustomerID],Πίνακας1[Country])</f>
        <v>Brazil</v>
      </c>
      <c r="I41">
        <f>_xlfn.XLOOKUP(tbl_FACTS[[#This Row],[OrderID]],Πίνακας64[OrderID],Πίνακας64[EmployeeID])</f>
        <v>4</v>
      </c>
      <c r="J41">
        <f>_xlfn.XLOOKUP(tbl_FACTS[[#This Row],[OrderID]],Πίνακας64[OrderID],Πίνακας64[ShipperID])</f>
        <v>2</v>
      </c>
      <c r="K41" t="str">
        <f>_xlfn.XLOOKUP(tbl_FACTS[[#This Row],[ShipperID]],Πίνακας8[ShipperID],Πίνακας8[ShipperName])</f>
        <v>United Package</v>
      </c>
      <c r="L41" t="str">
        <f>_xlfn.XLOOKUP(tbl_FACTS[[#This Row],[ProductID]],Πίνακας7[ProductID],Πίνακας7[ProductName])</f>
        <v>Steeleye Stout</v>
      </c>
      <c r="M41">
        <f>_xlfn.XLOOKUP(tbl_FACTS[[#This Row],[ProductID]],Πίνακας7[ProductID],Πίνακας7[CategoryID])</f>
        <v>1</v>
      </c>
      <c r="N41" t="str">
        <f>_xlfn.XLOOKUP(tbl_FACTS[[#This Row],[CategoryID]],Πίνακας4[CategoryID],Πίνακας4[CategoryName])</f>
        <v>Beverages</v>
      </c>
      <c r="O41">
        <f>_xlfn.XLOOKUP(tbl_FACTS[[#This Row],[ProductID]],Πίνακας7[ProductID],Πίνακας7[SupplierID])</f>
        <v>16</v>
      </c>
      <c r="P41" t="str">
        <f>_xlfn.XLOOKUP(tbl_FACTS[[#This Row],[SupplierID]],Πίνακας9[SupplierID],Πίνακας9[SupplierName])</f>
        <v>Bigfoot Breweries</v>
      </c>
      <c r="Q41" s="21">
        <f>_xlfn.XLOOKUP(tbl_FACTS[[#This Row],[ProductID]],Πίνακας7[ProductID],Πίνακας7[Price])</f>
        <v>18</v>
      </c>
      <c r="R41" s="21">
        <f>tbl_FACTS[[#This Row],[Quantity]]*tbl_FACTS[[#This Row],[Price]]</f>
        <v>360</v>
      </c>
      <c r="S41" s="19">
        <f>IF(COUNTIFS(tbl_FACTS[OrderID],tbl_FACTS[[#This Row],[OrderID]],tbl_FACTS[OrderDetailID],"&lt;"&amp;tbl_FACTS[[#This Row],[OrderDetailID]])=0,1,0)</f>
        <v>0</v>
      </c>
      <c r="T41" s="19">
        <f>YEAR(tbl_FACTS[[#This Row],[OrderDate]])</f>
        <v>1996</v>
      </c>
      <c r="U41" s="22">
        <f>DATE(YEAR(tbl_FACTS[[#This Row],[OrderDate]]),MONTH(tbl_FACTS[[#This Row],[OrderDate]]),1)</f>
        <v>35247</v>
      </c>
      <c r="V41" s="22" t="str">
        <f>IF(tbl_FACTS[[#This Row],[Quantity]]&lt;=10,"0–10",IF(tbl_FACTS[[#This Row],[Quantity]]&lt;=20,"11–20",IF(tbl_FACTS[[#This Row],[Quantity]]&lt;=30,"21–30",IF(tbl_FACTS[[#This Row],[Quantity]]&lt;=40,"31–40",IF(tbl_FACTS[[#This Row],[Quantity]]&lt;=50,"41–50","51+")))))</f>
        <v>11–20</v>
      </c>
    </row>
    <row r="42" spans="1:22">
      <c r="A42">
        <v>41</v>
      </c>
      <c r="B42">
        <v>10262</v>
      </c>
      <c r="C42">
        <v>5</v>
      </c>
      <c r="D42" s="19">
        <v>12</v>
      </c>
      <c r="E42" s="20">
        <f>_xlfn.XLOOKUP(tbl_FACTS[[#This Row],[OrderID]],Πίνακας64[OrderID],Πίνακας64[OrderDate])</f>
        <v>35268</v>
      </c>
      <c r="F42">
        <f>_xlfn.XLOOKUP(tbl_FACTS[[#This Row],[OrderID]],Πίνακας64[OrderID],Πίνακας64[CustomerID])</f>
        <v>65</v>
      </c>
      <c r="G42" t="str">
        <f>_xlfn.XLOOKUP(tbl_FACTS[[#This Row],[CustomerID]],Πίνακας1[CustomerID],Πίνακας1[CustomerName])</f>
        <v>Rattlesnake Canyon Grocery</v>
      </c>
      <c r="H42" t="str">
        <f>_xlfn.XLOOKUP(tbl_FACTS[[#This Row],[CustomerID]],Πίνακας1[CustomerID],Πίνακας1[Country])</f>
        <v>USA</v>
      </c>
      <c r="I42">
        <f>_xlfn.XLOOKUP(tbl_FACTS[[#This Row],[OrderID]],Πίνακας64[OrderID],Πίνακας64[EmployeeID])</f>
        <v>8</v>
      </c>
      <c r="J42">
        <f>_xlfn.XLOOKUP(tbl_FACTS[[#This Row],[OrderID]],Πίνακας64[OrderID],Πίνακας64[ShipperID])</f>
        <v>3</v>
      </c>
      <c r="K42" t="str">
        <f>_xlfn.XLOOKUP(tbl_FACTS[[#This Row],[ShipperID]],Πίνακας8[ShipperID],Πίνακας8[ShipperName])</f>
        <v>Federal Shipping</v>
      </c>
      <c r="L42" t="str">
        <f>_xlfn.XLOOKUP(tbl_FACTS[[#This Row],[ProductID]],Πίνακας7[ProductID],Πίνακας7[ProductName])</f>
        <v>Chef Anton's Gumbo Mix</v>
      </c>
      <c r="M42">
        <f>_xlfn.XLOOKUP(tbl_FACTS[[#This Row],[ProductID]],Πίνακας7[ProductID],Πίνακας7[CategoryID])</f>
        <v>2</v>
      </c>
      <c r="N42" t="str">
        <f>_xlfn.XLOOKUP(tbl_FACTS[[#This Row],[CategoryID]],Πίνακας4[CategoryID],Πίνακας4[CategoryName])</f>
        <v>Condiments</v>
      </c>
      <c r="O42">
        <f>_xlfn.XLOOKUP(tbl_FACTS[[#This Row],[ProductID]],Πίνακας7[ProductID],Πίνακας7[SupplierID])</f>
        <v>2</v>
      </c>
      <c r="P42" t="str">
        <f>_xlfn.XLOOKUP(tbl_FACTS[[#This Row],[SupplierID]],Πίνακας9[SupplierID],Πίνακας9[SupplierName])</f>
        <v>New Orleans Cajun Delights</v>
      </c>
      <c r="Q42" s="21">
        <f>_xlfn.XLOOKUP(tbl_FACTS[[#This Row],[ProductID]],Πίνακας7[ProductID],Πίνακας7[Price])</f>
        <v>21</v>
      </c>
      <c r="R42" s="21">
        <f>tbl_FACTS[[#This Row],[Quantity]]*tbl_FACTS[[#This Row],[Price]]</f>
        <v>252</v>
      </c>
      <c r="S42" s="19">
        <f>IF(COUNTIFS(tbl_FACTS[OrderID],tbl_FACTS[[#This Row],[OrderID]],tbl_FACTS[OrderDetailID],"&lt;"&amp;tbl_FACTS[[#This Row],[OrderDetailID]])=0,1,0)</f>
        <v>1</v>
      </c>
      <c r="T42" s="19">
        <f>YEAR(tbl_FACTS[[#This Row],[OrderDate]])</f>
        <v>1996</v>
      </c>
      <c r="U42" s="22">
        <f>DATE(YEAR(tbl_FACTS[[#This Row],[OrderDate]]),MONTH(tbl_FACTS[[#This Row],[OrderDate]]),1)</f>
        <v>35247</v>
      </c>
      <c r="V42" s="22" t="str">
        <f>IF(tbl_FACTS[[#This Row],[Quantity]]&lt;=10,"0–10",IF(tbl_FACTS[[#This Row],[Quantity]]&lt;=20,"11–20",IF(tbl_FACTS[[#This Row],[Quantity]]&lt;=30,"21–30",IF(tbl_FACTS[[#This Row],[Quantity]]&lt;=40,"31–40",IF(tbl_FACTS[[#This Row],[Quantity]]&lt;=50,"41–50","51+")))))</f>
        <v>11–20</v>
      </c>
    </row>
    <row r="43" spans="1:22">
      <c r="A43">
        <v>42</v>
      </c>
      <c r="B43">
        <v>10262</v>
      </c>
      <c r="C43">
        <v>7</v>
      </c>
      <c r="D43" s="19">
        <v>15</v>
      </c>
      <c r="E43" s="20">
        <f>_xlfn.XLOOKUP(tbl_FACTS[[#This Row],[OrderID]],Πίνακας64[OrderID],Πίνακας64[OrderDate])</f>
        <v>35268</v>
      </c>
      <c r="F43">
        <f>_xlfn.XLOOKUP(tbl_FACTS[[#This Row],[OrderID]],Πίνακας64[OrderID],Πίνακας64[CustomerID])</f>
        <v>65</v>
      </c>
      <c r="G43" t="str">
        <f>_xlfn.XLOOKUP(tbl_FACTS[[#This Row],[CustomerID]],Πίνακας1[CustomerID],Πίνακας1[CustomerName])</f>
        <v>Rattlesnake Canyon Grocery</v>
      </c>
      <c r="H43" t="str">
        <f>_xlfn.XLOOKUP(tbl_FACTS[[#This Row],[CustomerID]],Πίνακας1[CustomerID],Πίνακας1[Country])</f>
        <v>USA</v>
      </c>
      <c r="I43">
        <f>_xlfn.XLOOKUP(tbl_FACTS[[#This Row],[OrderID]],Πίνακας64[OrderID],Πίνακας64[EmployeeID])</f>
        <v>8</v>
      </c>
      <c r="J43">
        <f>_xlfn.XLOOKUP(tbl_FACTS[[#This Row],[OrderID]],Πίνακας64[OrderID],Πίνακας64[ShipperID])</f>
        <v>3</v>
      </c>
      <c r="K43" t="str">
        <f>_xlfn.XLOOKUP(tbl_FACTS[[#This Row],[ShipperID]],Πίνακας8[ShipperID],Πίνακας8[ShipperName])</f>
        <v>Federal Shipping</v>
      </c>
      <c r="L43" t="str">
        <f>_xlfn.XLOOKUP(tbl_FACTS[[#This Row],[ProductID]],Πίνακας7[ProductID],Πίνακας7[ProductName])</f>
        <v>Uncle Bob's Organic Dried Pears</v>
      </c>
      <c r="M43">
        <f>_xlfn.XLOOKUP(tbl_FACTS[[#This Row],[ProductID]],Πίνακας7[ProductID],Πίνακας7[CategoryID])</f>
        <v>7</v>
      </c>
      <c r="N43" t="str">
        <f>_xlfn.XLOOKUP(tbl_FACTS[[#This Row],[CategoryID]],Πίνακας4[CategoryID],Πίνακας4[CategoryName])</f>
        <v>Produce</v>
      </c>
      <c r="O43">
        <f>_xlfn.XLOOKUP(tbl_FACTS[[#This Row],[ProductID]],Πίνακας7[ProductID],Πίνακας7[SupplierID])</f>
        <v>3</v>
      </c>
      <c r="P43" t="str">
        <f>_xlfn.XLOOKUP(tbl_FACTS[[#This Row],[SupplierID]],Πίνακας9[SupplierID],Πίνακας9[SupplierName])</f>
        <v>Grandma Kelly's Homestead</v>
      </c>
      <c r="Q43" s="21">
        <f>_xlfn.XLOOKUP(tbl_FACTS[[#This Row],[ProductID]],Πίνακας7[ProductID],Πίνακας7[Price])</f>
        <v>30</v>
      </c>
      <c r="R43" s="21">
        <f>tbl_FACTS[[#This Row],[Quantity]]*tbl_FACTS[[#This Row],[Price]]</f>
        <v>450</v>
      </c>
      <c r="S43" s="19">
        <f>IF(COUNTIFS(tbl_FACTS[OrderID],tbl_FACTS[[#This Row],[OrderID]],tbl_FACTS[OrderDetailID],"&lt;"&amp;tbl_FACTS[[#This Row],[OrderDetailID]])=0,1,0)</f>
        <v>0</v>
      </c>
      <c r="T43" s="19">
        <f>YEAR(tbl_FACTS[[#This Row],[OrderDate]])</f>
        <v>1996</v>
      </c>
      <c r="U43" s="22">
        <f>DATE(YEAR(tbl_FACTS[[#This Row],[OrderDate]]),MONTH(tbl_FACTS[[#This Row],[OrderDate]]),1)</f>
        <v>35247</v>
      </c>
      <c r="V43" s="22" t="str">
        <f>IF(tbl_FACTS[[#This Row],[Quantity]]&lt;=10,"0–10",IF(tbl_FACTS[[#This Row],[Quantity]]&lt;=20,"11–20",IF(tbl_FACTS[[#This Row],[Quantity]]&lt;=30,"21–30",IF(tbl_FACTS[[#This Row],[Quantity]]&lt;=40,"31–40",IF(tbl_FACTS[[#This Row],[Quantity]]&lt;=50,"41–50","51+")))))</f>
        <v>11–20</v>
      </c>
    </row>
    <row r="44" spans="1:22">
      <c r="A44">
        <v>43</v>
      </c>
      <c r="B44">
        <v>10262</v>
      </c>
      <c r="C44">
        <v>56</v>
      </c>
      <c r="D44" s="19">
        <v>2</v>
      </c>
      <c r="E44" s="20">
        <f>_xlfn.XLOOKUP(tbl_FACTS[[#This Row],[OrderID]],Πίνακας64[OrderID],Πίνακας64[OrderDate])</f>
        <v>35268</v>
      </c>
      <c r="F44">
        <f>_xlfn.XLOOKUP(tbl_FACTS[[#This Row],[OrderID]],Πίνακας64[OrderID],Πίνακας64[CustomerID])</f>
        <v>65</v>
      </c>
      <c r="G44" t="str">
        <f>_xlfn.XLOOKUP(tbl_FACTS[[#This Row],[CustomerID]],Πίνακας1[CustomerID],Πίνακας1[CustomerName])</f>
        <v>Rattlesnake Canyon Grocery</v>
      </c>
      <c r="H44" t="str">
        <f>_xlfn.XLOOKUP(tbl_FACTS[[#This Row],[CustomerID]],Πίνακας1[CustomerID],Πίνακας1[Country])</f>
        <v>USA</v>
      </c>
      <c r="I44">
        <f>_xlfn.XLOOKUP(tbl_FACTS[[#This Row],[OrderID]],Πίνακας64[OrderID],Πίνακας64[EmployeeID])</f>
        <v>8</v>
      </c>
      <c r="J44">
        <f>_xlfn.XLOOKUP(tbl_FACTS[[#This Row],[OrderID]],Πίνακας64[OrderID],Πίνακας64[ShipperID])</f>
        <v>3</v>
      </c>
      <c r="K44" t="str">
        <f>_xlfn.XLOOKUP(tbl_FACTS[[#This Row],[ShipperID]],Πίνακας8[ShipperID],Πίνακας8[ShipperName])</f>
        <v>Federal Shipping</v>
      </c>
      <c r="L44" t="str">
        <f>_xlfn.XLOOKUP(tbl_FACTS[[#This Row],[ProductID]],Πίνακας7[ProductID],Πίνακας7[ProductName])</f>
        <v>Gnocchi di nonna Alice</v>
      </c>
      <c r="M44">
        <f>_xlfn.XLOOKUP(tbl_FACTS[[#This Row],[ProductID]],Πίνακας7[ProductID],Πίνακας7[CategoryID])</f>
        <v>5</v>
      </c>
      <c r="N44" t="str">
        <f>_xlfn.XLOOKUP(tbl_FACTS[[#This Row],[CategoryID]],Πίνακας4[CategoryID],Πίνακας4[CategoryName])</f>
        <v>Grains/Cereals</v>
      </c>
      <c r="O44">
        <f>_xlfn.XLOOKUP(tbl_FACTS[[#This Row],[ProductID]],Πίνακας7[ProductID],Πίνακας7[SupplierID])</f>
        <v>26</v>
      </c>
      <c r="P44" t="str">
        <f>_xlfn.XLOOKUP(tbl_FACTS[[#This Row],[SupplierID]],Πίνακας9[SupplierID],Πίνακας9[SupplierName])</f>
        <v>Pasta Buttini s.r.l.</v>
      </c>
      <c r="Q44" s="21">
        <f>_xlfn.XLOOKUP(tbl_FACTS[[#This Row],[ProductID]],Πίνακας7[ProductID],Πίνακας7[Price])</f>
        <v>38</v>
      </c>
      <c r="R44" s="21">
        <f>tbl_FACTS[[#This Row],[Quantity]]*tbl_FACTS[[#This Row],[Price]]</f>
        <v>76</v>
      </c>
      <c r="S44" s="19">
        <f>IF(COUNTIFS(tbl_FACTS[OrderID],tbl_FACTS[[#This Row],[OrderID]],tbl_FACTS[OrderDetailID],"&lt;"&amp;tbl_FACTS[[#This Row],[OrderDetailID]])=0,1,0)</f>
        <v>0</v>
      </c>
      <c r="T44" s="19">
        <f>YEAR(tbl_FACTS[[#This Row],[OrderDate]])</f>
        <v>1996</v>
      </c>
      <c r="U44" s="22">
        <f>DATE(YEAR(tbl_FACTS[[#This Row],[OrderDate]]),MONTH(tbl_FACTS[[#This Row],[OrderDate]]),1)</f>
        <v>35247</v>
      </c>
      <c r="V44" s="22" t="str">
        <f>IF(tbl_FACTS[[#This Row],[Quantity]]&lt;=10,"0–10",IF(tbl_FACTS[[#This Row],[Quantity]]&lt;=20,"11–20",IF(tbl_FACTS[[#This Row],[Quantity]]&lt;=30,"21–30",IF(tbl_FACTS[[#This Row],[Quantity]]&lt;=40,"31–40",IF(tbl_FACTS[[#This Row],[Quantity]]&lt;=50,"41–50","51+")))))</f>
        <v>0–10</v>
      </c>
    </row>
    <row r="45" spans="1:22">
      <c r="A45">
        <v>44</v>
      </c>
      <c r="B45">
        <v>10263</v>
      </c>
      <c r="C45">
        <v>16</v>
      </c>
      <c r="D45" s="19">
        <v>60</v>
      </c>
      <c r="E45" s="20">
        <f>_xlfn.XLOOKUP(tbl_FACTS[[#This Row],[OrderID]],Πίνακας64[OrderID],Πίνακας64[OrderDate])</f>
        <v>35269</v>
      </c>
      <c r="F45">
        <f>_xlfn.XLOOKUP(tbl_FACTS[[#This Row],[OrderID]],Πίνακας64[OrderID],Πίνακας64[CustomerID])</f>
        <v>20</v>
      </c>
      <c r="G45" t="str">
        <f>_xlfn.XLOOKUP(tbl_FACTS[[#This Row],[CustomerID]],Πίνακας1[CustomerID],Πίνακας1[CustomerName])</f>
        <v>Ernst Handel</v>
      </c>
      <c r="H45" t="str">
        <f>_xlfn.XLOOKUP(tbl_FACTS[[#This Row],[CustomerID]],Πίνακας1[CustomerID],Πίνακας1[Country])</f>
        <v>Austria</v>
      </c>
      <c r="I45">
        <f>_xlfn.XLOOKUP(tbl_FACTS[[#This Row],[OrderID]],Πίνακας64[OrderID],Πίνακας64[EmployeeID])</f>
        <v>9</v>
      </c>
      <c r="J45">
        <f>_xlfn.XLOOKUP(tbl_FACTS[[#This Row],[OrderID]],Πίνακας64[OrderID],Πίνακας64[ShipperID])</f>
        <v>3</v>
      </c>
      <c r="K45" t="str">
        <f>_xlfn.XLOOKUP(tbl_FACTS[[#This Row],[ShipperID]],Πίνακας8[ShipperID],Πίνακας8[ShipperName])</f>
        <v>Federal Shipping</v>
      </c>
      <c r="L45" t="str">
        <f>_xlfn.XLOOKUP(tbl_FACTS[[#This Row],[ProductID]],Πίνακας7[ProductID],Πίνακας7[ProductName])</f>
        <v>Pavlova</v>
      </c>
      <c r="M45">
        <f>_xlfn.XLOOKUP(tbl_FACTS[[#This Row],[ProductID]],Πίνακας7[ProductID],Πίνακας7[CategoryID])</f>
        <v>3</v>
      </c>
      <c r="N45" t="str">
        <f>_xlfn.XLOOKUP(tbl_FACTS[[#This Row],[CategoryID]],Πίνακας4[CategoryID],Πίνακας4[CategoryName])</f>
        <v>Confections</v>
      </c>
      <c r="O45">
        <f>_xlfn.XLOOKUP(tbl_FACTS[[#This Row],[ProductID]],Πίνακας7[ProductID],Πίνακας7[SupplierID])</f>
        <v>7</v>
      </c>
      <c r="P45" t="str">
        <f>_xlfn.XLOOKUP(tbl_FACTS[[#This Row],[SupplierID]],Πίνακας9[SupplierID],Πίνακας9[SupplierName])</f>
        <v>Pavlova, Ltd.</v>
      </c>
      <c r="Q45" s="21">
        <f>_xlfn.XLOOKUP(tbl_FACTS[[#This Row],[ProductID]],Πίνακας7[ProductID],Πίνακας7[Price])</f>
        <v>17</v>
      </c>
      <c r="R45" s="21">
        <f>tbl_FACTS[[#This Row],[Quantity]]*tbl_FACTS[[#This Row],[Price]]</f>
        <v>1020</v>
      </c>
      <c r="S45" s="19">
        <f>IF(COUNTIFS(tbl_FACTS[OrderID],tbl_FACTS[[#This Row],[OrderID]],tbl_FACTS[OrderDetailID],"&lt;"&amp;tbl_FACTS[[#This Row],[OrderDetailID]])=0,1,0)</f>
        <v>1</v>
      </c>
      <c r="T45" s="19">
        <f>YEAR(tbl_FACTS[[#This Row],[OrderDate]])</f>
        <v>1996</v>
      </c>
      <c r="U45" s="22">
        <f>DATE(YEAR(tbl_FACTS[[#This Row],[OrderDate]]),MONTH(tbl_FACTS[[#This Row],[OrderDate]]),1)</f>
        <v>35247</v>
      </c>
      <c r="V45" s="22" t="str">
        <f>IF(tbl_FACTS[[#This Row],[Quantity]]&lt;=10,"0–10",IF(tbl_FACTS[[#This Row],[Quantity]]&lt;=20,"11–20",IF(tbl_FACTS[[#This Row],[Quantity]]&lt;=30,"21–30",IF(tbl_FACTS[[#This Row],[Quantity]]&lt;=40,"31–40",IF(tbl_FACTS[[#This Row],[Quantity]]&lt;=50,"41–50","51+")))))</f>
        <v>51+</v>
      </c>
    </row>
    <row r="46" spans="1:22">
      <c r="A46">
        <v>45</v>
      </c>
      <c r="B46">
        <v>10263</v>
      </c>
      <c r="C46">
        <v>24</v>
      </c>
      <c r="D46" s="19">
        <v>28</v>
      </c>
      <c r="E46" s="20">
        <f>_xlfn.XLOOKUP(tbl_FACTS[[#This Row],[OrderID]],Πίνακας64[OrderID],Πίνακας64[OrderDate])</f>
        <v>35269</v>
      </c>
      <c r="F46">
        <f>_xlfn.XLOOKUP(tbl_FACTS[[#This Row],[OrderID]],Πίνακας64[OrderID],Πίνακας64[CustomerID])</f>
        <v>20</v>
      </c>
      <c r="G46" t="str">
        <f>_xlfn.XLOOKUP(tbl_FACTS[[#This Row],[CustomerID]],Πίνακας1[CustomerID],Πίνακας1[CustomerName])</f>
        <v>Ernst Handel</v>
      </c>
      <c r="H46" t="str">
        <f>_xlfn.XLOOKUP(tbl_FACTS[[#This Row],[CustomerID]],Πίνακας1[CustomerID],Πίνακας1[Country])</f>
        <v>Austria</v>
      </c>
      <c r="I46">
        <f>_xlfn.XLOOKUP(tbl_FACTS[[#This Row],[OrderID]],Πίνακας64[OrderID],Πίνακας64[EmployeeID])</f>
        <v>9</v>
      </c>
      <c r="J46">
        <f>_xlfn.XLOOKUP(tbl_FACTS[[#This Row],[OrderID]],Πίνακας64[OrderID],Πίνακας64[ShipperID])</f>
        <v>3</v>
      </c>
      <c r="K46" t="str">
        <f>_xlfn.XLOOKUP(tbl_FACTS[[#This Row],[ShipperID]],Πίνακας8[ShipperID],Πίνακας8[ShipperName])</f>
        <v>Federal Shipping</v>
      </c>
      <c r="L46" t="str">
        <f>_xlfn.XLOOKUP(tbl_FACTS[[#This Row],[ProductID]],Πίνακας7[ProductID],Πίνακας7[ProductName])</f>
        <v>Guarana Fantastica</v>
      </c>
      <c r="M46">
        <f>_xlfn.XLOOKUP(tbl_FACTS[[#This Row],[ProductID]],Πίνακας7[ProductID],Πίνακας7[CategoryID])</f>
        <v>1</v>
      </c>
      <c r="N46" t="str">
        <f>_xlfn.XLOOKUP(tbl_FACTS[[#This Row],[CategoryID]],Πίνακας4[CategoryID],Πίνακας4[CategoryName])</f>
        <v>Beverages</v>
      </c>
      <c r="O46">
        <f>_xlfn.XLOOKUP(tbl_FACTS[[#This Row],[ProductID]],Πίνακας7[ProductID],Πίνακας7[SupplierID])</f>
        <v>10</v>
      </c>
      <c r="P46" t="str">
        <f>_xlfn.XLOOKUP(tbl_FACTS[[#This Row],[SupplierID]],Πίνακας9[SupplierID],Πίνακας9[SupplierName])</f>
        <v>Refrescos Americanas LTDA</v>
      </c>
      <c r="Q46" s="21">
        <f>_xlfn.XLOOKUP(tbl_FACTS[[#This Row],[ProductID]],Πίνακας7[ProductID],Πίνακας7[Price])</f>
        <v>5</v>
      </c>
      <c r="R46" s="21">
        <f>tbl_FACTS[[#This Row],[Quantity]]*tbl_FACTS[[#This Row],[Price]]</f>
        <v>140</v>
      </c>
      <c r="S46" s="19">
        <f>IF(COUNTIFS(tbl_FACTS[OrderID],tbl_FACTS[[#This Row],[OrderID]],tbl_FACTS[OrderDetailID],"&lt;"&amp;tbl_FACTS[[#This Row],[OrderDetailID]])=0,1,0)</f>
        <v>0</v>
      </c>
      <c r="T46" s="19">
        <f>YEAR(tbl_FACTS[[#This Row],[OrderDate]])</f>
        <v>1996</v>
      </c>
      <c r="U46" s="22">
        <f>DATE(YEAR(tbl_FACTS[[#This Row],[OrderDate]]),MONTH(tbl_FACTS[[#This Row],[OrderDate]]),1)</f>
        <v>35247</v>
      </c>
      <c r="V46" s="22" t="str">
        <f>IF(tbl_FACTS[[#This Row],[Quantity]]&lt;=10,"0–10",IF(tbl_FACTS[[#This Row],[Quantity]]&lt;=20,"11–20",IF(tbl_FACTS[[#This Row],[Quantity]]&lt;=30,"21–30",IF(tbl_FACTS[[#This Row],[Quantity]]&lt;=40,"31–40",IF(tbl_FACTS[[#This Row],[Quantity]]&lt;=50,"41–50","51+")))))</f>
        <v>21–30</v>
      </c>
    </row>
    <row r="47" spans="1:22">
      <c r="A47">
        <v>46</v>
      </c>
      <c r="B47">
        <v>10263</v>
      </c>
      <c r="C47">
        <v>30</v>
      </c>
      <c r="D47" s="19">
        <v>60</v>
      </c>
      <c r="E47" s="20">
        <f>_xlfn.XLOOKUP(tbl_FACTS[[#This Row],[OrderID]],Πίνακας64[OrderID],Πίνακας64[OrderDate])</f>
        <v>35269</v>
      </c>
      <c r="F47">
        <f>_xlfn.XLOOKUP(tbl_FACTS[[#This Row],[OrderID]],Πίνακας64[OrderID],Πίνακας64[CustomerID])</f>
        <v>20</v>
      </c>
      <c r="G47" t="str">
        <f>_xlfn.XLOOKUP(tbl_FACTS[[#This Row],[CustomerID]],Πίνακας1[CustomerID],Πίνακας1[CustomerName])</f>
        <v>Ernst Handel</v>
      </c>
      <c r="H47" t="str">
        <f>_xlfn.XLOOKUP(tbl_FACTS[[#This Row],[CustomerID]],Πίνακας1[CustomerID],Πίνακας1[Country])</f>
        <v>Austria</v>
      </c>
      <c r="I47">
        <f>_xlfn.XLOOKUP(tbl_FACTS[[#This Row],[OrderID]],Πίνακας64[OrderID],Πίνακας64[EmployeeID])</f>
        <v>9</v>
      </c>
      <c r="J47">
        <f>_xlfn.XLOOKUP(tbl_FACTS[[#This Row],[OrderID]],Πίνακας64[OrderID],Πίνακας64[ShipperID])</f>
        <v>3</v>
      </c>
      <c r="K47" t="str">
        <f>_xlfn.XLOOKUP(tbl_FACTS[[#This Row],[ShipperID]],Πίνακας8[ShipperID],Πίνακας8[ShipperName])</f>
        <v>Federal Shipping</v>
      </c>
      <c r="L47" t="str">
        <f>_xlfn.XLOOKUP(tbl_FACTS[[#This Row],[ProductID]],Πίνακας7[ProductID],Πίνακας7[ProductName])</f>
        <v>Nord-Ost Matjeshering</v>
      </c>
      <c r="M47">
        <f>_xlfn.XLOOKUP(tbl_FACTS[[#This Row],[ProductID]],Πίνακας7[ProductID],Πίνακας7[CategoryID])</f>
        <v>8</v>
      </c>
      <c r="N47" t="str">
        <f>_xlfn.XLOOKUP(tbl_FACTS[[#This Row],[CategoryID]],Πίνακας4[CategoryID],Πίνακας4[CategoryName])</f>
        <v>Seafood</v>
      </c>
      <c r="O47">
        <f>_xlfn.XLOOKUP(tbl_FACTS[[#This Row],[ProductID]],Πίνακας7[ProductID],Πίνακας7[SupplierID])</f>
        <v>13</v>
      </c>
      <c r="P47" t="str">
        <f>_xlfn.XLOOKUP(tbl_FACTS[[#This Row],[SupplierID]],Πίνακας9[SupplierID],Πίνακας9[SupplierName])</f>
        <v>Nord-Ost-Fisch Handelsgesellschaft mbH</v>
      </c>
      <c r="Q47" s="21">
        <f>_xlfn.XLOOKUP(tbl_FACTS[[#This Row],[ProductID]],Πίνακας7[ProductID],Πίνακας7[Price])</f>
        <v>26</v>
      </c>
      <c r="R47" s="21">
        <f>tbl_FACTS[[#This Row],[Quantity]]*tbl_FACTS[[#This Row],[Price]]</f>
        <v>1560</v>
      </c>
      <c r="S47" s="19">
        <f>IF(COUNTIFS(tbl_FACTS[OrderID],tbl_FACTS[[#This Row],[OrderID]],tbl_FACTS[OrderDetailID],"&lt;"&amp;tbl_FACTS[[#This Row],[OrderDetailID]])=0,1,0)</f>
        <v>0</v>
      </c>
      <c r="T47" s="19">
        <f>YEAR(tbl_FACTS[[#This Row],[OrderDate]])</f>
        <v>1996</v>
      </c>
      <c r="U47" s="22">
        <f>DATE(YEAR(tbl_FACTS[[#This Row],[OrderDate]]),MONTH(tbl_FACTS[[#This Row],[OrderDate]]),1)</f>
        <v>35247</v>
      </c>
      <c r="V47" s="22" t="str">
        <f>IF(tbl_FACTS[[#This Row],[Quantity]]&lt;=10,"0–10",IF(tbl_FACTS[[#This Row],[Quantity]]&lt;=20,"11–20",IF(tbl_FACTS[[#This Row],[Quantity]]&lt;=30,"21–30",IF(tbl_FACTS[[#This Row],[Quantity]]&lt;=40,"31–40",IF(tbl_FACTS[[#This Row],[Quantity]]&lt;=50,"41–50","51+")))))</f>
        <v>51+</v>
      </c>
    </row>
    <row r="48" spans="1:22">
      <c r="A48">
        <v>47</v>
      </c>
      <c r="B48">
        <v>10263</v>
      </c>
      <c r="C48">
        <v>74</v>
      </c>
      <c r="D48" s="19">
        <v>36</v>
      </c>
      <c r="E48" s="20">
        <f>_xlfn.XLOOKUP(tbl_FACTS[[#This Row],[OrderID]],Πίνακας64[OrderID],Πίνακας64[OrderDate])</f>
        <v>35269</v>
      </c>
      <c r="F48">
        <f>_xlfn.XLOOKUP(tbl_FACTS[[#This Row],[OrderID]],Πίνακας64[OrderID],Πίνακας64[CustomerID])</f>
        <v>20</v>
      </c>
      <c r="G48" t="str">
        <f>_xlfn.XLOOKUP(tbl_FACTS[[#This Row],[CustomerID]],Πίνακας1[CustomerID],Πίνακας1[CustomerName])</f>
        <v>Ernst Handel</v>
      </c>
      <c r="H48" t="str">
        <f>_xlfn.XLOOKUP(tbl_FACTS[[#This Row],[CustomerID]],Πίνακας1[CustomerID],Πίνακας1[Country])</f>
        <v>Austria</v>
      </c>
      <c r="I48">
        <f>_xlfn.XLOOKUP(tbl_FACTS[[#This Row],[OrderID]],Πίνακας64[OrderID],Πίνακας64[EmployeeID])</f>
        <v>9</v>
      </c>
      <c r="J48">
        <f>_xlfn.XLOOKUP(tbl_FACTS[[#This Row],[OrderID]],Πίνακας64[OrderID],Πίνακας64[ShipperID])</f>
        <v>3</v>
      </c>
      <c r="K48" t="str">
        <f>_xlfn.XLOOKUP(tbl_FACTS[[#This Row],[ShipperID]],Πίνακας8[ShipperID],Πίνακας8[ShipperName])</f>
        <v>Federal Shipping</v>
      </c>
      <c r="L48" t="str">
        <f>_xlfn.XLOOKUP(tbl_FACTS[[#This Row],[ProductID]],Πίνακας7[ProductID],Πίνακας7[ProductName])</f>
        <v>Longlife Tofu</v>
      </c>
      <c r="M48">
        <f>_xlfn.XLOOKUP(tbl_FACTS[[#This Row],[ProductID]],Πίνακας7[ProductID],Πίνακας7[CategoryID])</f>
        <v>7</v>
      </c>
      <c r="N48" t="str">
        <f>_xlfn.XLOOKUP(tbl_FACTS[[#This Row],[CategoryID]],Πίνακας4[CategoryID],Πίνακας4[CategoryName])</f>
        <v>Produce</v>
      </c>
      <c r="O48">
        <f>_xlfn.XLOOKUP(tbl_FACTS[[#This Row],[ProductID]],Πίνακας7[ProductID],Πίνακας7[SupplierID])</f>
        <v>4</v>
      </c>
      <c r="P48" t="str">
        <f>_xlfn.XLOOKUP(tbl_FACTS[[#This Row],[SupplierID]],Πίνακας9[SupplierID],Πίνακας9[SupplierName])</f>
        <v>Tokyo Traders</v>
      </c>
      <c r="Q48" s="21">
        <f>_xlfn.XLOOKUP(tbl_FACTS[[#This Row],[ProductID]],Πίνακας7[ProductID],Πίνακας7[Price])</f>
        <v>10</v>
      </c>
      <c r="R48" s="21">
        <f>tbl_FACTS[[#This Row],[Quantity]]*tbl_FACTS[[#This Row],[Price]]</f>
        <v>360</v>
      </c>
      <c r="S48" s="19">
        <f>IF(COUNTIFS(tbl_FACTS[OrderID],tbl_FACTS[[#This Row],[OrderID]],tbl_FACTS[OrderDetailID],"&lt;"&amp;tbl_FACTS[[#This Row],[OrderDetailID]])=0,1,0)</f>
        <v>0</v>
      </c>
      <c r="T48" s="19">
        <f>YEAR(tbl_FACTS[[#This Row],[OrderDate]])</f>
        <v>1996</v>
      </c>
      <c r="U48" s="22">
        <f>DATE(YEAR(tbl_FACTS[[#This Row],[OrderDate]]),MONTH(tbl_FACTS[[#This Row],[OrderDate]]),1)</f>
        <v>35247</v>
      </c>
      <c r="V48" s="22" t="str">
        <f>IF(tbl_FACTS[[#This Row],[Quantity]]&lt;=10,"0–10",IF(tbl_FACTS[[#This Row],[Quantity]]&lt;=20,"11–20",IF(tbl_FACTS[[#This Row],[Quantity]]&lt;=30,"21–30",IF(tbl_FACTS[[#This Row],[Quantity]]&lt;=40,"31–40",IF(tbl_FACTS[[#This Row],[Quantity]]&lt;=50,"41–50","51+")))))</f>
        <v>31–40</v>
      </c>
    </row>
    <row r="49" spans="1:22">
      <c r="A49">
        <v>48</v>
      </c>
      <c r="B49">
        <v>10264</v>
      </c>
      <c r="C49">
        <v>2</v>
      </c>
      <c r="D49" s="19">
        <v>35</v>
      </c>
      <c r="E49" s="20">
        <f>_xlfn.XLOOKUP(tbl_FACTS[[#This Row],[OrderID]],Πίνακας64[OrderID],Πίνακας64[OrderDate])</f>
        <v>35270</v>
      </c>
      <c r="F49">
        <f>_xlfn.XLOOKUP(tbl_FACTS[[#This Row],[OrderID]],Πίνακας64[OrderID],Πίνακας64[CustomerID])</f>
        <v>24</v>
      </c>
      <c r="G49" t="str">
        <f>_xlfn.XLOOKUP(tbl_FACTS[[#This Row],[CustomerID]],Πίνακας1[CustomerID],Πίνακας1[CustomerName])</f>
        <v>Folk och fa HB</v>
      </c>
      <c r="H49" t="str">
        <f>_xlfn.XLOOKUP(tbl_FACTS[[#This Row],[CustomerID]],Πίνακας1[CustomerID],Πίνακας1[Country])</f>
        <v>Sweden</v>
      </c>
      <c r="I49">
        <f>_xlfn.XLOOKUP(tbl_FACTS[[#This Row],[OrderID]],Πίνακας64[OrderID],Πίνακας64[EmployeeID])</f>
        <v>6</v>
      </c>
      <c r="J49">
        <f>_xlfn.XLOOKUP(tbl_FACTS[[#This Row],[OrderID]],Πίνακας64[OrderID],Πίνακας64[ShipperID])</f>
        <v>3</v>
      </c>
      <c r="K49" t="str">
        <f>_xlfn.XLOOKUP(tbl_FACTS[[#This Row],[ShipperID]],Πίνακας8[ShipperID],Πίνακας8[ShipperName])</f>
        <v>Federal Shipping</v>
      </c>
      <c r="L49" t="str">
        <f>_xlfn.XLOOKUP(tbl_FACTS[[#This Row],[ProductID]],Πίνακας7[ProductID],Πίνακας7[ProductName])</f>
        <v>Chang</v>
      </c>
      <c r="M49">
        <f>_xlfn.XLOOKUP(tbl_FACTS[[#This Row],[ProductID]],Πίνακας7[ProductID],Πίνακας7[CategoryID])</f>
        <v>1</v>
      </c>
      <c r="N49" t="str">
        <f>_xlfn.XLOOKUP(tbl_FACTS[[#This Row],[CategoryID]],Πίνακας4[CategoryID],Πίνακας4[CategoryName])</f>
        <v>Beverages</v>
      </c>
      <c r="O49">
        <f>_xlfn.XLOOKUP(tbl_FACTS[[#This Row],[ProductID]],Πίνακας7[ProductID],Πίνακας7[SupplierID])</f>
        <v>1</v>
      </c>
      <c r="P49" t="str">
        <f>_xlfn.XLOOKUP(tbl_FACTS[[#This Row],[SupplierID]],Πίνακας9[SupplierID],Πίνακας9[SupplierName])</f>
        <v>Exotic Liquid</v>
      </c>
      <c r="Q49" s="21">
        <f>_xlfn.XLOOKUP(tbl_FACTS[[#This Row],[ProductID]],Πίνακας7[ProductID],Πίνακας7[Price])</f>
        <v>19</v>
      </c>
      <c r="R49" s="21">
        <f>tbl_FACTS[[#This Row],[Quantity]]*tbl_FACTS[[#This Row],[Price]]</f>
        <v>665</v>
      </c>
      <c r="S49" s="19">
        <f>IF(COUNTIFS(tbl_FACTS[OrderID],tbl_FACTS[[#This Row],[OrderID]],tbl_FACTS[OrderDetailID],"&lt;"&amp;tbl_FACTS[[#This Row],[OrderDetailID]])=0,1,0)</f>
        <v>1</v>
      </c>
      <c r="T49" s="19">
        <f>YEAR(tbl_FACTS[[#This Row],[OrderDate]])</f>
        <v>1996</v>
      </c>
      <c r="U49" s="22">
        <f>DATE(YEAR(tbl_FACTS[[#This Row],[OrderDate]]),MONTH(tbl_FACTS[[#This Row],[OrderDate]]),1)</f>
        <v>35247</v>
      </c>
      <c r="V49" s="22" t="str">
        <f>IF(tbl_FACTS[[#This Row],[Quantity]]&lt;=10,"0–10",IF(tbl_FACTS[[#This Row],[Quantity]]&lt;=20,"11–20",IF(tbl_FACTS[[#This Row],[Quantity]]&lt;=30,"21–30",IF(tbl_FACTS[[#This Row],[Quantity]]&lt;=40,"31–40",IF(tbl_FACTS[[#This Row],[Quantity]]&lt;=50,"41–50","51+")))))</f>
        <v>31–40</v>
      </c>
    </row>
    <row r="50" spans="1:22">
      <c r="A50">
        <v>49</v>
      </c>
      <c r="B50">
        <v>10264</v>
      </c>
      <c r="C50">
        <v>41</v>
      </c>
      <c r="D50" s="19">
        <v>25</v>
      </c>
      <c r="E50" s="20">
        <f>_xlfn.XLOOKUP(tbl_FACTS[[#This Row],[OrderID]],Πίνακας64[OrderID],Πίνακας64[OrderDate])</f>
        <v>35270</v>
      </c>
      <c r="F50">
        <f>_xlfn.XLOOKUP(tbl_FACTS[[#This Row],[OrderID]],Πίνακας64[OrderID],Πίνακας64[CustomerID])</f>
        <v>24</v>
      </c>
      <c r="G50" t="str">
        <f>_xlfn.XLOOKUP(tbl_FACTS[[#This Row],[CustomerID]],Πίνακας1[CustomerID],Πίνακας1[CustomerName])</f>
        <v>Folk och fa HB</v>
      </c>
      <c r="H50" t="str">
        <f>_xlfn.XLOOKUP(tbl_FACTS[[#This Row],[CustomerID]],Πίνακας1[CustomerID],Πίνακας1[Country])</f>
        <v>Sweden</v>
      </c>
      <c r="I50">
        <f>_xlfn.XLOOKUP(tbl_FACTS[[#This Row],[OrderID]],Πίνακας64[OrderID],Πίνακας64[EmployeeID])</f>
        <v>6</v>
      </c>
      <c r="J50">
        <f>_xlfn.XLOOKUP(tbl_FACTS[[#This Row],[OrderID]],Πίνακας64[OrderID],Πίνακας64[ShipperID])</f>
        <v>3</v>
      </c>
      <c r="K50" t="str">
        <f>_xlfn.XLOOKUP(tbl_FACTS[[#This Row],[ShipperID]],Πίνακας8[ShipperID],Πίνακας8[ShipperName])</f>
        <v>Federal Shipping</v>
      </c>
      <c r="L50" t="str">
        <f>_xlfn.XLOOKUP(tbl_FACTS[[#This Row],[ProductID]],Πίνακας7[ProductID],Πίνακας7[ProductName])</f>
        <v>Jack's New England Clam Chowder</v>
      </c>
      <c r="M50">
        <f>_xlfn.XLOOKUP(tbl_FACTS[[#This Row],[ProductID]],Πίνακας7[ProductID],Πίνακας7[CategoryID])</f>
        <v>8</v>
      </c>
      <c r="N50" t="str">
        <f>_xlfn.XLOOKUP(tbl_FACTS[[#This Row],[CategoryID]],Πίνακας4[CategoryID],Πίνακας4[CategoryName])</f>
        <v>Seafood</v>
      </c>
      <c r="O50">
        <f>_xlfn.XLOOKUP(tbl_FACTS[[#This Row],[ProductID]],Πίνακας7[ProductID],Πίνακας7[SupplierID])</f>
        <v>19</v>
      </c>
      <c r="P50" t="str">
        <f>_xlfn.XLOOKUP(tbl_FACTS[[#This Row],[SupplierID]],Πίνακας9[SupplierID],Πίνακας9[SupplierName])</f>
        <v>New England Seafood Cannery</v>
      </c>
      <c r="Q50" s="21">
        <f>_xlfn.XLOOKUP(tbl_FACTS[[#This Row],[ProductID]],Πίνακας7[ProductID],Πίνακας7[Price])</f>
        <v>10</v>
      </c>
      <c r="R50" s="21">
        <f>tbl_FACTS[[#This Row],[Quantity]]*tbl_FACTS[[#This Row],[Price]]</f>
        <v>250</v>
      </c>
      <c r="S50" s="19">
        <f>IF(COUNTIFS(tbl_FACTS[OrderID],tbl_FACTS[[#This Row],[OrderID]],tbl_FACTS[OrderDetailID],"&lt;"&amp;tbl_FACTS[[#This Row],[OrderDetailID]])=0,1,0)</f>
        <v>0</v>
      </c>
      <c r="T50" s="19">
        <f>YEAR(tbl_FACTS[[#This Row],[OrderDate]])</f>
        <v>1996</v>
      </c>
      <c r="U50" s="22">
        <f>DATE(YEAR(tbl_FACTS[[#This Row],[OrderDate]]),MONTH(tbl_FACTS[[#This Row],[OrderDate]]),1)</f>
        <v>35247</v>
      </c>
      <c r="V50" s="22" t="str">
        <f>IF(tbl_FACTS[[#This Row],[Quantity]]&lt;=10,"0–10",IF(tbl_FACTS[[#This Row],[Quantity]]&lt;=20,"11–20",IF(tbl_FACTS[[#This Row],[Quantity]]&lt;=30,"21–30",IF(tbl_FACTS[[#This Row],[Quantity]]&lt;=40,"31–40",IF(tbl_FACTS[[#This Row],[Quantity]]&lt;=50,"41–50","51+")))))</f>
        <v>21–30</v>
      </c>
    </row>
    <row r="51" spans="1:22">
      <c r="A51">
        <v>50</v>
      </c>
      <c r="B51">
        <v>10265</v>
      </c>
      <c r="C51">
        <v>17</v>
      </c>
      <c r="D51" s="19">
        <v>30</v>
      </c>
      <c r="E51" s="20">
        <f>_xlfn.XLOOKUP(tbl_FACTS[[#This Row],[OrderID]],Πίνακας64[OrderID],Πίνακας64[OrderDate])</f>
        <v>35271</v>
      </c>
      <c r="F51">
        <f>_xlfn.XLOOKUP(tbl_FACTS[[#This Row],[OrderID]],Πίνακας64[OrderID],Πίνακας64[CustomerID])</f>
        <v>7</v>
      </c>
      <c r="G51" t="str">
        <f>_xlfn.XLOOKUP(tbl_FACTS[[#This Row],[CustomerID]],Πίνακας1[CustomerID],Πίνακας1[CustomerName])</f>
        <v>Blondel pere et fils</v>
      </c>
      <c r="H51" t="str">
        <f>_xlfn.XLOOKUP(tbl_FACTS[[#This Row],[CustomerID]],Πίνακας1[CustomerID],Πίνακας1[Country])</f>
        <v>France</v>
      </c>
      <c r="I51">
        <f>_xlfn.XLOOKUP(tbl_FACTS[[#This Row],[OrderID]],Πίνακας64[OrderID],Πίνακας64[EmployeeID])</f>
        <v>2</v>
      </c>
      <c r="J51">
        <f>_xlfn.XLOOKUP(tbl_FACTS[[#This Row],[OrderID]],Πίνακας64[OrderID],Πίνακας64[ShipperID])</f>
        <v>1</v>
      </c>
      <c r="K51" t="str">
        <f>_xlfn.XLOOKUP(tbl_FACTS[[#This Row],[ShipperID]],Πίνακας8[ShipperID],Πίνακας8[ShipperName])</f>
        <v>Speedy Express</v>
      </c>
      <c r="L51" t="str">
        <f>_xlfn.XLOOKUP(tbl_FACTS[[#This Row],[ProductID]],Πίνακας7[ProductID],Πίνακας7[ProductName])</f>
        <v>Alice Mutton</v>
      </c>
      <c r="M51">
        <f>_xlfn.XLOOKUP(tbl_FACTS[[#This Row],[ProductID]],Πίνακας7[ProductID],Πίνακας7[CategoryID])</f>
        <v>6</v>
      </c>
      <c r="N51" t="str">
        <f>_xlfn.XLOOKUP(tbl_FACTS[[#This Row],[CategoryID]],Πίνακας4[CategoryID],Πίνακας4[CategoryName])</f>
        <v>Meat/Poultry</v>
      </c>
      <c r="O51">
        <f>_xlfn.XLOOKUP(tbl_FACTS[[#This Row],[ProductID]],Πίνακας7[ProductID],Πίνακας7[SupplierID])</f>
        <v>7</v>
      </c>
      <c r="P51" t="str">
        <f>_xlfn.XLOOKUP(tbl_FACTS[[#This Row],[SupplierID]],Πίνακας9[SupplierID],Πίνακας9[SupplierName])</f>
        <v>Pavlova, Ltd.</v>
      </c>
      <c r="Q51" s="21">
        <f>_xlfn.XLOOKUP(tbl_FACTS[[#This Row],[ProductID]],Πίνακας7[ProductID],Πίνακας7[Price])</f>
        <v>39</v>
      </c>
      <c r="R51" s="21">
        <f>tbl_FACTS[[#This Row],[Quantity]]*tbl_FACTS[[#This Row],[Price]]</f>
        <v>1170</v>
      </c>
      <c r="S51" s="19">
        <f>IF(COUNTIFS(tbl_FACTS[OrderID],tbl_FACTS[[#This Row],[OrderID]],tbl_FACTS[OrderDetailID],"&lt;"&amp;tbl_FACTS[[#This Row],[OrderDetailID]])=0,1,0)</f>
        <v>1</v>
      </c>
      <c r="T51" s="19">
        <f>YEAR(tbl_FACTS[[#This Row],[OrderDate]])</f>
        <v>1996</v>
      </c>
      <c r="U51" s="22">
        <f>DATE(YEAR(tbl_FACTS[[#This Row],[OrderDate]]),MONTH(tbl_FACTS[[#This Row],[OrderDate]]),1)</f>
        <v>35247</v>
      </c>
      <c r="V51" s="22" t="str">
        <f>IF(tbl_FACTS[[#This Row],[Quantity]]&lt;=10,"0–10",IF(tbl_FACTS[[#This Row],[Quantity]]&lt;=20,"11–20",IF(tbl_FACTS[[#This Row],[Quantity]]&lt;=30,"21–30",IF(tbl_FACTS[[#This Row],[Quantity]]&lt;=40,"31–40",IF(tbl_FACTS[[#This Row],[Quantity]]&lt;=50,"41–50","51+")))))</f>
        <v>21–30</v>
      </c>
    </row>
    <row r="52" spans="1:22">
      <c r="A52">
        <v>51</v>
      </c>
      <c r="B52">
        <v>10265</v>
      </c>
      <c r="C52">
        <v>70</v>
      </c>
      <c r="D52" s="19">
        <v>20</v>
      </c>
      <c r="E52" s="20">
        <f>_xlfn.XLOOKUP(tbl_FACTS[[#This Row],[OrderID]],Πίνακας64[OrderID],Πίνακας64[OrderDate])</f>
        <v>35271</v>
      </c>
      <c r="F52">
        <f>_xlfn.XLOOKUP(tbl_FACTS[[#This Row],[OrderID]],Πίνακας64[OrderID],Πίνακας64[CustomerID])</f>
        <v>7</v>
      </c>
      <c r="G52" t="str">
        <f>_xlfn.XLOOKUP(tbl_FACTS[[#This Row],[CustomerID]],Πίνακας1[CustomerID],Πίνακας1[CustomerName])</f>
        <v>Blondel pere et fils</v>
      </c>
      <c r="H52" t="str">
        <f>_xlfn.XLOOKUP(tbl_FACTS[[#This Row],[CustomerID]],Πίνακας1[CustomerID],Πίνακας1[Country])</f>
        <v>France</v>
      </c>
      <c r="I52">
        <f>_xlfn.XLOOKUP(tbl_FACTS[[#This Row],[OrderID]],Πίνακας64[OrderID],Πίνακας64[EmployeeID])</f>
        <v>2</v>
      </c>
      <c r="J52">
        <f>_xlfn.XLOOKUP(tbl_FACTS[[#This Row],[OrderID]],Πίνακας64[OrderID],Πίνακας64[ShipperID])</f>
        <v>1</v>
      </c>
      <c r="K52" t="str">
        <f>_xlfn.XLOOKUP(tbl_FACTS[[#This Row],[ShipperID]],Πίνακας8[ShipperID],Πίνακας8[ShipperName])</f>
        <v>Speedy Express</v>
      </c>
      <c r="L52" t="str">
        <f>_xlfn.XLOOKUP(tbl_FACTS[[#This Row],[ProductID]],Πίνακας7[ProductID],Πίνακας7[ProductName])</f>
        <v>Outback Lager</v>
      </c>
      <c r="M52">
        <f>_xlfn.XLOOKUP(tbl_FACTS[[#This Row],[ProductID]],Πίνακας7[ProductID],Πίνακας7[CategoryID])</f>
        <v>1</v>
      </c>
      <c r="N52" t="str">
        <f>_xlfn.XLOOKUP(tbl_FACTS[[#This Row],[CategoryID]],Πίνακας4[CategoryID],Πίνακας4[CategoryName])</f>
        <v>Beverages</v>
      </c>
      <c r="O52">
        <f>_xlfn.XLOOKUP(tbl_FACTS[[#This Row],[ProductID]],Πίνακας7[ProductID],Πίνακας7[SupplierID])</f>
        <v>7</v>
      </c>
      <c r="P52" t="str">
        <f>_xlfn.XLOOKUP(tbl_FACTS[[#This Row],[SupplierID]],Πίνακας9[SupplierID],Πίνακας9[SupplierName])</f>
        <v>Pavlova, Ltd.</v>
      </c>
      <c r="Q52" s="21">
        <f>_xlfn.XLOOKUP(tbl_FACTS[[#This Row],[ProductID]],Πίνακας7[ProductID],Πίνακας7[Price])</f>
        <v>15</v>
      </c>
      <c r="R52" s="21">
        <f>tbl_FACTS[[#This Row],[Quantity]]*tbl_FACTS[[#This Row],[Price]]</f>
        <v>300</v>
      </c>
      <c r="S52" s="19">
        <f>IF(COUNTIFS(tbl_FACTS[OrderID],tbl_FACTS[[#This Row],[OrderID]],tbl_FACTS[OrderDetailID],"&lt;"&amp;tbl_FACTS[[#This Row],[OrderDetailID]])=0,1,0)</f>
        <v>0</v>
      </c>
      <c r="T52" s="19">
        <f>YEAR(tbl_FACTS[[#This Row],[OrderDate]])</f>
        <v>1996</v>
      </c>
      <c r="U52" s="22">
        <f>DATE(YEAR(tbl_FACTS[[#This Row],[OrderDate]]),MONTH(tbl_FACTS[[#This Row],[OrderDate]]),1)</f>
        <v>35247</v>
      </c>
      <c r="V52" s="22" t="str">
        <f>IF(tbl_FACTS[[#This Row],[Quantity]]&lt;=10,"0–10",IF(tbl_FACTS[[#This Row],[Quantity]]&lt;=20,"11–20",IF(tbl_FACTS[[#This Row],[Quantity]]&lt;=30,"21–30",IF(tbl_FACTS[[#This Row],[Quantity]]&lt;=40,"31–40",IF(tbl_FACTS[[#This Row],[Quantity]]&lt;=50,"41–50","51+")))))</f>
        <v>11–20</v>
      </c>
    </row>
    <row r="53" spans="1:22">
      <c r="A53">
        <v>52</v>
      </c>
      <c r="B53">
        <v>10266</v>
      </c>
      <c r="C53">
        <v>12</v>
      </c>
      <c r="D53" s="19">
        <v>12</v>
      </c>
      <c r="E53" s="20">
        <f>_xlfn.XLOOKUP(tbl_FACTS[[#This Row],[OrderID]],Πίνακας64[OrderID],Πίνακας64[OrderDate])</f>
        <v>35272</v>
      </c>
      <c r="F53">
        <f>_xlfn.XLOOKUP(tbl_FACTS[[#This Row],[OrderID]],Πίνακας64[OrderID],Πίνακας64[CustomerID])</f>
        <v>87</v>
      </c>
      <c r="G53" t="str">
        <f>_xlfn.XLOOKUP(tbl_FACTS[[#This Row],[CustomerID]],Πίνακας1[CustomerID],Πίνακας1[CustomerName])</f>
        <v>Wartian Herkku</v>
      </c>
      <c r="H53" t="str">
        <f>_xlfn.XLOOKUP(tbl_FACTS[[#This Row],[CustomerID]],Πίνακας1[CustomerID],Πίνακας1[Country])</f>
        <v>Finland</v>
      </c>
      <c r="I53">
        <f>_xlfn.XLOOKUP(tbl_FACTS[[#This Row],[OrderID]],Πίνακας64[OrderID],Πίνακας64[EmployeeID])</f>
        <v>3</v>
      </c>
      <c r="J53">
        <f>_xlfn.XLOOKUP(tbl_FACTS[[#This Row],[OrderID]],Πίνακας64[OrderID],Πίνακας64[ShipperID])</f>
        <v>3</v>
      </c>
      <c r="K53" t="str">
        <f>_xlfn.XLOOKUP(tbl_FACTS[[#This Row],[ShipperID]],Πίνακας8[ShipperID],Πίνακας8[ShipperName])</f>
        <v>Federal Shipping</v>
      </c>
      <c r="L53" t="str">
        <f>_xlfn.XLOOKUP(tbl_FACTS[[#This Row],[ProductID]],Πίνακας7[ProductID],Πίνακας7[ProductName])</f>
        <v>Queso Manchego La Pastora</v>
      </c>
      <c r="M53">
        <f>_xlfn.XLOOKUP(tbl_FACTS[[#This Row],[ProductID]],Πίνακας7[ProductID],Πίνακας7[CategoryID])</f>
        <v>4</v>
      </c>
      <c r="N53" t="str">
        <f>_xlfn.XLOOKUP(tbl_FACTS[[#This Row],[CategoryID]],Πίνακας4[CategoryID],Πίνακας4[CategoryName])</f>
        <v>Dairy Products</v>
      </c>
      <c r="O53">
        <f>_xlfn.XLOOKUP(tbl_FACTS[[#This Row],[ProductID]],Πίνακας7[ProductID],Πίνακας7[SupplierID])</f>
        <v>5</v>
      </c>
      <c r="P53" t="str">
        <f>_xlfn.XLOOKUP(tbl_FACTS[[#This Row],[SupplierID]],Πίνακας9[SupplierID],Πίνακας9[SupplierName])</f>
        <v>Cooperativa de Quesos 'Las Cabras'</v>
      </c>
      <c r="Q53" s="21">
        <f>_xlfn.XLOOKUP(tbl_FACTS[[#This Row],[ProductID]],Πίνακας7[ProductID],Πίνακας7[Price])</f>
        <v>38</v>
      </c>
      <c r="R53" s="21">
        <f>tbl_FACTS[[#This Row],[Quantity]]*tbl_FACTS[[#This Row],[Price]]</f>
        <v>456</v>
      </c>
      <c r="S53" s="19">
        <f>IF(COUNTIFS(tbl_FACTS[OrderID],tbl_FACTS[[#This Row],[OrderID]],tbl_FACTS[OrderDetailID],"&lt;"&amp;tbl_FACTS[[#This Row],[OrderDetailID]])=0,1,0)</f>
        <v>1</v>
      </c>
      <c r="T53" s="19">
        <f>YEAR(tbl_FACTS[[#This Row],[OrderDate]])</f>
        <v>1996</v>
      </c>
      <c r="U53" s="22">
        <f>DATE(YEAR(tbl_FACTS[[#This Row],[OrderDate]]),MONTH(tbl_FACTS[[#This Row],[OrderDate]]),1)</f>
        <v>35247</v>
      </c>
      <c r="V53" s="22" t="str">
        <f>IF(tbl_FACTS[[#This Row],[Quantity]]&lt;=10,"0–10",IF(tbl_FACTS[[#This Row],[Quantity]]&lt;=20,"11–20",IF(tbl_FACTS[[#This Row],[Quantity]]&lt;=30,"21–30",IF(tbl_FACTS[[#This Row],[Quantity]]&lt;=40,"31–40",IF(tbl_FACTS[[#This Row],[Quantity]]&lt;=50,"41–50","51+")))))</f>
        <v>11–20</v>
      </c>
    </row>
    <row r="54" spans="1:22">
      <c r="A54">
        <v>53</v>
      </c>
      <c r="B54">
        <v>10267</v>
      </c>
      <c r="C54">
        <v>40</v>
      </c>
      <c r="D54" s="19">
        <v>50</v>
      </c>
      <c r="E54" s="20">
        <f>_xlfn.XLOOKUP(tbl_FACTS[[#This Row],[OrderID]],Πίνακας64[OrderID],Πίνακας64[OrderDate])</f>
        <v>35275</v>
      </c>
      <c r="F54">
        <f>_xlfn.XLOOKUP(tbl_FACTS[[#This Row],[OrderID]],Πίνακας64[OrderID],Πίνακας64[CustomerID])</f>
        <v>25</v>
      </c>
      <c r="G54" t="str">
        <f>_xlfn.XLOOKUP(tbl_FACTS[[#This Row],[CustomerID]],Πίνακας1[CustomerID],Πίνακας1[CustomerName])</f>
        <v>Frankenversand</v>
      </c>
      <c r="H54" t="str">
        <f>_xlfn.XLOOKUP(tbl_FACTS[[#This Row],[CustomerID]],Πίνακας1[CustomerID],Πίνακας1[Country])</f>
        <v>Germany</v>
      </c>
      <c r="I54">
        <f>_xlfn.XLOOKUP(tbl_FACTS[[#This Row],[OrderID]],Πίνακας64[OrderID],Πίνακας64[EmployeeID])</f>
        <v>4</v>
      </c>
      <c r="J54">
        <f>_xlfn.XLOOKUP(tbl_FACTS[[#This Row],[OrderID]],Πίνακας64[OrderID],Πίνακας64[ShipperID])</f>
        <v>1</v>
      </c>
      <c r="K54" t="str">
        <f>_xlfn.XLOOKUP(tbl_FACTS[[#This Row],[ShipperID]],Πίνακας8[ShipperID],Πίνακας8[ShipperName])</f>
        <v>Speedy Express</v>
      </c>
      <c r="L54" t="str">
        <f>_xlfn.XLOOKUP(tbl_FACTS[[#This Row],[ProductID]],Πίνακας7[ProductID],Πίνακας7[ProductName])</f>
        <v>Boston Crab Meat</v>
      </c>
      <c r="M54">
        <f>_xlfn.XLOOKUP(tbl_FACTS[[#This Row],[ProductID]],Πίνακας7[ProductID],Πίνακας7[CategoryID])</f>
        <v>8</v>
      </c>
      <c r="N54" t="str">
        <f>_xlfn.XLOOKUP(tbl_FACTS[[#This Row],[CategoryID]],Πίνακας4[CategoryID],Πίνακας4[CategoryName])</f>
        <v>Seafood</v>
      </c>
      <c r="O54">
        <f>_xlfn.XLOOKUP(tbl_FACTS[[#This Row],[ProductID]],Πίνακας7[ProductID],Πίνακας7[SupplierID])</f>
        <v>19</v>
      </c>
      <c r="P54" t="str">
        <f>_xlfn.XLOOKUP(tbl_FACTS[[#This Row],[SupplierID]],Πίνακας9[SupplierID],Πίνακας9[SupplierName])</f>
        <v>New England Seafood Cannery</v>
      </c>
      <c r="Q54" s="21">
        <f>_xlfn.XLOOKUP(tbl_FACTS[[#This Row],[ProductID]],Πίνακας7[ProductID],Πίνακας7[Price])</f>
        <v>18</v>
      </c>
      <c r="R54" s="21">
        <f>tbl_FACTS[[#This Row],[Quantity]]*tbl_FACTS[[#This Row],[Price]]</f>
        <v>900</v>
      </c>
      <c r="S54" s="19">
        <f>IF(COUNTIFS(tbl_FACTS[OrderID],tbl_FACTS[[#This Row],[OrderID]],tbl_FACTS[OrderDetailID],"&lt;"&amp;tbl_FACTS[[#This Row],[OrderDetailID]])=0,1,0)</f>
        <v>1</v>
      </c>
      <c r="T54" s="19">
        <f>YEAR(tbl_FACTS[[#This Row],[OrderDate]])</f>
        <v>1996</v>
      </c>
      <c r="U54" s="22">
        <f>DATE(YEAR(tbl_FACTS[[#This Row],[OrderDate]]),MONTH(tbl_FACTS[[#This Row],[OrderDate]]),1)</f>
        <v>35247</v>
      </c>
      <c r="V54" s="22" t="str">
        <f>IF(tbl_FACTS[[#This Row],[Quantity]]&lt;=10,"0–10",IF(tbl_FACTS[[#This Row],[Quantity]]&lt;=20,"11–20",IF(tbl_FACTS[[#This Row],[Quantity]]&lt;=30,"21–30",IF(tbl_FACTS[[#This Row],[Quantity]]&lt;=40,"31–40",IF(tbl_FACTS[[#This Row],[Quantity]]&lt;=50,"41–50","51+")))))</f>
        <v>41–50</v>
      </c>
    </row>
    <row r="55" spans="1:22">
      <c r="A55">
        <v>54</v>
      </c>
      <c r="B55">
        <v>10267</v>
      </c>
      <c r="C55">
        <v>59</v>
      </c>
      <c r="D55" s="19">
        <v>70</v>
      </c>
      <c r="E55" s="20">
        <f>_xlfn.XLOOKUP(tbl_FACTS[[#This Row],[OrderID]],Πίνακας64[OrderID],Πίνακας64[OrderDate])</f>
        <v>35275</v>
      </c>
      <c r="F55">
        <f>_xlfn.XLOOKUP(tbl_FACTS[[#This Row],[OrderID]],Πίνακας64[OrderID],Πίνακας64[CustomerID])</f>
        <v>25</v>
      </c>
      <c r="G55" t="str">
        <f>_xlfn.XLOOKUP(tbl_FACTS[[#This Row],[CustomerID]],Πίνακας1[CustomerID],Πίνακας1[CustomerName])</f>
        <v>Frankenversand</v>
      </c>
      <c r="H55" t="str">
        <f>_xlfn.XLOOKUP(tbl_FACTS[[#This Row],[CustomerID]],Πίνακας1[CustomerID],Πίνακας1[Country])</f>
        <v>Germany</v>
      </c>
      <c r="I55">
        <f>_xlfn.XLOOKUP(tbl_FACTS[[#This Row],[OrderID]],Πίνακας64[OrderID],Πίνακας64[EmployeeID])</f>
        <v>4</v>
      </c>
      <c r="J55">
        <f>_xlfn.XLOOKUP(tbl_FACTS[[#This Row],[OrderID]],Πίνακας64[OrderID],Πίνακας64[ShipperID])</f>
        <v>1</v>
      </c>
      <c r="K55" t="str">
        <f>_xlfn.XLOOKUP(tbl_FACTS[[#This Row],[ShipperID]],Πίνακας8[ShipperID],Πίνακας8[ShipperName])</f>
        <v>Speedy Express</v>
      </c>
      <c r="L55" t="str">
        <f>_xlfn.XLOOKUP(tbl_FACTS[[#This Row],[ProductID]],Πίνακας7[ProductID],Πίνακας7[ProductName])</f>
        <v>Raclette Courdavault</v>
      </c>
      <c r="M55">
        <f>_xlfn.XLOOKUP(tbl_FACTS[[#This Row],[ProductID]],Πίνακας7[ProductID],Πίνακας7[CategoryID])</f>
        <v>4</v>
      </c>
      <c r="N55" t="str">
        <f>_xlfn.XLOOKUP(tbl_FACTS[[#This Row],[CategoryID]],Πίνακας4[CategoryID],Πίνακας4[CategoryName])</f>
        <v>Dairy Products</v>
      </c>
      <c r="O55">
        <f>_xlfn.XLOOKUP(tbl_FACTS[[#This Row],[ProductID]],Πίνακας7[ProductID],Πίνακας7[SupplierID])</f>
        <v>28</v>
      </c>
      <c r="P55" t="str">
        <f>_xlfn.XLOOKUP(tbl_FACTS[[#This Row],[SupplierID]],Πίνακας9[SupplierID],Πίνακας9[SupplierName])</f>
        <v>Gai paturage</v>
      </c>
      <c r="Q55" s="21">
        <f>_xlfn.XLOOKUP(tbl_FACTS[[#This Row],[ProductID]],Πίνακας7[ProductID],Πίνακας7[Price])</f>
        <v>55</v>
      </c>
      <c r="R55" s="21">
        <f>tbl_FACTS[[#This Row],[Quantity]]*tbl_FACTS[[#This Row],[Price]]</f>
        <v>3850</v>
      </c>
      <c r="S55" s="19">
        <f>IF(COUNTIFS(tbl_FACTS[OrderID],tbl_FACTS[[#This Row],[OrderID]],tbl_FACTS[OrderDetailID],"&lt;"&amp;tbl_FACTS[[#This Row],[OrderDetailID]])=0,1,0)</f>
        <v>0</v>
      </c>
      <c r="T55" s="19">
        <f>YEAR(tbl_FACTS[[#This Row],[OrderDate]])</f>
        <v>1996</v>
      </c>
      <c r="U55" s="22">
        <f>DATE(YEAR(tbl_FACTS[[#This Row],[OrderDate]]),MONTH(tbl_FACTS[[#This Row],[OrderDate]]),1)</f>
        <v>35247</v>
      </c>
      <c r="V55" s="22" t="str">
        <f>IF(tbl_FACTS[[#This Row],[Quantity]]&lt;=10,"0–10",IF(tbl_FACTS[[#This Row],[Quantity]]&lt;=20,"11–20",IF(tbl_FACTS[[#This Row],[Quantity]]&lt;=30,"21–30",IF(tbl_FACTS[[#This Row],[Quantity]]&lt;=40,"31–40",IF(tbl_FACTS[[#This Row],[Quantity]]&lt;=50,"41–50","51+")))))</f>
        <v>51+</v>
      </c>
    </row>
    <row r="56" spans="1:22">
      <c r="A56">
        <v>55</v>
      </c>
      <c r="B56">
        <v>10267</v>
      </c>
      <c r="C56">
        <v>76</v>
      </c>
      <c r="D56" s="19">
        <v>15</v>
      </c>
      <c r="E56" s="20">
        <f>_xlfn.XLOOKUP(tbl_FACTS[[#This Row],[OrderID]],Πίνακας64[OrderID],Πίνακας64[OrderDate])</f>
        <v>35275</v>
      </c>
      <c r="F56">
        <f>_xlfn.XLOOKUP(tbl_FACTS[[#This Row],[OrderID]],Πίνακας64[OrderID],Πίνακας64[CustomerID])</f>
        <v>25</v>
      </c>
      <c r="G56" t="str">
        <f>_xlfn.XLOOKUP(tbl_FACTS[[#This Row],[CustomerID]],Πίνακας1[CustomerID],Πίνακας1[CustomerName])</f>
        <v>Frankenversand</v>
      </c>
      <c r="H56" t="str">
        <f>_xlfn.XLOOKUP(tbl_FACTS[[#This Row],[CustomerID]],Πίνακας1[CustomerID],Πίνακας1[Country])</f>
        <v>Germany</v>
      </c>
      <c r="I56">
        <f>_xlfn.XLOOKUP(tbl_FACTS[[#This Row],[OrderID]],Πίνακας64[OrderID],Πίνακας64[EmployeeID])</f>
        <v>4</v>
      </c>
      <c r="J56">
        <f>_xlfn.XLOOKUP(tbl_FACTS[[#This Row],[OrderID]],Πίνακας64[OrderID],Πίνακας64[ShipperID])</f>
        <v>1</v>
      </c>
      <c r="K56" t="str">
        <f>_xlfn.XLOOKUP(tbl_FACTS[[#This Row],[ShipperID]],Πίνακας8[ShipperID],Πίνακας8[ShipperName])</f>
        <v>Speedy Express</v>
      </c>
      <c r="L56" t="str">
        <f>_xlfn.XLOOKUP(tbl_FACTS[[#This Row],[ProductID]],Πίνακας7[ProductID],Πίνακας7[ProductName])</f>
        <v>Lakkalikoori</v>
      </c>
      <c r="M56">
        <f>_xlfn.XLOOKUP(tbl_FACTS[[#This Row],[ProductID]],Πίνακας7[ProductID],Πίνακας7[CategoryID])</f>
        <v>1</v>
      </c>
      <c r="N56" t="str">
        <f>_xlfn.XLOOKUP(tbl_FACTS[[#This Row],[CategoryID]],Πίνακας4[CategoryID],Πίνακας4[CategoryName])</f>
        <v>Beverages</v>
      </c>
      <c r="O56">
        <f>_xlfn.XLOOKUP(tbl_FACTS[[#This Row],[ProductID]],Πίνακας7[ProductID],Πίνακας7[SupplierID])</f>
        <v>23</v>
      </c>
      <c r="P56" t="str">
        <f>_xlfn.XLOOKUP(tbl_FACTS[[#This Row],[SupplierID]],Πίνακας9[SupplierID],Πίνακας9[SupplierName])</f>
        <v>Karkki Oy</v>
      </c>
      <c r="Q56" s="21">
        <f>_xlfn.XLOOKUP(tbl_FACTS[[#This Row],[ProductID]],Πίνακας7[ProductID],Πίνακας7[Price])</f>
        <v>18</v>
      </c>
      <c r="R56" s="21">
        <f>tbl_FACTS[[#This Row],[Quantity]]*tbl_FACTS[[#This Row],[Price]]</f>
        <v>270</v>
      </c>
      <c r="S56" s="19">
        <f>IF(COUNTIFS(tbl_FACTS[OrderID],tbl_FACTS[[#This Row],[OrderID]],tbl_FACTS[OrderDetailID],"&lt;"&amp;tbl_FACTS[[#This Row],[OrderDetailID]])=0,1,0)</f>
        <v>0</v>
      </c>
      <c r="T56" s="19">
        <f>YEAR(tbl_FACTS[[#This Row],[OrderDate]])</f>
        <v>1996</v>
      </c>
      <c r="U56" s="22">
        <f>DATE(YEAR(tbl_FACTS[[#This Row],[OrderDate]]),MONTH(tbl_FACTS[[#This Row],[OrderDate]]),1)</f>
        <v>35247</v>
      </c>
      <c r="V56" s="22" t="str">
        <f>IF(tbl_FACTS[[#This Row],[Quantity]]&lt;=10,"0–10",IF(tbl_FACTS[[#This Row],[Quantity]]&lt;=20,"11–20",IF(tbl_FACTS[[#This Row],[Quantity]]&lt;=30,"21–30",IF(tbl_FACTS[[#This Row],[Quantity]]&lt;=40,"31–40",IF(tbl_FACTS[[#This Row],[Quantity]]&lt;=50,"41–50","51+")))))</f>
        <v>11–20</v>
      </c>
    </row>
    <row r="57" spans="1:22">
      <c r="A57">
        <v>56</v>
      </c>
      <c r="B57">
        <v>10268</v>
      </c>
      <c r="C57">
        <v>29</v>
      </c>
      <c r="D57" s="19">
        <v>10</v>
      </c>
      <c r="E57" s="20">
        <f>_xlfn.XLOOKUP(tbl_FACTS[[#This Row],[OrderID]],Πίνακας64[OrderID],Πίνακας64[OrderDate])</f>
        <v>35276</v>
      </c>
      <c r="F57">
        <f>_xlfn.XLOOKUP(tbl_FACTS[[#This Row],[OrderID]],Πίνακας64[OrderID],Πίνακας64[CustomerID])</f>
        <v>33</v>
      </c>
      <c r="G57" t="str">
        <f>_xlfn.XLOOKUP(tbl_FACTS[[#This Row],[CustomerID]],Πίνακας1[CustomerID],Πίνακας1[CustomerName])</f>
        <v>GROSELLA-Restaurante</v>
      </c>
      <c r="H57" t="str">
        <f>_xlfn.XLOOKUP(tbl_FACTS[[#This Row],[CustomerID]],Πίνακας1[CustomerID],Πίνακας1[Country])</f>
        <v>Venezuela</v>
      </c>
      <c r="I57">
        <f>_xlfn.XLOOKUP(tbl_FACTS[[#This Row],[OrderID]],Πίνακας64[OrderID],Πίνακας64[EmployeeID])</f>
        <v>8</v>
      </c>
      <c r="J57">
        <f>_xlfn.XLOOKUP(tbl_FACTS[[#This Row],[OrderID]],Πίνακας64[OrderID],Πίνακας64[ShipperID])</f>
        <v>3</v>
      </c>
      <c r="K57" t="str">
        <f>_xlfn.XLOOKUP(tbl_FACTS[[#This Row],[ShipperID]],Πίνακας8[ShipperID],Πίνακας8[ShipperName])</f>
        <v>Federal Shipping</v>
      </c>
      <c r="L57" t="str">
        <f>_xlfn.XLOOKUP(tbl_FACTS[[#This Row],[ProductID]],Πίνακας7[ProductID],Πίνακας7[ProductName])</f>
        <v>Thuringer Rostbratwurst</v>
      </c>
      <c r="M57">
        <f>_xlfn.XLOOKUP(tbl_FACTS[[#This Row],[ProductID]],Πίνακας7[ProductID],Πίνακας7[CategoryID])</f>
        <v>6</v>
      </c>
      <c r="N57" t="str">
        <f>_xlfn.XLOOKUP(tbl_FACTS[[#This Row],[CategoryID]],Πίνακας4[CategoryID],Πίνακας4[CategoryName])</f>
        <v>Meat/Poultry</v>
      </c>
      <c r="O57">
        <f>_xlfn.XLOOKUP(tbl_FACTS[[#This Row],[ProductID]],Πίνακας7[ProductID],Πίνακας7[SupplierID])</f>
        <v>12</v>
      </c>
      <c r="P57" t="str">
        <f>_xlfn.XLOOKUP(tbl_FACTS[[#This Row],[SupplierID]],Πίνακας9[SupplierID],Πίνακας9[SupplierName])</f>
        <v>Plutzer Lebensmittelgro├ƒmarkte AG</v>
      </c>
      <c r="Q57" s="21">
        <f>_xlfn.XLOOKUP(tbl_FACTS[[#This Row],[ProductID]],Πίνακας7[ProductID],Πίνακας7[Price])</f>
        <v>124</v>
      </c>
      <c r="R57" s="21">
        <f>tbl_FACTS[[#This Row],[Quantity]]*tbl_FACTS[[#This Row],[Price]]</f>
        <v>1240</v>
      </c>
      <c r="S57" s="19">
        <f>IF(COUNTIFS(tbl_FACTS[OrderID],tbl_FACTS[[#This Row],[OrderID]],tbl_FACTS[OrderDetailID],"&lt;"&amp;tbl_FACTS[[#This Row],[OrderDetailID]])=0,1,0)</f>
        <v>1</v>
      </c>
      <c r="T57" s="19">
        <f>YEAR(tbl_FACTS[[#This Row],[OrderDate]])</f>
        <v>1996</v>
      </c>
      <c r="U57" s="22">
        <f>DATE(YEAR(tbl_FACTS[[#This Row],[OrderDate]]),MONTH(tbl_FACTS[[#This Row],[OrderDate]]),1)</f>
        <v>35247</v>
      </c>
      <c r="V57" s="22" t="str">
        <f>IF(tbl_FACTS[[#This Row],[Quantity]]&lt;=10,"0–10",IF(tbl_FACTS[[#This Row],[Quantity]]&lt;=20,"11–20",IF(tbl_FACTS[[#This Row],[Quantity]]&lt;=30,"21–30",IF(tbl_FACTS[[#This Row],[Quantity]]&lt;=40,"31–40",IF(tbl_FACTS[[#This Row],[Quantity]]&lt;=50,"41–50","51+")))))</f>
        <v>0–10</v>
      </c>
    </row>
    <row r="58" spans="1:22">
      <c r="A58">
        <v>57</v>
      </c>
      <c r="B58">
        <v>10268</v>
      </c>
      <c r="C58">
        <v>72</v>
      </c>
      <c r="D58" s="19">
        <v>4</v>
      </c>
      <c r="E58" s="20">
        <f>_xlfn.XLOOKUP(tbl_FACTS[[#This Row],[OrderID]],Πίνακας64[OrderID],Πίνακας64[OrderDate])</f>
        <v>35276</v>
      </c>
      <c r="F58">
        <f>_xlfn.XLOOKUP(tbl_FACTS[[#This Row],[OrderID]],Πίνακας64[OrderID],Πίνακας64[CustomerID])</f>
        <v>33</v>
      </c>
      <c r="G58" t="str">
        <f>_xlfn.XLOOKUP(tbl_FACTS[[#This Row],[CustomerID]],Πίνακας1[CustomerID],Πίνακας1[CustomerName])</f>
        <v>GROSELLA-Restaurante</v>
      </c>
      <c r="H58" t="str">
        <f>_xlfn.XLOOKUP(tbl_FACTS[[#This Row],[CustomerID]],Πίνακας1[CustomerID],Πίνακας1[Country])</f>
        <v>Venezuela</v>
      </c>
      <c r="I58">
        <f>_xlfn.XLOOKUP(tbl_FACTS[[#This Row],[OrderID]],Πίνακας64[OrderID],Πίνακας64[EmployeeID])</f>
        <v>8</v>
      </c>
      <c r="J58">
        <f>_xlfn.XLOOKUP(tbl_FACTS[[#This Row],[OrderID]],Πίνακας64[OrderID],Πίνακας64[ShipperID])</f>
        <v>3</v>
      </c>
      <c r="K58" t="str">
        <f>_xlfn.XLOOKUP(tbl_FACTS[[#This Row],[ShipperID]],Πίνακας8[ShipperID],Πίνακας8[ShipperName])</f>
        <v>Federal Shipping</v>
      </c>
      <c r="L58" t="str">
        <f>_xlfn.XLOOKUP(tbl_FACTS[[#This Row],[ProductID]],Πίνακας7[ProductID],Πίνακας7[ProductName])</f>
        <v>Mozzarella di Giovanni</v>
      </c>
      <c r="M58">
        <f>_xlfn.XLOOKUP(tbl_FACTS[[#This Row],[ProductID]],Πίνακας7[ProductID],Πίνακας7[CategoryID])</f>
        <v>4</v>
      </c>
      <c r="N58" t="str">
        <f>_xlfn.XLOOKUP(tbl_FACTS[[#This Row],[CategoryID]],Πίνακας4[CategoryID],Πίνακας4[CategoryName])</f>
        <v>Dairy Products</v>
      </c>
      <c r="O58">
        <f>_xlfn.XLOOKUP(tbl_FACTS[[#This Row],[ProductID]],Πίνακας7[ProductID],Πίνακας7[SupplierID])</f>
        <v>14</v>
      </c>
      <c r="P58" t="str">
        <f>_xlfn.XLOOKUP(tbl_FACTS[[#This Row],[SupplierID]],Πίνακας9[SupplierID],Πίνακας9[SupplierName])</f>
        <v>Formaggi Fortini s.r.l.</v>
      </c>
      <c r="Q58" s="21">
        <f>_xlfn.XLOOKUP(tbl_FACTS[[#This Row],[ProductID]],Πίνακας7[ProductID],Πίνακας7[Price])</f>
        <v>35</v>
      </c>
      <c r="R58" s="21">
        <f>tbl_FACTS[[#This Row],[Quantity]]*tbl_FACTS[[#This Row],[Price]]</f>
        <v>140</v>
      </c>
      <c r="S58" s="19">
        <f>IF(COUNTIFS(tbl_FACTS[OrderID],tbl_FACTS[[#This Row],[OrderID]],tbl_FACTS[OrderDetailID],"&lt;"&amp;tbl_FACTS[[#This Row],[OrderDetailID]])=0,1,0)</f>
        <v>0</v>
      </c>
      <c r="T58" s="19">
        <f>YEAR(tbl_FACTS[[#This Row],[OrderDate]])</f>
        <v>1996</v>
      </c>
      <c r="U58" s="22">
        <f>DATE(YEAR(tbl_FACTS[[#This Row],[OrderDate]]),MONTH(tbl_FACTS[[#This Row],[OrderDate]]),1)</f>
        <v>35247</v>
      </c>
      <c r="V58" s="22" t="str">
        <f>IF(tbl_FACTS[[#This Row],[Quantity]]&lt;=10,"0–10",IF(tbl_FACTS[[#This Row],[Quantity]]&lt;=20,"11–20",IF(tbl_FACTS[[#This Row],[Quantity]]&lt;=30,"21–30",IF(tbl_FACTS[[#This Row],[Quantity]]&lt;=40,"31–40",IF(tbl_FACTS[[#This Row],[Quantity]]&lt;=50,"41–50","51+")))))</f>
        <v>0–10</v>
      </c>
    </row>
    <row r="59" spans="1:22">
      <c r="A59">
        <v>58</v>
      </c>
      <c r="B59">
        <v>10269</v>
      </c>
      <c r="C59">
        <v>33</v>
      </c>
      <c r="D59" s="19">
        <v>60</v>
      </c>
      <c r="E59" s="20">
        <f>_xlfn.XLOOKUP(tbl_FACTS[[#This Row],[OrderID]],Πίνακας64[OrderID],Πίνακας64[OrderDate])</f>
        <v>35277</v>
      </c>
      <c r="F59">
        <f>_xlfn.XLOOKUP(tbl_FACTS[[#This Row],[OrderID]],Πίνακας64[OrderID],Πίνακας64[CustomerID])</f>
        <v>89</v>
      </c>
      <c r="G59" t="str">
        <f>_xlfn.XLOOKUP(tbl_FACTS[[#This Row],[CustomerID]],Πίνακας1[CustomerID],Πίνακας1[CustomerName])</f>
        <v>White Clover Markets</v>
      </c>
      <c r="H59" t="str">
        <f>_xlfn.XLOOKUP(tbl_FACTS[[#This Row],[CustomerID]],Πίνακας1[CustomerID],Πίνακας1[Country])</f>
        <v>USA</v>
      </c>
      <c r="I59">
        <f>_xlfn.XLOOKUP(tbl_FACTS[[#This Row],[OrderID]],Πίνακας64[OrderID],Πίνακας64[EmployeeID])</f>
        <v>5</v>
      </c>
      <c r="J59">
        <f>_xlfn.XLOOKUP(tbl_FACTS[[#This Row],[OrderID]],Πίνακας64[OrderID],Πίνακας64[ShipperID])</f>
        <v>1</v>
      </c>
      <c r="K59" t="str">
        <f>_xlfn.XLOOKUP(tbl_FACTS[[#This Row],[ShipperID]],Πίνακας8[ShipperID],Πίνακας8[ShipperName])</f>
        <v>Speedy Express</v>
      </c>
      <c r="L59" t="str">
        <f>_xlfn.XLOOKUP(tbl_FACTS[[#This Row],[ProductID]],Πίνακας7[ProductID],Πίνακας7[ProductName])</f>
        <v>Geitost</v>
      </c>
      <c r="M59">
        <f>_xlfn.XLOOKUP(tbl_FACTS[[#This Row],[ProductID]],Πίνακας7[ProductID],Πίνακας7[CategoryID])</f>
        <v>4</v>
      </c>
      <c r="N59" t="str">
        <f>_xlfn.XLOOKUP(tbl_FACTS[[#This Row],[CategoryID]],Πίνακας4[CategoryID],Πίνακας4[CategoryName])</f>
        <v>Dairy Products</v>
      </c>
      <c r="O59">
        <f>_xlfn.XLOOKUP(tbl_FACTS[[#This Row],[ProductID]],Πίνακας7[ProductID],Πίνακας7[SupplierID])</f>
        <v>15</v>
      </c>
      <c r="P59" t="str">
        <f>_xlfn.XLOOKUP(tbl_FACTS[[#This Row],[SupplierID]],Πίνακας9[SupplierID],Πίνακας9[SupplierName])</f>
        <v>Norske Meierier</v>
      </c>
      <c r="Q59" s="21">
        <f>_xlfn.XLOOKUP(tbl_FACTS[[#This Row],[ProductID]],Πίνακας7[ProductID],Πίνακας7[Price])</f>
        <v>3</v>
      </c>
      <c r="R59" s="21">
        <f>tbl_FACTS[[#This Row],[Quantity]]*tbl_FACTS[[#This Row],[Price]]</f>
        <v>180</v>
      </c>
      <c r="S59" s="19">
        <f>IF(COUNTIFS(tbl_FACTS[OrderID],tbl_FACTS[[#This Row],[OrderID]],tbl_FACTS[OrderDetailID],"&lt;"&amp;tbl_FACTS[[#This Row],[OrderDetailID]])=0,1,0)</f>
        <v>1</v>
      </c>
      <c r="T59" s="19">
        <f>YEAR(tbl_FACTS[[#This Row],[OrderDate]])</f>
        <v>1996</v>
      </c>
      <c r="U59" s="22">
        <f>DATE(YEAR(tbl_FACTS[[#This Row],[OrderDate]]),MONTH(tbl_FACTS[[#This Row],[OrderDate]]),1)</f>
        <v>35247</v>
      </c>
      <c r="V59" s="22" t="str">
        <f>IF(tbl_FACTS[[#This Row],[Quantity]]&lt;=10,"0–10",IF(tbl_FACTS[[#This Row],[Quantity]]&lt;=20,"11–20",IF(tbl_FACTS[[#This Row],[Quantity]]&lt;=30,"21–30",IF(tbl_FACTS[[#This Row],[Quantity]]&lt;=40,"31–40",IF(tbl_FACTS[[#This Row],[Quantity]]&lt;=50,"41–50","51+")))))</f>
        <v>51+</v>
      </c>
    </row>
    <row r="60" spans="1:22">
      <c r="A60">
        <v>59</v>
      </c>
      <c r="B60">
        <v>10269</v>
      </c>
      <c r="C60">
        <v>72</v>
      </c>
      <c r="D60" s="19">
        <v>20</v>
      </c>
      <c r="E60" s="20">
        <f>_xlfn.XLOOKUP(tbl_FACTS[[#This Row],[OrderID]],Πίνακας64[OrderID],Πίνακας64[OrderDate])</f>
        <v>35277</v>
      </c>
      <c r="F60">
        <f>_xlfn.XLOOKUP(tbl_FACTS[[#This Row],[OrderID]],Πίνακας64[OrderID],Πίνακας64[CustomerID])</f>
        <v>89</v>
      </c>
      <c r="G60" t="str">
        <f>_xlfn.XLOOKUP(tbl_FACTS[[#This Row],[CustomerID]],Πίνακας1[CustomerID],Πίνακας1[CustomerName])</f>
        <v>White Clover Markets</v>
      </c>
      <c r="H60" t="str">
        <f>_xlfn.XLOOKUP(tbl_FACTS[[#This Row],[CustomerID]],Πίνακας1[CustomerID],Πίνακας1[Country])</f>
        <v>USA</v>
      </c>
      <c r="I60">
        <f>_xlfn.XLOOKUP(tbl_FACTS[[#This Row],[OrderID]],Πίνακας64[OrderID],Πίνακας64[EmployeeID])</f>
        <v>5</v>
      </c>
      <c r="J60">
        <f>_xlfn.XLOOKUP(tbl_FACTS[[#This Row],[OrderID]],Πίνακας64[OrderID],Πίνακας64[ShipperID])</f>
        <v>1</v>
      </c>
      <c r="K60" t="str">
        <f>_xlfn.XLOOKUP(tbl_FACTS[[#This Row],[ShipperID]],Πίνακας8[ShipperID],Πίνακας8[ShipperName])</f>
        <v>Speedy Express</v>
      </c>
      <c r="L60" t="str">
        <f>_xlfn.XLOOKUP(tbl_FACTS[[#This Row],[ProductID]],Πίνακας7[ProductID],Πίνακας7[ProductName])</f>
        <v>Mozzarella di Giovanni</v>
      </c>
      <c r="M60">
        <f>_xlfn.XLOOKUP(tbl_FACTS[[#This Row],[ProductID]],Πίνακας7[ProductID],Πίνακας7[CategoryID])</f>
        <v>4</v>
      </c>
      <c r="N60" t="str">
        <f>_xlfn.XLOOKUP(tbl_FACTS[[#This Row],[CategoryID]],Πίνακας4[CategoryID],Πίνακας4[CategoryName])</f>
        <v>Dairy Products</v>
      </c>
      <c r="O60">
        <f>_xlfn.XLOOKUP(tbl_FACTS[[#This Row],[ProductID]],Πίνακας7[ProductID],Πίνακας7[SupplierID])</f>
        <v>14</v>
      </c>
      <c r="P60" t="str">
        <f>_xlfn.XLOOKUP(tbl_FACTS[[#This Row],[SupplierID]],Πίνακας9[SupplierID],Πίνακας9[SupplierName])</f>
        <v>Formaggi Fortini s.r.l.</v>
      </c>
      <c r="Q60" s="21">
        <f>_xlfn.XLOOKUP(tbl_FACTS[[#This Row],[ProductID]],Πίνακας7[ProductID],Πίνακας7[Price])</f>
        <v>35</v>
      </c>
      <c r="R60" s="21">
        <f>tbl_FACTS[[#This Row],[Quantity]]*tbl_FACTS[[#This Row],[Price]]</f>
        <v>700</v>
      </c>
      <c r="S60" s="19">
        <f>IF(COUNTIFS(tbl_FACTS[OrderID],tbl_FACTS[[#This Row],[OrderID]],tbl_FACTS[OrderDetailID],"&lt;"&amp;tbl_FACTS[[#This Row],[OrderDetailID]])=0,1,0)</f>
        <v>0</v>
      </c>
      <c r="T60" s="19">
        <f>YEAR(tbl_FACTS[[#This Row],[OrderDate]])</f>
        <v>1996</v>
      </c>
      <c r="U60" s="22">
        <f>DATE(YEAR(tbl_FACTS[[#This Row],[OrderDate]]),MONTH(tbl_FACTS[[#This Row],[OrderDate]]),1)</f>
        <v>35247</v>
      </c>
      <c r="V60" s="22" t="str">
        <f>IF(tbl_FACTS[[#This Row],[Quantity]]&lt;=10,"0–10",IF(tbl_FACTS[[#This Row],[Quantity]]&lt;=20,"11–20",IF(tbl_FACTS[[#This Row],[Quantity]]&lt;=30,"21–30",IF(tbl_FACTS[[#This Row],[Quantity]]&lt;=40,"31–40",IF(tbl_FACTS[[#This Row],[Quantity]]&lt;=50,"41–50","51+")))))</f>
        <v>11–20</v>
      </c>
    </row>
    <row r="61" spans="1:22">
      <c r="A61">
        <v>60</v>
      </c>
      <c r="B61">
        <v>10270</v>
      </c>
      <c r="C61">
        <v>36</v>
      </c>
      <c r="D61" s="19">
        <v>30</v>
      </c>
      <c r="E61" s="20">
        <f>_xlfn.XLOOKUP(tbl_FACTS[[#This Row],[OrderID]],Πίνακας64[OrderID],Πίνακας64[OrderDate])</f>
        <v>35278</v>
      </c>
      <c r="F61">
        <f>_xlfn.XLOOKUP(tbl_FACTS[[#This Row],[OrderID]],Πίνακας64[OrderID],Πίνακας64[CustomerID])</f>
        <v>87</v>
      </c>
      <c r="G61" t="str">
        <f>_xlfn.XLOOKUP(tbl_FACTS[[#This Row],[CustomerID]],Πίνακας1[CustomerID],Πίνακας1[CustomerName])</f>
        <v>Wartian Herkku</v>
      </c>
      <c r="H61" t="str">
        <f>_xlfn.XLOOKUP(tbl_FACTS[[#This Row],[CustomerID]],Πίνακας1[CustomerID],Πίνακας1[Country])</f>
        <v>Finland</v>
      </c>
      <c r="I61">
        <f>_xlfn.XLOOKUP(tbl_FACTS[[#This Row],[OrderID]],Πίνακας64[OrderID],Πίνακας64[EmployeeID])</f>
        <v>1</v>
      </c>
      <c r="J61">
        <f>_xlfn.XLOOKUP(tbl_FACTS[[#This Row],[OrderID]],Πίνακας64[OrderID],Πίνακας64[ShipperID])</f>
        <v>1</v>
      </c>
      <c r="K61" t="str">
        <f>_xlfn.XLOOKUP(tbl_FACTS[[#This Row],[ShipperID]],Πίνακας8[ShipperID],Πίνακας8[ShipperName])</f>
        <v>Speedy Express</v>
      </c>
      <c r="L61" t="str">
        <f>_xlfn.XLOOKUP(tbl_FACTS[[#This Row],[ProductID]],Πίνακας7[ProductID],Πίνακας7[ProductName])</f>
        <v>Inlagd Sill</v>
      </c>
      <c r="M61">
        <f>_xlfn.XLOOKUP(tbl_FACTS[[#This Row],[ProductID]],Πίνακας7[ProductID],Πίνακας7[CategoryID])</f>
        <v>8</v>
      </c>
      <c r="N61" t="str">
        <f>_xlfn.XLOOKUP(tbl_FACTS[[#This Row],[CategoryID]],Πίνακας4[CategoryID],Πίνακας4[CategoryName])</f>
        <v>Seafood</v>
      </c>
      <c r="O61">
        <f>_xlfn.XLOOKUP(tbl_FACTS[[#This Row],[ProductID]],Πίνακας7[ProductID],Πίνακας7[SupplierID])</f>
        <v>17</v>
      </c>
      <c r="P61" t="str">
        <f>_xlfn.XLOOKUP(tbl_FACTS[[#This Row],[SupplierID]],Πίνακας9[SupplierID],Πίνακας9[SupplierName])</f>
        <v>Svensk Sjofoda AB</v>
      </c>
      <c r="Q61" s="21">
        <f>_xlfn.XLOOKUP(tbl_FACTS[[#This Row],[ProductID]],Πίνακας7[ProductID],Πίνακας7[Price])</f>
        <v>19</v>
      </c>
      <c r="R61" s="21">
        <f>tbl_FACTS[[#This Row],[Quantity]]*tbl_FACTS[[#This Row],[Price]]</f>
        <v>570</v>
      </c>
      <c r="S61" s="19">
        <f>IF(COUNTIFS(tbl_FACTS[OrderID],tbl_FACTS[[#This Row],[OrderID]],tbl_FACTS[OrderDetailID],"&lt;"&amp;tbl_FACTS[[#This Row],[OrderDetailID]])=0,1,0)</f>
        <v>1</v>
      </c>
      <c r="T61" s="19">
        <f>YEAR(tbl_FACTS[[#This Row],[OrderDate]])</f>
        <v>1996</v>
      </c>
      <c r="U61" s="22">
        <f>DATE(YEAR(tbl_FACTS[[#This Row],[OrderDate]]),MONTH(tbl_FACTS[[#This Row],[OrderDate]]),1)</f>
        <v>35278</v>
      </c>
      <c r="V61" s="22" t="str">
        <f>IF(tbl_FACTS[[#This Row],[Quantity]]&lt;=10,"0–10",IF(tbl_FACTS[[#This Row],[Quantity]]&lt;=20,"11–20",IF(tbl_FACTS[[#This Row],[Quantity]]&lt;=30,"21–30",IF(tbl_FACTS[[#This Row],[Quantity]]&lt;=40,"31–40",IF(tbl_FACTS[[#This Row],[Quantity]]&lt;=50,"41–50","51+")))))</f>
        <v>21–30</v>
      </c>
    </row>
    <row r="62" spans="1:22">
      <c r="A62">
        <v>61</v>
      </c>
      <c r="B62">
        <v>10270</v>
      </c>
      <c r="C62">
        <v>43</v>
      </c>
      <c r="D62" s="19">
        <v>25</v>
      </c>
      <c r="E62" s="20">
        <f>_xlfn.XLOOKUP(tbl_FACTS[[#This Row],[OrderID]],Πίνακας64[OrderID],Πίνακας64[OrderDate])</f>
        <v>35278</v>
      </c>
      <c r="F62">
        <f>_xlfn.XLOOKUP(tbl_FACTS[[#This Row],[OrderID]],Πίνακας64[OrderID],Πίνακας64[CustomerID])</f>
        <v>87</v>
      </c>
      <c r="G62" t="str">
        <f>_xlfn.XLOOKUP(tbl_FACTS[[#This Row],[CustomerID]],Πίνακας1[CustomerID],Πίνακας1[CustomerName])</f>
        <v>Wartian Herkku</v>
      </c>
      <c r="H62" t="str">
        <f>_xlfn.XLOOKUP(tbl_FACTS[[#This Row],[CustomerID]],Πίνακας1[CustomerID],Πίνακας1[Country])</f>
        <v>Finland</v>
      </c>
      <c r="I62">
        <f>_xlfn.XLOOKUP(tbl_FACTS[[#This Row],[OrderID]],Πίνακας64[OrderID],Πίνακας64[EmployeeID])</f>
        <v>1</v>
      </c>
      <c r="J62">
        <f>_xlfn.XLOOKUP(tbl_FACTS[[#This Row],[OrderID]],Πίνακας64[OrderID],Πίνακας64[ShipperID])</f>
        <v>1</v>
      </c>
      <c r="K62" t="str">
        <f>_xlfn.XLOOKUP(tbl_FACTS[[#This Row],[ShipperID]],Πίνακας8[ShipperID],Πίνακας8[ShipperName])</f>
        <v>Speedy Express</v>
      </c>
      <c r="L62" t="str">
        <f>_xlfn.XLOOKUP(tbl_FACTS[[#This Row],[ProductID]],Πίνακας7[ProductID],Πίνακας7[ProductName])</f>
        <v>Ipoh Coffee</v>
      </c>
      <c r="M62">
        <f>_xlfn.XLOOKUP(tbl_FACTS[[#This Row],[ProductID]],Πίνακας7[ProductID],Πίνακας7[CategoryID])</f>
        <v>1</v>
      </c>
      <c r="N62" t="str">
        <f>_xlfn.XLOOKUP(tbl_FACTS[[#This Row],[CategoryID]],Πίνακας4[CategoryID],Πίνακας4[CategoryName])</f>
        <v>Beverages</v>
      </c>
      <c r="O62">
        <f>_xlfn.XLOOKUP(tbl_FACTS[[#This Row],[ProductID]],Πίνακας7[ProductID],Πίνακας7[SupplierID])</f>
        <v>20</v>
      </c>
      <c r="P62" t="str">
        <f>_xlfn.XLOOKUP(tbl_FACTS[[#This Row],[SupplierID]],Πίνακας9[SupplierID],Πίνακας9[SupplierName])</f>
        <v>Leka Trading</v>
      </c>
      <c r="Q62" s="21">
        <f>_xlfn.XLOOKUP(tbl_FACTS[[#This Row],[ProductID]],Πίνακας7[ProductID],Πίνακας7[Price])</f>
        <v>46</v>
      </c>
      <c r="R62" s="21">
        <f>tbl_FACTS[[#This Row],[Quantity]]*tbl_FACTS[[#This Row],[Price]]</f>
        <v>1150</v>
      </c>
      <c r="S62" s="19">
        <f>IF(COUNTIFS(tbl_FACTS[OrderID],tbl_FACTS[[#This Row],[OrderID]],tbl_FACTS[OrderDetailID],"&lt;"&amp;tbl_FACTS[[#This Row],[OrderDetailID]])=0,1,0)</f>
        <v>0</v>
      </c>
      <c r="T62" s="19">
        <f>YEAR(tbl_FACTS[[#This Row],[OrderDate]])</f>
        <v>1996</v>
      </c>
      <c r="U62" s="22">
        <f>DATE(YEAR(tbl_FACTS[[#This Row],[OrderDate]]),MONTH(tbl_FACTS[[#This Row],[OrderDate]]),1)</f>
        <v>35278</v>
      </c>
      <c r="V62" s="22" t="str">
        <f>IF(tbl_FACTS[[#This Row],[Quantity]]&lt;=10,"0–10",IF(tbl_FACTS[[#This Row],[Quantity]]&lt;=20,"11–20",IF(tbl_FACTS[[#This Row],[Quantity]]&lt;=30,"21–30",IF(tbl_FACTS[[#This Row],[Quantity]]&lt;=40,"31–40",IF(tbl_FACTS[[#This Row],[Quantity]]&lt;=50,"41–50","51+")))))</f>
        <v>21–30</v>
      </c>
    </row>
    <row r="63" spans="1:22">
      <c r="A63">
        <v>62</v>
      </c>
      <c r="B63">
        <v>10271</v>
      </c>
      <c r="C63">
        <v>33</v>
      </c>
      <c r="D63" s="19">
        <v>24</v>
      </c>
      <c r="E63" s="20">
        <f>_xlfn.XLOOKUP(tbl_FACTS[[#This Row],[OrderID]],Πίνακας64[OrderID],Πίνακας64[OrderDate])</f>
        <v>35278</v>
      </c>
      <c r="F63">
        <f>_xlfn.XLOOKUP(tbl_FACTS[[#This Row],[OrderID]],Πίνακας64[OrderID],Πίνακας64[CustomerID])</f>
        <v>75</v>
      </c>
      <c r="G63" t="str">
        <f>_xlfn.XLOOKUP(tbl_FACTS[[#This Row],[CustomerID]],Πίνακας1[CustomerID],Πίνακας1[CustomerName])</f>
        <v>Split Rail Beer &amp; Ale</v>
      </c>
      <c r="H63" t="str">
        <f>_xlfn.XLOOKUP(tbl_FACTS[[#This Row],[CustomerID]],Πίνακας1[CustomerID],Πίνακας1[Country])</f>
        <v>USA</v>
      </c>
      <c r="I63">
        <f>_xlfn.XLOOKUP(tbl_FACTS[[#This Row],[OrderID]],Πίνακας64[OrderID],Πίνακας64[EmployeeID])</f>
        <v>6</v>
      </c>
      <c r="J63">
        <f>_xlfn.XLOOKUP(tbl_FACTS[[#This Row],[OrderID]],Πίνακας64[OrderID],Πίνακας64[ShipperID])</f>
        <v>2</v>
      </c>
      <c r="K63" t="str">
        <f>_xlfn.XLOOKUP(tbl_FACTS[[#This Row],[ShipperID]],Πίνακας8[ShipperID],Πίνακας8[ShipperName])</f>
        <v>United Package</v>
      </c>
      <c r="L63" t="str">
        <f>_xlfn.XLOOKUP(tbl_FACTS[[#This Row],[ProductID]],Πίνακας7[ProductID],Πίνακας7[ProductName])</f>
        <v>Geitost</v>
      </c>
      <c r="M63">
        <f>_xlfn.XLOOKUP(tbl_FACTS[[#This Row],[ProductID]],Πίνακας7[ProductID],Πίνακας7[CategoryID])</f>
        <v>4</v>
      </c>
      <c r="N63" t="str">
        <f>_xlfn.XLOOKUP(tbl_FACTS[[#This Row],[CategoryID]],Πίνακας4[CategoryID],Πίνακας4[CategoryName])</f>
        <v>Dairy Products</v>
      </c>
      <c r="O63">
        <f>_xlfn.XLOOKUP(tbl_FACTS[[#This Row],[ProductID]],Πίνακας7[ProductID],Πίνακας7[SupplierID])</f>
        <v>15</v>
      </c>
      <c r="P63" t="str">
        <f>_xlfn.XLOOKUP(tbl_FACTS[[#This Row],[SupplierID]],Πίνακας9[SupplierID],Πίνακας9[SupplierName])</f>
        <v>Norske Meierier</v>
      </c>
      <c r="Q63" s="21">
        <f>_xlfn.XLOOKUP(tbl_FACTS[[#This Row],[ProductID]],Πίνακας7[ProductID],Πίνακας7[Price])</f>
        <v>3</v>
      </c>
      <c r="R63" s="21">
        <f>tbl_FACTS[[#This Row],[Quantity]]*tbl_FACTS[[#This Row],[Price]]</f>
        <v>72</v>
      </c>
      <c r="S63" s="19">
        <f>IF(COUNTIFS(tbl_FACTS[OrderID],tbl_FACTS[[#This Row],[OrderID]],tbl_FACTS[OrderDetailID],"&lt;"&amp;tbl_FACTS[[#This Row],[OrderDetailID]])=0,1,0)</f>
        <v>1</v>
      </c>
      <c r="T63" s="19">
        <f>YEAR(tbl_FACTS[[#This Row],[OrderDate]])</f>
        <v>1996</v>
      </c>
      <c r="U63" s="22">
        <f>DATE(YEAR(tbl_FACTS[[#This Row],[OrderDate]]),MONTH(tbl_FACTS[[#This Row],[OrderDate]]),1)</f>
        <v>35278</v>
      </c>
      <c r="V63" s="22" t="str">
        <f>IF(tbl_FACTS[[#This Row],[Quantity]]&lt;=10,"0–10",IF(tbl_FACTS[[#This Row],[Quantity]]&lt;=20,"11–20",IF(tbl_FACTS[[#This Row],[Quantity]]&lt;=30,"21–30",IF(tbl_FACTS[[#This Row],[Quantity]]&lt;=40,"31–40",IF(tbl_FACTS[[#This Row],[Quantity]]&lt;=50,"41–50","51+")))))</f>
        <v>21–30</v>
      </c>
    </row>
    <row r="64" spans="1:22">
      <c r="A64">
        <v>63</v>
      </c>
      <c r="B64">
        <v>10272</v>
      </c>
      <c r="C64">
        <v>20</v>
      </c>
      <c r="D64" s="19">
        <v>6</v>
      </c>
      <c r="E64" s="20">
        <f>_xlfn.XLOOKUP(tbl_FACTS[[#This Row],[OrderID]],Πίνακας64[OrderID],Πίνακας64[OrderDate])</f>
        <v>35279</v>
      </c>
      <c r="F64">
        <f>_xlfn.XLOOKUP(tbl_FACTS[[#This Row],[OrderID]],Πίνακας64[OrderID],Πίνακας64[CustomerID])</f>
        <v>65</v>
      </c>
      <c r="G64" t="str">
        <f>_xlfn.XLOOKUP(tbl_FACTS[[#This Row],[CustomerID]],Πίνακας1[CustomerID],Πίνακας1[CustomerName])</f>
        <v>Rattlesnake Canyon Grocery</v>
      </c>
      <c r="H64" t="str">
        <f>_xlfn.XLOOKUP(tbl_FACTS[[#This Row],[CustomerID]],Πίνακας1[CustomerID],Πίνακας1[Country])</f>
        <v>USA</v>
      </c>
      <c r="I64">
        <f>_xlfn.XLOOKUP(tbl_FACTS[[#This Row],[OrderID]],Πίνακας64[OrderID],Πίνακας64[EmployeeID])</f>
        <v>6</v>
      </c>
      <c r="J64">
        <f>_xlfn.XLOOKUP(tbl_FACTS[[#This Row],[OrderID]],Πίνακας64[OrderID],Πίνακας64[ShipperID])</f>
        <v>2</v>
      </c>
      <c r="K64" t="str">
        <f>_xlfn.XLOOKUP(tbl_FACTS[[#This Row],[ShipperID]],Πίνακας8[ShipperID],Πίνακας8[ShipperName])</f>
        <v>United Package</v>
      </c>
      <c r="L64" t="str">
        <f>_xlfn.XLOOKUP(tbl_FACTS[[#This Row],[ProductID]],Πίνακας7[ProductID],Πίνακας7[ProductName])</f>
        <v>Sir Rodney's Marmalade</v>
      </c>
      <c r="M64">
        <f>_xlfn.XLOOKUP(tbl_FACTS[[#This Row],[ProductID]],Πίνακας7[ProductID],Πίνακας7[CategoryID])</f>
        <v>3</v>
      </c>
      <c r="N64" t="str">
        <f>_xlfn.XLOOKUP(tbl_FACTS[[#This Row],[CategoryID]],Πίνακας4[CategoryID],Πίνακας4[CategoryName])</f>
        <v>Confections</v>
      </c>
      <c r="O64">
        <f>_xlfn.XLOOKUP(tbl_FACTS[[#This Row],[ProductID]],Πίνακας7[ProductID],Πίνακας7[SupplierID])</f>
        <v>8</v>
      </c>
      <c r="P64" t="str">
        <f>_xlfn.XLOOKUP(tbl_FACTS[[#This Row],[SupplierID]],Πίνακας9[SupplierID],Πίνακας9[SupplierName])</f>
        <v>Specialty Biscuits, Ltd.</v>
      </c>
      <c r="Q64" s="21">
        <f>_xlfn.XLOOKUP(tbl_FACTS[[#This Row],[ProductID]],Πίνακας7[ProductID],Πίνακας7[Price])</f>
        <v>81</v>
      </c>
      <c r="R64" s="21">
        <f>tbl_FACTS[[#This Row],[Quantity]]*tbl_FACTS[[#This Row],[Price]]</f>
        <v>486</v>
      </c>
      <c r="S64" s="19">
        <f>IF(COUNTIFS(tbl_FACTS[OrderID],tbl_FACTS[[#This Row],[OrderID]],tbl_FACTS[OrderDetailID],"&lt;"&amp;tbl_FACTS[[#This Row],[OrderDetailID]])=0,1,0)</f>
        <v>1</v>
      </c>
      <c r="T64" s="19">
        <f>YEAR(tbl_FACTS[[#This Row],[OrderDate]])</f>
        <v>1996</v>
      </c>
      <c r="U64" s="22">
        <f>DATE(YEAR(tbl_FACTS[[#This Row],[OrderDate]]),MONTH(tbl_FACTS[[#This Row],[OrderDate]]),1)</f>
        <v>35278</v>
      </c>
      <c r="V64" s="22" t="str">
        <f>IF(tbl_FACTS[[#This Row],[Quantity]]&lt;=10,"0–10",IF(tbl_FACTS[[#This Row],[Quantity]]&lt;=20,"11–20",IF(tbl_FACTS[[#This Row],[Quantity]]&lt;=30,"21–30",IF(tbl_FACTS[[#This Row],[Quantity]]&lt;=40,"31–40",IF(tbl_FACTS[[#This Row],[Quantity]]&lt;=50,"41–50","51+")))))</f>
        <v>0–10</v>
      </c>
    </row>
    <row r="65" spans="1:22">
      <c r="A65">
        <v>64</v>
      </c>
      <c r="B65">
        <v>10272</v>
      </c>
      <c r="C65">
        <v>31</v>
      </c>
      <c r="D65" s="19">
        <v>40</v>
      </c>
      <c r="E65" s="20">
        <f>_xlfn.XLOOKUP(tbl_FACTS[[#This Row],[OrderID]],Πίνακας64[OrderID],Πίνακας64[OrderDate])</f>
        <v>35279</v>
      </c>
      <c r="F65">
        <f>_xlfn.XLOOKUP(tbl_FACTS[[#This Row],[OrderID]],Πίνακας64[OrderID],Πίνακας64[CustomerID])</f>
        <v>65</v>
      </c>
      <c r="G65" t="str">
        <f>_xlfn.XLOOKUP(tbl_FACTS[[#This Row],[CustomerID]],Πίνακας1[CustomerID],Πίνακας1[CustomerName])</f>
        <v>Rattlesnake Canyon Grocery</v>
      </c>
      <c r="H65" t="str">
        <f>_xlfn.XLOOKUP(tbl_FACTS[[#This Row],[CustomerID]],Πίνακας1[CustomerID],Πίνακας1[Country])</f>
        <v>USA</v>
      </c>
      <c r="I65">
        <f>_xlfn.XLOOKUP(tbl_FACTS[[#This Row],[OrderID]],Πίνακας64[OrderID],Πίνακας64[EmployeeID])</f>
        <v>6</v>
      </c>
      <c r="J65">
        <f>_xlfn.XLOOKUP(tbl_FACTS[[#This Row],[OrderID]],Πίνακας64[OrderID],Πίνακας64[ShipperID])</f>
        <v>2</v>
      </c>
      <c r="K65" t="str">
        <f>_xlfn.XLOOKUP(tbl_FACTS[[#This Row],[ShipperID]],Πίνακας8[ShipperID],Πίνακας8[ShipperName])</f>
        <v>United Package</v>
      </c>
      <c r="L65" t="str">
        <f>_xlfn.XLOOKUP(tbl_FACTS[[#This Row],[ProductID]],Πίνακας7[ProductID],Πίνακας7[ProductName])</f>
        <v>Gorgonzola Telino</v>
      </c>
      <c r="M65">
        <f>_xlfn.XLOOKUP(tbl_FACTS[[#This Row],[ProductID]],Πίνακας7[ProductID],Πίνακας7[CategoryID])</f>
        <v>4</v>
      </c>
      <c r="N65" t="str">
        <f>_xlfn.XLOOKUP(tbl_FACTS[[#This Row],[CategoryID]],Πίνακας4[CategoryID],Πίνακας4[CategoryName])</f>
        <v>Dairy Products</v>
      </c>
      <c r="O65">
        <f>_xlfn.XLOOKUP(tbl_FACTS[[#This Row],[ProductID]],Πίνακας7[ProductID],Πίνακας7[SupplierID])</f>
        <v>14</v>
      </c>
      <c r="P65" t="str">
        <f>_xlfn.XLOOKUP(tbl_FACTS[[#This Row],[SupplierID]],Πίνακας9[SupplierID],Πίνακας9[SupplierName])</f>
        <v>Formaggi Fortini s.r.l.</v>
      </c>
      <c r="Q65" s="21">
        <f>_xlfn.XLOOKUP(tbl_FACTS[[#This Row],[ProductID]],Πίνακας7[ProductID],Πίνακας7[Price])</f>
        <v>13</v>
      </c>
      <c r="R65" s="21">
        <f>tbl_FACTS[[#This Row],[Quantity]]*tbl_FACTS[[#This Row],[Price]]</f>
        <v>520</v>
      </c>
      <c r="S65" s="19">
        <f>IF(COUNTIFS(tbl_FACTS[OrderID],tbl_FACTS[[#This Row],[OrderID]],tbl_FACTS[OrderDetailID],"&lt;"&amp;tbl_FACTS[[#This Row],[OrderDetailID]])=0,1,0)</f>
        <v>0</v>
      </c>
      <c r="T65" s="19">
        <f>YEAR(tbl_FACTS[[#This Row],[OrderDate]])</f>
        <v>1996</v>
      </c>
      <c r="U65" s="22">
        <f>DATE(YEAR(tbl_FACTS[[#This Row],[OrderDate]]),MONTH(tbl_FACTS[[#This Row],[OrderDate]]),1)</f>
        <v>35278</v>
      </c>
      <c r="V65" s="22" t="str">
        <f>IF(tbl_FACTS[[#This Row],[Quantity]]&lt;=10,"0–10",IF(tbl_FACTS[[#This Row],[Quantity]]&lt;=20,"11–20",IF(tbl_FACTS[[#This Row],[Quantity]]&lt;=30,"21–30",IF(tbl_FACTS[[#This Row],[Quantity]]&lt;=40,"31–40",IF(tbl_FACTS[[#This Row],[Quantity]]&lt;=50,"41–50","51+")))))</f>
        <v>31–40</v>
      </c>
    </row>
    <row r="66" spans="1:22">
      <c r="A66">
        <v>65</v>
      </c>
      <c r="B66">
        <v>10272</v>
      </c>
      <c r="C66">
        <v>72</v>
      </c>
      <c r="D66" s="19">
        <v>24</v>
      </c>
      <c r="E66" s="20">
        <f>_xlfn.XLOOKUP(tbl_FACTS[[#This Row],[OrderID]],Πίνακας64[OrderID],Πίνακας64[OrderDate])</f>
        <v>35279</v>
      </c>
      <c r="F66">
        <f>_xlfn.XLOOKUP(tbl_FACTS[[#This Row],[OrderID]],Πίνακας64[OrderID],Πίνακας64[CustomerID])</f>
        <v>65</v>
      </c>
      <c r="G66" t="str">
        <f>_xlfn.XLOOKUP(tbl_FACTS[[#This Row],[CustomerID]],Πίνακας1[CustomerID],Πίνακας1[CustomerName])</f>
        <v>Rattlesnake Canyon Grocery</v>
      </c>
      <c r="H66" t="str">
        <f>_xlfn.XLOOKUP(tbl_FACTS[[#This Row],[CustomerID]],Πίνακας1[CustomerID],Πίνακας1[Country])</f>
        <v>USA</v>
      </c>
      <c r="I66">
        <f>_xlfn.XLOOKUP(tbl_FACTS[[#This Row],[OrderID]],Πίνακας64[OrderID],Πίνακας64[EmployeeID])</f>
        <v>6</v>
      </c>
      <c r="J66">
        <f>_xlfn.XLOOKUP(tbl_FACTS[[#This Row],[OrderID]],Πίνακας64[OrderID],Πίνακας64[ShipperID])</f>
        <v>2</v>
      </c>
      <c r="K66" t="str">
        <f>_xlfn.XLOOKUP(tbl_FACTS[[#This Row],[ShipperID]],Πίνακας8[ShipperID],Πίνακας8[ShipperName])</f>
        <v>United Package</v>
      </c>
      <c r="L66" t="str">
        <f>_xlfn.XLOOKUP(tbl_FACTS[[#This Row],[ProductID]],Πίνακας7[ProductID],Πίνακας7[ProductName])</f>
        <v>Mozzarella di Giovanni</v>
      </c>
      <c r="M66">
        <f>_xlfn.XLOOKUP(tbl_FACTS[[#This Row],[ProductID]],Πίνακας7[ProductID],Πίνακας7[CategoryID])</f>
        <v>4</v>
      </c>
      <c r="N66" t="str">
        <f>_xlfn.XLOOKUP(tbl_FACTS[[#This Row],[CategoryID]],Πίνακας4[CategoryID],Πίνακας4[CategoryName])</f>
        <v>Dairy Products</v>
      </c>
      <c r="O66">
        <f>_xlfn.XLOOKUP(tbl_FACTS[[#This Row],[ProductID]],Πίνακας7[ProductID],Πίνακας7[SupplierID])</f>
        <v>14</v>
      </c>
      <c r="P66" t="str">
        <f>_xlfn.XLOOKUP(tbl_FACTS[[#This Row],[SupplierID]],Πίνακας9[SupplierID],Πίνακας9[SupplierName])</f>
        <v>Formaggi Fortini s.r.l.</v>
      </c>
      <c r="Q66" s="21">
        <f>_xlfn.XLOOKUP(tbl_FACTS[[#This Row],[ProductID]],Πίνακας7[ProductID],Πίνακας7[Price])</f>
        <v>35</v>
      </c>
      <c r="R66" s="21">
        <f>tbl_FACTS[[#This Row],[Quantity]]*tbl_FACTS[[#This Row],[Price]]</f>
        <v>840</v>
      </c>
      <c r="S66" s="19">
        <f>IF(COUNTIFS(tbl_FACTS[OrderID],tbl_FACTS[[#This Row],[OrderID]],tbl_FACTS[OrderDetailID],"&lt;"&amp;tbl_FACTS[[#This Row],[OrderDetailID]])=0,1,0)</f>
        <v>0</v>
      </c>
      <c r="T66" s="19">
        <f>YEAR(tbl_FACTS[[#This Row],[OrderDate]])</f>
        <v>1996</v>
      </c>
      <c r="U66" s="22">
        <f>DATE(YEAR(tbl_FACTS[[#This Row],[OrderDate]]),MONTH(tbl_FACTS[[#This Row],[OrderDate]]),1)</f>
        <v>35278</v>
      </c>
      <c r="V66" s="22" t="str">
        <f>IF(tbl_FACTS[[#This Row],[Quantity]]&lt;=10,"0–10",IF(tbl_FACTS[[#This Row],[Quantity]]&lt;=20,"11–20",IF(tbl_FACTS[[#This Row],[Quantity]]&lt;=30,"21–30",IF(tbl_FACTS[[#This Row],[Quantity]]&lt;=40,"31–40",IF(tbl_FACTS[[#This Row],[Quantity]]&lt;=50,"41–50","51+")))))</f>
        <v>21–30</v>
      </c>
    </row>
    <row r="67" spans="1:22">
      <c r="A67">
        <v>66</v>
      </c>
      <c r="B67">
        <v>10273</v>
      </c>
      <c r="C67">
        <v>10</v>
      </c>
      <c r="D67" s="19">
        <v>24</v>
      </c>
      <c r="E67" s="20">
        <f>_xlfn.XLOOKUP(tbl_FACTS[[#This Row],[OrderID]],Πίνακας64[OrderID],Πίνακας64[OrderDate])</f>
        <v>35282</v>
      </c>
      <c r="F67">
        <f>_xlfn.XLOOKUP(tbl_FACTS[[#This Row],[OrderID]],Πίνακας64[OrderID],Πίνακας64[CustomerID])</f>
        <v>63</v>
      </c>
      <c r="G67" t="str">
        <f>_xlfn.XLOOKUP(tbl_FACTS[[#This Row],[CustomerID]],Πίνακας1[CustomerID],Πίνακας1[CustomerName])</f>
        <v>QUICK-Stop</v>
      </c>
      <c r="H67" t="str">
        <f>_xlfn.XLOOKUP(tbl_FACTS[[#This Row],[CustomerID]],Πίνακας1[CustomerID],Πίνακας1[Country])</f>
        <v>Germany</v>
      </c>
      <c r="I67">
        <f>_xlfn.XLOOKUP(tbl_FACTS[[#This Row],[OrderID]],Πίνακας64[OrderID],Πίνακας64[EmployeeID])</f>
        <v>3</v>
      </c>
      <c r="J67">
        <f>_xlfn.XLOOKUP(tbl_FACTS[[#This Row],[OrderID]],Πίνακας64[OrderID],Πίνακας64[ShipperID])</f>
        <v>3</v>
      </c>
      <c r="K67" t="str">
        <f>_xlfn.XLOOKUP(tbl_FACTS[[#This Row],[ShipperID]],Πίνακας8[ShipperID],Πίνακας8[ShipperName])</f>
        <v>Federal Shipping</v>
      </c>
      <c r="L67" t="str">
        <f>_xlfn.XLOOKUP(tbl_FACTS[[#This Row],[ProductID]],Πίνακας7[ProductID],Πίνακας7[ProductName])</f>
        <v>Ikura</v>
      </c>
      <c r="M67">
        <f>_xlfn.XLOOKUP(tbl_FACTS[[#This Row],[ProductID]],Πίνακας7[ProductID],Πίνακας7[CategoryID])</f>
        <v>8</v>
      </c>
      <c r="N67" t="str">
        <f>_xlfn.XLOOKUP(tbl_FACTS[[#This Row],[CategoryID]],Πίνακας4[CategoryID],Πίνακας4[CategoryName])</f>
        <v>Seafood</v>
      </c>
      <c r="O67">
        <f>_xlfn.XLOOKUP(tbl_FACTS[[#This Row],[ProductID]],Πίνακας7[ProductID],Πίνακας7[SupplierID])</f>
        <v>4</v>
      </c>
      <c r="P67" t="str">
        <f>_xlfn.XLOOKUP(tbl_FACTS[[#This Row],[SupplierID]],Πίνακας9[SupplierID],Πίνακας9[SupplierName])</f>
        <v>Tokyo Traders</v>
      </c>
      <c r="Q67" s="21">
        <f>_xlfn.XLOOKUP(tbl_FACTS[[#This Row],[ProductID]],Πίνακας7[ProductID],Πίνακας7[Price])</f>
        <v>31</v>
      </c>
      <c r="R67" s="21">
        <f>tbl_FACTS[[#This Row],[Quantity]]*tbl_FACTS[[#This Row],[Price]]</f>
        <v>744</v>
      </c>
      <c r="S67" s="19">
        <f>IF(COUNTIFS(tbl_FACTS[OrderID],tbl_FACTS[[#This Row],[OrderID]],tbl_FACTS[OrderDetailID],"&lt;"&amp;tbl_FACTS[[#This Row],[OrderDetailID]])=0,1,0)</f>
        <v>1</v>
      </c>
      <c r="T67" s="19">
        <f>YEAR(tbl_FACTS[[#This Row],[OrderDate]])</f>
        <v>1996</v>
      </c>
      <c r="U67" s="22">
        <f>DATE(YEAR(tbl_FACTS[[#This Row],[OrderDate]]),MONTH(tbl_FACTS[[#This Row],[OrderDate]]),1)</f>
        <v>35278</v>
      </c>
      <c r="V67" s="22" t="str">
        <f>IF(tbl_FACTS[[#This Row],[Quantity]]&lt;=10,"0–10",IF(tbl_FACTS[[#This Row],[Quantity]]&lt;=20,"11–20",IF(tbl_FACTS[[#This Row],[Quantity]]&lt;=30,"21–30",IF(tbl_FACTS[[#This Row],[Quantity]]&lt;=40,"31–40",IF(tbl_FACTS[[#This Row],[Quantity]]&lt;=50,"41–50","51+")))))</f>
        <v>21–30</v>
      </c>
    </row>
    <row r="68" spans="1:22">
      <c r="A68">
        <v>67</v>
      </c>
      <c r="B68">
        <v>10273</v>
      </c>
      <c r="C68">
        <v>31</v>
      </c>
      <c r="D68" s="19">
        <v>15</v>
      </c>
      <c r="E68" s="20">
        <f>_xlfn.XLOOKUP(tbl_FACTS[[#This Row],[OrderID]],Πίνακας64[OrderID],Πίνακας64[OrderDate])</f>
        <v>35282</v>
      </c>
      <c r="F68">
        <f>_xlfn.XLOOKUP(tbl_FACTS[[#This Row],[OrderID]],Πίνακας64[OrderID],Πίνακας64[CustomerID])</f>
        <v>63</v>
      </c>
      <c r="G68" t="str">
        <f>_xlfn.XLOOKUP(tbl_FACTS[[#This Row],[CustomerID]],Πίνακας1[CustomerID],Πίνακας1[CustomerName])</f>
        <v>QUICK-Stop</v>
      </c>
      <c r="H68" t="str">
        <f>_xlfn.XLOOKUP(tbl_FACTS[[#This Row],[CustomerID]],Πίνακας1[CustomerID],Πίνακας1[Country])</f>
        <v>Germany</v>
      </c>
      <c r="I68">
        <f>_xlfn.XLOOKUP(tbl_FACTS[[#This Row],[OrderID]],Πίνακας64[OrderID],Πίνακας64[EmployeeID])</f>
        <v>3</v>
      </c>
      <c r="J68">
        <f>_xlfn.XLOOKUP(tbl_FACTS[[#This Row],[OrderID]],Πίνακας64[OrderID],Πίνακας64[ShipperID])</f>
        <v>3</v>
      </c>
      <c r="K68" t="str">
        <f>_xlfn.XLOOKUP(tbl_FACTS[[#This Row],[ShipperID]],Πίνακας8[ShipperID],Πίνακας8[ShipperName])</f>
        <v>Federal Shipping</v>
      </c>
      <c r="L68" t="str">
        <f>_xlfn.XLOOKUP(tbl_FACTS[[#This Row],[ProductID]],Πίνακας7[ProductID],Πίνακας7[ProductName])</f>
        <v>Gorgonzola Telino</v>
      </c>
      <c r="M68">
        <f>_xlfn.XLOOKUP(tbl_FACTS[[#This Row],[ProductID]],Πίνακας7[ProductID],Πίνακας7[CategoryID])</f>
        <v>4</v>
      </c>
      <c r="N68" t="str">
        <f>_xlfn.XLOOKUP(tbl_FACTS[[#This Row],[CategoryID]],Πίνακας4[CategoryID],Πίνακας4[CategoryName])</f>
        <v>Dairy Products</v>
      </c>
      <c r="O68">
        <f>_xlfn.XLOOKUP(tbl_FACTS[[#This Row],[ProductID]],Πίνακας7[ProductID],Πίνακας7[SupplierID])</f>
        <v>14</v>
      </c>
      <c r="P68" t="str">
        <f>_xlfn.XLOOKUP(tbl_FACTS[[#This Row],[SupplierID]],Πίνακας9[SupplierID],Πίνακας9[SupplierName])</f>
        <v>Formaggi Fortini s.r.l.</v>
      </c>
      <c r="Q68" s="21">
        <f>_xlfn.XLOOKUP(tbl_FACTS[[#This Row],[ProductID]],Πίνακας7[ProductID],Πίνακας7[Price])</f>
        <v>13</v>
      </c>
      <c r="R68" s="21">
        <f>tbl_FACTS[[#This Row],[Quantity]]*tbl_FACTS[[#This Row],[Price]]</f>
        <v>195</v>
      </c>
      <c r="S68" s="19">
        <f>IF(COUNTIFS(tbl_FACTS[OrderID],tbl_FACTS[[#This Row],[OrderID]],tbl_FACTS[OrderDetailID],"&lt;"&amp;tbl_FACTS[[#This Row],[OrderDetailID]])=0,1,0)</f>
        <v>0</v>
      </c>
      <c r="T68" s="19">
        <f>YEAR(tbl_FACTS[[#This Row],[OrderDate]])</f>
        <v>1996</v>
      </c>
      <c r="U68" s="22">
        <f>DATE(YEAR(tbl_FACTS[[#This Row],[OrderDate]]),MONTH(tbl_FACTS[[#This Row],[OrderDate]]),1)</f>
        <v>35278</v>
      </c>
      <c r="V68" s="22" t="str">
        <f>IF(tbl_FACTS[[#This Row],[Quantity]]&lt;=10,"0–10",IF(tbl_FACTS[[#This Row],[Quantity]]&lt;=20,"11–20",IF(tbl_FACTS[[#This Row],[Quantity]]&lt;=30,"21–30",IF(tbl_FACTS[[#This Row],[Quantity]]&lt;=40,"31–40",IF(tbl_FACTS[[#This Row],[Quantity]]&lt;=50,"41–50","51+")))))</f>
        <v>11–20</v>
      </c>
    </row>
    <row r="69" spans="1:22">
      <c r="A69">
        <v>68</v>
      </c>
      <c r="B69">
        <v>10273</v>
      </c>
      <c r="C69">
        <v>33</v>
      </c>
      <c r="D69" s="19">
        <v>20</v>
      </c>
      <c r="E69" s="20">
        <f>_xlfn.XLOOKUP(tbl_FACTS[[#This Row],[OrderID]],Πίνακας64[OrderID],Πίνακας64[OrderDate])</f>
        <v>35282</v>
      </c>
      <c r="F69">
        <f>_xlfn.XLOOKUP(tbl_FACTS[[#This Row],[OrderID]],Πίνακας64[OrderID],Πίνακας64[CustomerID])</f>
        <v>63</v>
      </c>
      <c r="G69" t="str">
        <f>_xlfn.XLOOKUP(tbl_FACTS[[#This Row],[CustomerID]],Πίνακας1[CustomerID],Πίνακας1[CustomerName])</f>
        <v>QUICK-Stop</v>
      </c>
      <c r="H69" t="str">
        <f>_xlfn.XLOOKUP(tbl_FACTS[[#This Row],[CustomerID]],Πίνακας1[CustomerID],Πίνακας1[Country])</f>
        <v>Germany</v>
      </c>
      <c r="I69">
        <f>_xlfn.XLOOKUP(tbl_FACTS[[#This Row],[OrderID]],Πίνακας64[OrderID],Πίνακας64[EmployeeID])</f>
        <v>3</v>
      </c>
      <c r="J69">
        <f>_xlfn.XLOOKUP(tbl_FACTS[[#This Row],[OrderID]],Πίνακας64[OrderID],Πίνακας64[ShipperID])</f>
        <v>3</v>
      </c>
      <c r="K69" t="str">
        <f>_xlfn.XLOOKUP(tbl_FACTS[[#This Row],[ShipperID]],Πίνακας8[ShipperID],Πίνακας8[ShipperName])</f>
        <v>Federal Shipping</v>
      </c>
      <c r="L69" t="str">
        <f>_xlfn.XLOOKUP(tbl_FACTS[[#This Row],[ProductID]],Πίνακας7[ProductID],Πίνακας7[ProductName])</f>
        <v>Geitost</v>
      </c>
      <c r="M69">
        <f>_xlfn.XLOOKUP(tbl_FACTS[[#This Row],[ProductID]],Πίνακας7[ProductID],Πίνακας7[CategoryID])</f>
        <v>4</v>
      </c>
      <c r="N69" t="str">
        <f>_xlfn.XLOOKUP(tbl_FACTS[[#This Row],[CategoryID]],Πίνακας4[CategoryID],Πίνακας4[CategoryName])</f>
        <v>Dairy Products</v>
      </c>
      <c r="O69">
        <f>_xlfn.XLOOKUP(tbl_FACTS[[#This Row],[ProductID]],Πίνακας7[ProductID],Πίνακας7[SupplierID])</f>
        <v>15</v>
      </c>
      <c r="P69" t="str">
        <f>_xlfn.XLOOKUP(tbl_FACTS[[#This Row],[SupplierID]],Πίνακας9[SupplierID],Πίνακας9[SupplierName])</f>
        <v>Norske Meierier</v>
      </c>
      <c r="Q69" s="21">
        <f>_xlfn.XLOOKUP(tbl_FACTS[[#This Row],[ProductID]],Πίνακας7[ProductID],Πίνακας7[Price])</f>
        <v>3</v>
      </c>
      <c r="R69" s="21">
        <f>tbl_FACTS[[#This Row],[Quantity]]*tbl_FACTS[[#This Row],[Price]]</f>
        <v>60</v>
      </c>
      <c r="S69" s="19">
        <f>IF(COUNTIFS(tbl_FACTS[OrderID],tbl_FACTS[[#This Row],[OrderID]],tbl_FACTS[OrderDetailID],"&lt;"&amp;tbl_FACTS[[#This Row],[OrderDetailID]])=0,1,0)</f>
        <v>0</v>
      </c>
      <c r="T69" s="19">
        <f>YEAR(tbl_FACTS[[#This Row],[OrderDate]])</f>
        <v>1996</v>
      </c>
      <c r="U69" s="22">
        <f>DATE(YEAR(tbl_FACTS[[#This Row],[OrderDate]]),MONTH(tbl_FACTS[[#This Row],[OrderDate]]),1)</f>
        <v>35278</v>
      </c>
      <c r="V69" s="22" t="str">
        <f>IF(tbl_FACTS[[#This Row],[Quantity]]&lt;=10,"0–10",IF(tbl_FACTS[[#This Row],[Quantity]]&lt;=20,"11–20",IF(tbl_FACTS[[#This Row],[Quantity]]&lt;=30,"21–30",IF(tbl_FACTS[[#This Row],[Quantity]]&lt;=40,"31–40",IF(tbl_FACTS[[#This Row],[Quantity]]&lt;=50,"41–50","51+")))))</f>
        <v>11–20</v>
      </c>
    </row>
    <row r="70" spans="1:22">
      <c r="A70">
        <v>69</v>
      </c>
      <c r="B70">
        <v>10273</v>
      </c>
      <c r="C70">
        <v>40</v>
      </c>
      <c r="D70" s="19">
        <v>60</v>
      </c>
      <c r="E70" s="20">
        <f>_xlfn.XLOOKUP(tbl_FACTS[[#This Row],[OrderID]],Πίνακας64[OrderID],Πίνακας64[OrderDate])</f>
        <v>35282</v>
      </c>
      <c r="F70">
        <f>_xlfn.XLOOKUP(tbl_FACTS[[#This Row],[OrderID]],Πίνακας64[OrderID],Πίνακας64[CustomerID])</f>
        <v>63</v>
      </c>
      <c r="G70" t="str">
        <f>_xlfn.XLOOKUP(tbl_FACTS[[#This Row],[CustomerID]],Πίνακας1[CustomerID],Πίνακας1[CustomerName])</f>
        <v>QUICK-Stop</v>
      </c>
      <c r="H70" t="str">
        <f>_xlfn.XLOOKUP(tbl_FACTS[[#This Row],[CustomerID]],Πίνακας1[CustomerID],Πίνακας1[Country])</f>
        <v>Germany</v>
      </c>
      <c r="I70">
        <f>_xlfn.XLOOKUP(tbl_FACTS[[#This Row],[OrderID]],Πίνακας64[OrderID],Πίνακας64[EmployeeID])</f>
        <v>3</v>
      </c>
      <c r="J70">
        <f>_xlfn.XLOOKUP(tbl_FACTS[[#This Row],[OrderID]],Πίνακας64[OrderID],Πίνακας64[ShipperID])</f>
        <v>3</v>
      </c>
      <c r="K70" t="str">
        <f>_xlfn.XLOOKUP(tbl_FACTS[[#This Row],[ShipperID]],Πίνακας8[ShipperID],Πίνακας8[ShipperName])</f>
        <v>Federal Shipping</v>
      </c>
      <c r="L70" t="str">
        <f>_xlfn.XLOOKUP(tbl_FACTS[[#This Row],[ProductID]],Πίνακας7[ProductID],Πίνακας7[ProductName])</f>
        <v>Boston Crab Meat</v>
      </c>
      <c r="M70">
        <f>_xlfn.XLOOKUP(tbl_FACTS[[#This Row],[ProductID]],Πίνακας7[ProductID],Πίνακας7[CategoryID])</f>
        <v>8</v>
      </c>
      <c r="N70" t="str">
        <f>_xlfn.XLOOKUP(tbl_FACTS[[#This Row],[CategoryID]],Πίνακας4[CategoryID],Πίνακας4[CategoryName])</f>
        <v>Seafood</v>
      </c>
      <c r="O70">
        <f>_xlfn.XLOOKUP(tbl_FACTS[[#This Row],[ProductID]],Πίνακας7[ProductID],Πίνακας7[SupplierID])</f>
        <v>19</v>
      </c>
      <c r="P70" t="str">
        <f>_xlfn.XLOOKUP(tbl_FACTS[[#This Row],[SupplierID]],Πίνακας9[SupplierID],Πίνακας9[SupplierName])</f>
        <v>New England Seafood Cannery</v>
      </c>
      <c r="Q70" s="21">
        <f>_xlfn.XLOOKUP(tbl_FACTS[[#This Row],[ProductID]],Πίνακας7[ProductID],Πίνακας7[Price])</f>
        <v>18</v>
      </c>
      <c r="R70" s="21">
        <f>tbl_FACTS[[#This Row],[Quantity]]*tbl_FACTS[[#This Row],[Price]]</f>
        <v>1080</v>
      </c>
      <c r="S70" s="19">
        <f>IF(COUNTIFS(tbl_FACTS[OrderID],tbl_FACTS[[#This Row],[OrderID]],tbl_FACTS[OrderDetailID],"&lt;"&amp;tbl_FACTS[[#This Row],[OrderDetailID]])=0,1,0)</f>
        <v>0</v>
      </c>
      <c r="T70" s="19">
        <f>YEAR(tbl_FACTS[[#This Row],[OrderDate]])</f>
        <v>1996</v>
      </c>
      <c r="U70" s="22">
        <f>DATE(YEAR(tbl_FACTS[[#This Row],[OrderDate]]),MONTH(tbl_FACTS[[#This Row],[OrderDate]]),1)</f>
        <v>35278</v>
      </c>
      <c r="V70" s="22" t="str">
        <f>IF(tbl_FACTS[[#This Row],[Quantity]]&lt;=10,"0–10",IF(tbl_FACTS[[#This Row],[Quantity]]&lt;=20,"11–20",IF(tbl_FACTS[[#This Row],[Quantity]]&lt;=30,"21–30",IF(tbl_FACTS[[#This Row],[Quantity]]&lt;=40,"31–40",IF(tbl_FACTS[[#This Row],[Quantity]]&lt;=50,"41–50","51+")))))</f>
        <v>51+</v>
      </c>
    </row>
    <row r="71" spans="1:22">
      <c r="A71">
        <v>70</v>
      </c>
      <c r="B71">
        <v>10273</v>
      </c>
      <c r="C71">
        <v>76</v>
      </c>
      <c r="D71" s="19">
        <v>33</v>
      </c>
      <c r="E71" s="20">
        <f>_xlfn.XLOOKUP(tbl_FACTS[[#This Row],[OrderID]],Πίνακας64[OrderID],Πίνακας64[OrderDate])</f>
        <v>35282</v>
      </c>
      <c r="F71">
        <f>_xlfn.XLOOKUP(tbl_FACTS[[#This Row],[OrderID]],Πίνακας64[OrderID],Πίνακας64[CustomerID])</f>
        <v>63</v>
      </c>
      <c r="G71" t="str">
        <f>_xlfn.XLOOKUP(tbl_FACTS[[#This Row],[CustomerID]],Πίνακας1[CustomerID],Πίνακας1[CustomerName])</f>
        <v>QUICK-Stop</v>
      </c>
      <c r="H71" t="str">
        <f>_xlfn.XLOOKUP(tbl_FACTS[[#This Row],[CustomerID]],Πίνακας1[CustomerID],Πίνακας1[Country])</f>
        <v>Germany</v>
      </c>
      <c r="I71">
        <f>_xlfn.XLOOKUP(tbl_FACTS[[#This Row],[OrderID]],Πίνακας64[OrderID],Πίνακας64[EmployeeID])</f>
        <v>3</v>
      </c>
      <c r="J71">
        <f>_xlfn.XLOOKUP(tbl_FACTS[[#This Row],[OrderID]],Πίνακας64[OrderID],Πίνακας64[ShipperID])</f>
        <v>3</v>
      </c>
      <c r="K71" t="str">
        <f>_xlfn.XLOOKUP(tbl_FACTS[[#This Row],[ShipperID]],Πίνακας8[ShipperID],Πίνακας8[ShipperName])</f>
        <v>Federal Shipping</v>
      </c>
      <c r="L71" t="str">
        <f>_xlfn.XLOOKUP(tbl_FACTS[[#This Row],[ProductID]],Πίνακας7[ProductID],Πίνακας7[ProductName])</f>
        <v>Lakkalikoori</v>
      </c>
      <c r="M71">
        <f>_xlfn.XLOOKUP(tbl_FACTS[[#This Row],[ProductID]],Πίνακας7[ProductID],Πίνακας7[CategoryID])</f>
        <v>1</v>
      </c>
      <c r="N71" t="str">
        <f>_xlfn.XLOOKUP(tbl_FACTS[[#This Row],[CategoryID]],Πίνακας4[CategoryID],Πίνακας4[CategoryName])</f>
        <v>Beverages</v>
      </c>
      <c r="O71">
        <f>_xlfn.XLOOKUP(tbl_FACTS[[#This Row],[ProductID]],Πίνακας7[ProductID],Πίνακας7[SupplierID])</f>
        <v>23</v>
      </c>
      <c r="P71" t="str">
        <f>_xlfn.XLOOKUP(tbl_FACTS[[#This Row],[SupplierID]],Πίνακας9[SupplierID],Πίνακας9[SupplierName])</f>
        <v>Karkki Oy</v>
      </c>
      <c r="Q71" s="21">
        <f>_xlfn.XLOOKUP(tbl_FACTS[[#This Row],[ProductID]],Πίνακας7[ProductID],Πίνακας7[Price])</f>
        <v>18</v>
      </c>
      <c r="R71" s="21">
        <f>tbl_FACTS[[#This Row],[Quantity]]*tbl_FACTS[[#This Row],[Price]]</f>
        <v>594</v>
      </c>
      <c r="S71" s="19">
        <f>IF(COUNTIFS(tbl_FACTS[OrderID],tbl_FACTS[[#This Row],[OrderID]],tbl_FACTS[OrderDetailID],"&lt;"&amp;tbl_FACTS[[#This Row],[OrderDetailID]])=0,1,0)</f>
        <v>0</v>
      </c>
      <c r="T71" s="19">
        <f>YEAR(tbl_FACTS[[#This Row],[OrderDate]])</f>
        <v>1996</v>
      </c>
      <c r="U71" s="22">
        <f>DATE(YEAR(tbl_FACTS[[#This Row],[OrderDate]]),MONTH(tbl_FACTS[[#This Row],[OrderDate]]),1)</f>
        <v>35278</v>
      </c>
      <c r="V71" s="22" t="str">
        <f>IF(tbl_FACTS[[#This Row],[Quantity]]&lt;=10,"0–10",IF(tbl_FACTS[[#This Row],[Quantity]]&lt;=20,"11–20",IF(tbl_FACTS[[#This Row],[Quantity]]&lt;=30,"21–30",IF(tbl_FACTS[[#This Row],[Quantity]]&lt;=40,"31–40",IF(tbl_FACTS[[#This Row],[Quantity]]&lt;=50,"41–50","51+")))))</f>
        <v>31–40</v>
      </c>
    </row>
    <row r="72" spans="1:22">
      <c r="A72">
        <v>71</v>
      </c>
      <c r="B72">
        <v>10274</v>
      </c>
      <c r="C72">
        <v>71</v>
      </c>
      <c r="D72" s="19">
        <v>20</v>
      </c>
      <c r="E72" s="20">
        <f>_xlfn.XLOOKUP(tbl_FACTS[[#This Row],[OrderID]],Πίνακας64[OrderID],Πίνακας64[OrderDate])</f>
        <v>35283</v>
      </c>
      <c r="F72">
        <f>_xlfn.XLOOKUP(tbl_FACTS[[#This Row],[OrderID]],Πίνακας64[OrderID],Πίνακας64[CustomerID])</f>
        <v>85</v>
      </c>
      <c r="G72" t="str">
        <f>_xlfn.XLOOKUP(tbl_FACTS[[#This Row],[CustomerID]],Πίνακας1[CustomerID],Πίνακας1[CustomerName])</f>
        <v>Vins et alcools Chevalier</v>
      </c>
      <c r="H72" t="str">
        <f>_xlfn.XLOOKUP(tbl_FACTS[[#This Row],[CustomerID]],Πίνακας1[CustomerID],Πίνακας1[Country])</f>
        <v>France</v>
      </c>
      <c r="I72">
        <f>_xlfn.XLOOKUP(tbl_FACTS[[#This Row],[OrderID]],Πίνακας64[OrderID],Πίνακας64[EmployeeID])</f>
        <v>6</v>
      </c>
      <c r="J72">
        <f>_xlfn.XLOOKUP(tbl_FACTS[[#This Row],[OrderID]],Πίνακας64[OrderID],Πίνακας64[ShipperID])</f>
        <v>1</v>
      </c>
      <c r="K72" t="str">
        <f>_xlfn.XLOOKUP(tbl_FACTS[[#This Row],[ShipperID]],Πίνακας8[ShipperID],Πίνακας8[ShipperName])</f>
        <v>Speedy Express</v>
      </c>
      <c r="L72" t="str">
        <f>_xlfn.XLOOKUP(tbl_FACTS[[#This Row],[ProductID]],Πίνακας7[ProductID],Πίνακας7[ProductName])</f>
        <v>Fl├©temysost</v>
      </c>
      <c r="M72">
        <f>_xlfn.XLOOKUP(tbl_FACTS[[#This Row],[ProductID]],Πίνακας7[ProductID],Πίνακας7[CategoryID])</f>
        <v>4</v>
      </c>
      <c r="N72" t="str">
        <f>_xlfn.XLOOKUP(tbl_FACTS[[#This Row],[CategoryID]],Πίνακας4[CategoryID],Πίνακας4[CategoryName])</f>
        <v>Dairy Products</v>
      </c>
      <c r="O72">
        <f>_xlfn.XLOOKUP(tbl_FACTS[[#This Row],[ProductID]],Πίνακας7[ProductID],Πίνακας7[SupplierID])</f>
        <v>15</v>
      </c>
      <c r="P72" t="str">
        <f>_xlfn.XLOOKUP(tbl_FACTS[[#This Row],[SupplierID]],Πίνακας9[SupplierID],Πίνακας9[SupplierName])</f>
        <v>Norske Meierier</v>
      </c>
      <c r="Q72" s="21">
        <f>_xlfn.XLOOKUP(tbl_FACTS[[#This Row],[ProductID]],Πίνακας7[ProductID],Πίνακας7[Price])</f>
        <v>22</v>
      </c>
      <c r="R72" s="21">
        <f>tbl_FACTS[[#This Row],[Quantity]]*tbl_FACTS[[#This Row],[Price]]</f>
        <v>440</v>
      </c>
      <c r="S72" s="19">
        <f>IF(COUNTIFS(tbl_FACTS[OrderID],tbl_FACTS[[#This Row],[OrderID]],tbl_FACTS[OrderDetailID],"&lt;"&amp;tbl_FACTS[[#This Row],[OrderDetailID]])=0,1,0)</f>
        <v>1</v>
      </c>
      <c r="T72" s="19">
        <f>YEAR(tbl_FACTS[[#This Row],[OrderDate]])</f>
        <v>1996</v>
      </c>
      <c r="U72" s="22">
        <f>DATE(YEAR(tbl_FACTS[[#This Row],[OrderDate]]),MONTH(tbl_FACTS[[#This Row],[OrderDate]]),1)</f>
        <v>35278</v>
      </c>
      <c r="V72" s="22" t="str">
        <f>IF(tbl_FACTS[[#This Row],[Quantity]]&lt;=10,"0–10",IF(tbl_FACTS[[#This Row],[Quantity]]&lt;=20,"11–20",IF(tbl_FACTS[[#This Row],[Quantity]]&lt;=30,"21–30",IF(tbl_FACTS[[#This Row],[Quantity]]&lt;=40,"31–40",IF(tbl_FACTS[[#This Row],[Quantity]]&lt;=50,"41–50","51+")))))</f>
        <v>11–20</v>
      </c>
    </row>
    <row r="73" spans="1:22">
      <c r="A73">
        <v>72</v>
      </c>
      <c r="B73">
        <v>10274</v>
      </c>
      <c r="C73">
        <v>72</v>
      </c>
      <c r="D73" s="19">
        <v>7</v>
      </c>
      <c r="E73" s="20">
        <f>_xlfn.XLOOKUP(tbl_FACTS[[#This Row],[OrderID]],Πίνακας64[OrderID],Πίνακας64[OrderDate])</f>
        <v>35283</v>
      </c>
      <c r="F73">
        <f>_xlfn.XLOOKUP(tbl_FACTS[[#This Row],[OrderID]],Πίνακας64[OrderID],Πίνακας64[CustomerID])</f>
        <v>85</v>
      </c>
      <c r="G73" t="str">
        <f>_xlfn.XLOOKUP(tbl_FACTS[[#This Row],[CustomerID]],Πίνακας1[CustomerID],Πίνακας1[CustomerName])</f>
        <v>Vins et alcools Chevalier</v>
      </c>
      <c r="H73" t="str">
        <f>_xlfn.XLOOKUP(tbl_FACTS[[#This Row],[CustomerID]],Πίνακας1[CustomerID],Πίνακας1[Country])</f>
        <v>France</v>
      </c>
      <c r="I73">
        <f>_xlfn.XLOOKUP(tbl_FACTS[[#This Row],[OrderID]],Πίνακας64[OrderID],Πίνακας64[EmployeeID])</f>
        <v>6</v>
      </c>
      <c r="J73">
        <f>_xlfn.XLOOKUP(tbl_FACTS[[#This Row],[OrderID]],Πίνακας64[OrderID],Πίνακας64[ShipperID])</f>
        <v>1</v>
      </c>
      <c r="K73" t="str">
        <f>_xlfn.XLOOKUP(tbl_FACTS[[#This Row],[ShipperID]],Πίνακας8[ShipperID],Πίνακας8[ShipperName])</f>
        <v>Speedy Express</v>
      </c>
      <c r="L73" t="str">
        <f>_xlfn.XLOOKUP(tbl_FACTS[[#This Row],[ProductID]],Πίνακας7[ProductID],Πίνακας7[ProductName])</f>
        <v>Mozzarella di Giovanni</v>
      </c>
      <c r="M73">
        <f>_xlfn.XLOOKUP(tbl_FACTS[[#This Row],[ProductID]],Πίνακας7[ProductID],Πίνακας7[CategoryID])</f>
        <v>4</v>
      </c>
      <c r="N73" t="str">
        <f>_xlfn.XLOOKUP(tbl_FACTS[[#This Row],[CategoryID]],Πίνακας4[CategoryID],Πίνακας4[CategoryName])</f>
        <v>Dairy Products</v>
      </c>
      <c r="O73">
        <f>_xlfn.XLOOKUP(tbl_FACTS[[#This Row],[ProductID]],Πίνακας7[ProductID],Πίνακας7[SupplierID])</f>
        <v>14</v>
      </c>
      <c r="P73" t="str">
        <f>_xlfn.XLOOKUP(tbl_FACTS[[#This Row],[SupplierID]],Πίνακας9[SupplierID],Πίνακας9[SupplierName])</f>
        <v>Formaggi Fortini s.r.l.</v>
      </c>
      <c r="Q73" s="21">
        <f>_xlfn.XLOOKUP(tbl_FACTS[[#This Row],[ProductID]],Πίνακας7[ProductID],Πίνακας7[Price])</f>
        <v>35</v>
      </c>
      <c r="R73" s="21">
        <f>tbl_FACTS[[#This Row],[Quantity]]*tbl_FACTS[[#This Row],[Price]]</f>
        <v>245</v>
      </c>
      <c r="S73" s="19">
        <f>IF(COUNTIFS(tbl_FACTS[OrderID],tbl_FACTS[[#This Row],[OrderID]],tbl_FACTS[OrderDetailID],"&lt;"&amp;tbl_FACTS[[#This Row],[OrderDetailID]])=0,1,0)</f>
        <v>0</v>
      </c>
      <c r="T73" s="19">
        <f>YEAR(tbl_FACTS[[#This Row],[OrderDate]])</f>
        <v>1996</v>
      </c>
      <c r="U73" s="22">
        <f>DATE(YEAR(tbl_FACTS[[#This Row],[OrderDate]]),MONTH(tbl_FACTS[[#This Row],[OrderDate]]),1)</f>
        <v>35278</v>
      </c>
      <c r="V73" s="22" t="str">
        <f>IF(tbl_FACTS[[#This Row],[Quantity]]&lt;=10,"0–10",IF(tbl_FACTS[[#This Row],[Quantity]]&lt;=20,"11–20",IF(tbl_FACTS[[#This Row],[Quantity]]&lt;=30,"21–30",IF(tbl_FACTS[[#This Row],[Quantity]]&lt;=40,"31–40",IF(tbl_FACTS[[#This Row],[Quantity]]&lt;=50,"41–50","51+")))))</f>
        <v>0–10</v>
      </c>
    </row>
    <row r="74" spans="1:22">
      <c r="A74">
        <v>73</v>
      </c>
      <c r="B74">
        <v>10275</v>
      </c>
      <c r="C74">
        <v>24</v>
      </c>
      <c r="D74" s="19">
        <v>12</v>
      </c>
      <c r="E74" s="20">
        <f>_xlfn.XLOOKUP(tbl_FACTS[[#This Row],[OrderID]],Πίνακας64[OrderID],Πίνακας64[OrderDate])</f>
        <v>35284</v>
      </c>
      <c r="F74">
        <f>_xlfn.XLOOKUP(tbl_FACTS[[#This Row],[OrderID]],Πίνακας64[OrderID],Πίνακας64[CustomerID])</f>
        <v>49</v>
      </c>
      <c r="G74" t="str">
        <f>_xlfn.XLOOKUP(tbl_FACTS[[#This Row],[CustomerID]],Πίνακας1[CustomerID],Πίνακας1[CustomerName])</f>
        <v>Magazzini Alimentari Riuniti</v>
      </c>
      <c r="H74" t="str">
        <f>_xlfn.XLOOKUP(tbl_FACTS[[#This Row],[CustomerID]],Πίνακας1[CustomerID],Πίνακας1[Country])</f>
        <v>Italy</v>
      </c>
      <c r="I74">
        <f>_xlfn.XLOOKUP(tbl_FACTS[[#This Row],[OrderID]],Πίνακας64[OrderID],Πίνακας64[EmployeeID])</f>
        <v>1</v>
      </c>
      <c r="J74">
        <f>_xlfn.XLOOKUP(tbl_FACTS[[#This Row],[OrderID]],Πίνακας64[OrderID],Πίνακας64[ShipperID])</f>
        <v>1</v>
      </c>
      <c r="K74" t="str">
        <f>_xlfn.XLOOKUP(tbl_FACTS[[#This Row],[ShipperID]],Πίνακας8[ShipperID],Πίνακας8[ShipperName])</f>
        <v>Speedy Express</v>
      </c>
      <c r="L74" t="str">
        <f>_xlfn.XLOOKUP(tbl_FACTS[[#This Row],[ProductID]],Πίνακας7[ProductID],Πίνακας7[ProductName])</f>
        <v>Guarana Fantastica</v>
      </c>
      <c r="M74">
        <f>_xlfn.XLOOKUP(tbl_FACTS[[#This Row],[ProductID]],Πίνακας7[ProductID],Πίνακας7[CategoryID])</f>
        <v>1</v>
      </c>
      <c r="N74" t="str">
        <f>_xlfn.XLOOKUP(tbl_FACTS[[#This Row],[CategoryID]],Πίνακας4[CategoryID],Πίνακας4[CategoryName])</f>
        <v>Beverages</v>
      </c>
      <c r="O74">
        <f>_xlfn.XLOOKUP(tbl_FACTS[[#This Row],[ProductID]],Πίνακας7[ProductID],Πίνακας7[SupplierID])</f>
        <v>10</v>
      </c>
      <c r="P74" t="str">
        <f>_xlfn.XLOOKUP(tbl_FACTS[[#This Row],[SupplierID]],Πίνακας9[SupplierID],Πίνακας9[SupplierName])</f>
        <v>Refrescos Americanas LTDA</v>
      </c>
      <c r="Q74" s="21">
        <f>_xlfn.XLOOKUP(tbl_FACTS[[#This Row],[ProductID]],Πίνακας7[ProductID],Πίνακας7[Price])</f>
        <v>5</v>
      </c>
      <c r="R74" s="21">
        <f>tbl_FACTS[[#This Row],[Quantity]]*tbl_FACTS[[#This Row],[Price]]</f>
        <v>60</v>
      </c>
      <c r="S74" s="19">
        <f>IF(COUNTIFS(tbl_FACTS[OrderID],tbl_FACTS[[#This Row],[OrderID]],tbl_FACTS[OrderDetailID],"&lt;"&amp;tbl_FACTS[[#This Row],[OrderDetailID]])=0,1,0)</f>
        <v>1</v>
      </c>
      <c r="T74" s="19">
        <f>YEAR(tbl_FACTS[[#This Row],[OrderDate]])</f>
        <v>1996</v>
      </c>
      <c r="U74" s="22">
        <f>DATE(YEAR(tbl_FACTS[[#This Row],[OrderDate]]),MONTH(tbl_FACTS[[#This Row],[OrderDate]]),1)</f>
        <v>35278</v>
      </c>
      <c r="V74" s="22" t="str">
        <f>IF(tbl_FACTS[[#This Row],[Quantity]]&lt;=10,"0–10",IF(tbl_FACTS[[#This Row],[Quantity]]&lt;=20,"11–20",IF(tbl_FACTS[[#This Row],[Quantity]]&lt;=30,"21–30",IF(tbl_FACTS[[#This Row],[Quantity]]&lt;=40,"31–40",IF(tbl_FACTS[[#This Row],[Quantity]]&lt;=50,"41–50","51+")))))</f>
        <v>11–20</v>
      </c>
    </row>
    <row r="75" spans="1:22">
      <c r="A75">
        <v>74</v>
      </c>
      <c r="B75">
        <v>10275</v>
      </c>
      <c r="C75">
        <v>59</v>
      </c>
      <c r="D75" s="19">
        <v>6</v>
      </c>
      <c r="E75" s="20">
        <f>_xlfn.XLOOKUP(tbl_FACTS[[#This Row],[OrderID]],Πίνακας64[OrderID],Πίνακας64[OrderDate])</f>
        <v>35284</v>
      </c>
      <c r="F75">
        <f>_xlfn.XLOOKUP(tbl_FACTS[[#This Row],[OrderID]],Πίνακας64[OrderID],Πίνακας64[CustomerID])</f>
        <v>49</v>
      </c>
      <c r="G75" t="str">
        <f>_xlfn.XLOOKUP(tbl_FACTS[[#This Row],[CustomerID]],Πίνακας1[CustomerID],Πίνακας1[CustomerName])</f>
        <v>Magazzini Alimentari Riuniti</v>
      </c>
      <c r="H75" t="str">
        <f>_xlfn.XLOOKUP(tbl_FACTS[[#This Row],[CustomerID]],Πίνακας1[CustomerID],Πίνακας1[Country])</f>
        <v>Italy</v>
      </c>
      <c r="I75">
        <f>_xlfn.XLOOKUP(tbl_FACTS[[#This Row],[OrderID]],Πίνακας64[OrderID],Πίνακας64[EmployeeID])</f>
        <v>1</v>
      </c>
      <c r="J75">
        <f>_xlfn.XLOOKUP(tbl_FACTS[[#This Row],[OrderID]],Πίνακας64[OrderID],Πίνακας64[ShipperID])</f>
        <v>1</v>
      </c>
      <c r="K75" t="str">
        <f>_xlfn.XLOOKUP(tbl_FACTS[[#This Row],[ShipperID]],Πίνακας8[ShipperID],Πίνακας8[ShipperName])</f>
        <v>Speedy Express</v>
      </c>
      <c r="L75" t="str">
        <f>_xlfn.XLOOKUP(tbl_FACTS[[#This Row],[ProductID]],Πίνακας7[ProductID],Πίνακας7[ProductName])</f>
        <v>Raclette Courdavault</v>
      </c>
      <c r="M75">
        <f>_xlfn.XLOOKUP(tbl_FACTS[[#This Row],[ProductID]],Πίνακας7[ProductID],Πίνακας7[CategoryID])</f>
        <v>4</v>
      </c>
      <c r="N75" t="str">
        <f>_xlfn.XLOOKUP(tbl_FACTS[[#This Row],[CategoryID]],Πίνακας4[CategoryID],Πίνακας4[CategoryName])</f>
        <v>Dairy Products</v>
      </c>
      <c r="O75">
        <f>_xlfn.XLOOKUP(tbl_FACTS[[#This Row],[ProductID]],Πίνακας7[ProductID],Πίνακας7[SupplierID])</f>
        <v>28</v>
      </c>
      <c r="P75" t="str">
        <f>_xlfn.XLOOKUP(tbl_FACTS[[#This Row],[SupplierID]],Πίνακας9[SupplierID],Πίνακας9[SupplierName])</f>
        <v>Gai paturage</v>
      </c>
      <c r="Q75" s="21">
        <f>_xlfn.XLOOKUP(tbl_FACTS[[#This Row],[ProductID]],Πίνακας7[ProductID],Πίνακας7[Price])</f>
        <v>55</v>
      </c>
      <c r="R75" s="21">
        <f>tbl_FACTS[[#This Row],[Quantity]]*tbl_FACTS[[#This Row],[Price]]</f>
        <v>330</v>
      </c>
      <c r="S75" s="19">
        <f>IF(COUNTIFS(tbl_FACTS[OrderID],tbl_FACTS[[#This Row],[OrderID]],tbl_FACTS[OrderDetailID],"&lt;"&amp;tbl_FACTS[[#This Row],[OrderDetailID]])=0,1,0)</f>
        <v>0</v>
      </c>
      <c r="T75" s="19">
        <f>YEAR(tbl_FACTS[[#This Row],[OrderDate]])</f>
        <v>1996</v>
      </c>
      <c r="U75" s="22">
        <f>DATE(YEAR(tbl_FACTS[[#This Row],[OrderDate]]),MONTH(tbl_FACTS[[#This Row],[OrderDate]]),1)</f>
        <v>35278</v>
      </c>
      <c r="V75" s="22" t="str">
        <f>IF(tbl_FACTS[[#This Row],[Quantity]]&lt;=10,"0–10",IF(tbl_FACTS[[#This Row],[Quantity]]&lt;=20,"11–20",IF(tbl_FACTS[[#This Row],[Quantity]]&lt;=30,"21–30",IF(tbl_FACTS[[#This Row],[Quantity]]&lt;=40,"31–40",IF(tbl_FACTS[[#This Row],[Quantity]]&lt;=50,"41–50","51+")))))</f>
        <v>0–10</v>
      </c>
    </row>
    <row r="76" spans="1:22">
      <c r="A76">
        <v>75</v>
      </c>
      <c r="B76">
        <v>10276</v>
      </c>
      <c r="C76">
        <v>10</v>
      </c>
      <c r="D76" s="19">
        <v>15</v>
      </c>
      <c r="E76" s="20">
        <f>_xlfn.XLOOKUP(tbl_FACTS[[#This Row],[OrderID]],Πίνακας64[OrderID],Πίνακας64[OrderDate])</f>
        <v>35285</v>
      </c>
      <c r="F76">
        <f>_xlfn.XLOOKUP(tbl_FACTS[[#This Row],[OrderID]],Πίνακας64[OrderID],Πίνακας64[CustomerID])</f>
        <v>80</v>
      </c>
      <c r="G76" t="str">
        <f>_xlfn.XLOOKUP(tbl_FACTS[[#This Row],[CustomerID]],Πίνακας1[CustomerID],Πίνακας1[CustomerName])</f>
        <v>Tortuga Restaurante</v>
      </c>
      <c r="H76" t="str">
        <f>_xlfn.XLOOKUP(tbl_FACTS[[#This Row],[CustomerID]],Πίνακας1[CustomerID],Πίνακας1[Country])</f>
        <v>Mexico</v>
      </c>
      <c r="I76">
        <f>_xlfn.XLOOKUP(tbl_FACTS[[#This Row],[OrderID]],Πίνακας64[OrderID],Πίνακας64[EmployeeID])</f>
        <v>8</v>
      </c>
      <c r="J76">
        <f>_xlfn.XLOOKUP(tbl_FACTS[[#This Row],[OrderID]],Πίνακας64[OrderID],Πίνακας64[ShipperID])</f>
        <v>3</v>
      </c>
      <c r="K76" t="str">
        <f>_xlfn.XLOOKUP(tbl_FACTS[[#This Row],[ShipperID]],Πίνακας8[ShipperID],Πίνακας8[ShipperName])</f>
        <v>Federal Shipping</v>
      </c>
      <c r="L76" t="str">
        <f>_xlfn.XLOOKUP(tbl_FACTS[[#This Row],[ProductID]],Πίνακας7[ProductID],Πίνακας7[ProductName])</f>
        <v>Ikura</v>
      </c>
      <c r="M76">
        <f>_xlfn.XLOOKUP(tbl_FACTS[[#This Row],[ProductID]],Πίνακας7[ProductID],Πίνακας7[CategoryID])</f>
        <v>8</v>
      </c>
      <c r="N76" t="str">
        <f>_xlfn.XLOOKUP(tbl_FACTS[[#This Row],[CategoryID]],Πίνακας4[CategoryID],Πίνακας4[CategoryName])</f>
        <v>Seafood</v>
      </c>
      <c r="O76">
        <f>_xlfn.XLOOKUP(tbl_FACTS[[#This Row],[ProductID]],Πίνακας7[ProductID],Πίνακας7[SupplierID])</f>
        <v>4</v>
      </c>
      <c r="P76" t="str">
        <f>_xlfn.XLOOKUP(tbl_FACTS[[#This Row],[SupplierID]],Πίνακας9[SupplierID],Πίνακας9[SupplierName])</f>
        <v>Tokyo Traders</v>
      </c>
      <c r="Q76" s="21">
        <f>_xlfn.XLOOKUP(tbl_FACTS[[#This Row],[ProductID]],Πίνακας7[ProductID],Πίνακας7[Price])</f>
        <v>31</v>
      </c>
      <c r="R76" s="21">
        <f>tbl_FACTS[[#This Row],[Quantity]]*tbl_FACTS[[#This Row],[Price]]</f>
        <v>465</v>
      </c>
      <c r="S76" s="19">
        <f>IF(COUNTIFS(tbl_FACTS[OrderID],tbl_FACTS[[#This Row],[OrderID]],tbl_FACTS[OrderDetailID],"&lt;"&amp;tbl_FACTS[[#This Row],[OrderDetailID]])=0,1,0)</f>
        <v>1</v>
      </c>
      <c r="T76" s="19">
        <f>YEAR(tbl_FACTS[[#This Row],[OrderDate]])</f>
        <v>1996</v>
      </c>
      <c r="U76" s="22">
        <f>DATE(YEAR(tbl_FACTS[[#This Row],[OrderDate]]),MONTH(tbl_FACTS[[#This Row],[OrderDate]]),1)</f>
        <v>35278</v>
      </c>
      <c r="V76" s="22" t="str">
        <f>IF(tbl_FACTS[[#This Row],[Quantity]]&lt;=10,"0–10",IF(tbl_FACTS[[#This Row],[Quantity]]&lt;=20,"11–20",IF(tbl_FACTS[[#This Row],[Quantity]]&lt;=30,"21–30",IF(tbl_FACTS[[#This Row],[Quantity]]&lt;=40,"31–40",IF(tbl_FACTS[[#This Row],[Quantity]]&lt;=50,"41–50","51+")))))</f>
        <v>11–20</v>
      </c>
    </row>
    <row r="77" spans="1:22">
      <c r="A77">
        <v>76</v>
      </c>
      <c r="B77">
        <v>10276</v>
      </c>
      <c r="C77">
        <v>13</v>
      </c>
      <c r="D77" s="19">
        <v>10</v>
      </c>
      <c r="E77" s="20">
        <f>_xlfn.XLOOKUP(tbl_FACTS[[#This Row],[OrderID]],Πίνακας64[OrderID],Πίνακας64[OrderDate])</f>
        <v>35285</v>
      </c>
      <c r="F77">
        <f>_xlfn.XLOOKUP(tbl_FACTS[[#This Row],[OrderID]],Πίνακας64[OrderID],Πίνακας64[CustomerID])</f>
        <v>80</v>
      </c>
      <c r="G77" t="str">
        <f>_xlfn.XLOOKUP(tbl_FACTS[[#This Row],[CustomerID]],Πίνακας1[CustomerID],Πίνακας1[CustomerName])</f>
        <v>Tortuga Restaurante</v>
      </c>
      <c r="H77" t="str">
        <f>_xlfn.XLOOKUP(tbl_FACTS[[#This Row],[CustomerID]],Πίνακας1[CustomerID],Πίνακας1[Country])</f>
        <v>Mexico</v>
      </c>
      <c r="I77">
        <f>_xlfn.XLOOKUP(tbl_FACTS[[#This Row],[OrderID]],Πίνακας64[OrderID],Πίνακας64[EmployeeID])</f>
        <v>8</v>
      </c>
      <c r="J77">
        <f>_xlfn.XLOOKUP(tbl_FACTS[[#This Row],[OrderID]],Πίνακας64[OrderID],Πίνακας64[ShipperID])</f>
        <v>3</v>
      </c>
      <c r="K77" t="str">
        <f>_xlfn.XLOOKUP(tbl_FACTS[[#This Row],[ShipperID]],Πίνακας8[ShipperID],Πίνακας8[ShipperName])</f>
        <v>Federal Shipping</v>
      </c>
      <c r="L77" t="str">
        <f>_xlfn.XLOOKUP(tbl_FACTS[[#This Row],[ProductID]],Πίνακας7[ProductID],Πίνακας7[ProductName])</f>
        <v>Konbu</v>
      </c>
      <c r="M77">
        <f>_xlfn.XLOOKUP(tbl_FACTS[[#This Row],[ProductID]],Πίνακας7[ProductID],Πίνακας7[CategoryID])</f>
        <v>8</v>
      </c>
      <c r="N77" t="str">
        <f>_xlfn.XLOOKUP(tbl_FACTS[[#This Row],[CategoryID]],Πίνακας4[CategoryID],Πίνακας4[CategoryName])</f>
        <v>Seafood</v>
      </c>
      <c r="O77">
        <f>_xlfn.XLOOKUP(tbl_FACTS[[#This Row],[ProductID]],Πίνακας7[ProductID],Πίνακας7[SupplierID])</f>
        <v>6</v>
      </c>
      <c r="P77" t="str">
        <f>_xlfn.XLOOKUP(tbl_FACTS[[#This Row],[SupplierID]],Πίνακας9[SupplierID],Πίνακας9[SupplierName])</f>
        <v>Mayumi's</v>
      </c>
      <c r="Q77" s="21">
        <f>_xlfn.XLOOKUP(tbl_FACTS[[#This Row],[ProductID]],Πίνακας7[ProductID],Πίνακας7[Price])</f>
        <v>6</v>
      </c>
      <c r="R77" s="21">
        <f>tbl_FACTS[[#This Row],[Quantity]]*tbl_FACTS[[#This Row],[Price]]</f>
        <v>60</v>
      </c>
      <c r="S77" s="19">
        <f>IF(COUNTIFS(tbl_FACTS[OrderID],tbl_FACTS[[#This Row],[OrderID]],tbl_FACTS[OrderDetailID],"&lt;"&amp;tbl_FACTS[[#This Row],[OrderDetailID]])=0,1,0)</f>
        <v>0</v>
      </c>
      <c r="T77" s="19">
        <f>YEAR(tbl_FACTS[[#This Row],[OrderDate]])</f>
        <v>1996</v>
      </c>
      <c r="U77" s="22">
        <f>DATE(YEAR(tbl_FACTS[[#This Row],[OrderDate]]),MONTH(tbl_FACTS[[#This Row],[OrderDate]]),1)</f>
        <v>35278</v>
      </c>
      <c r="V77" s="22" t="str">
        <f>IF(tbl_FACTS[[#This Row],[Quantity]]&lt;=10,"0–10",IF(tbl_FACTS[[#This Row],[Quantity]]&lt;=20,"11–20",IF(tbl_FACTS[[#This Row],[Quantity]]&lt;=30,"21–30",IF(tbl_FACTS[[#This Row],[Quantity]]&lt;=40,"31–40",IF(tbl_FACTS[[#This Row],[Quantity]]&lt;=50,"41–50","51+")))))</f>
        <v>0–10</v>
      </c>
    </row>
    <row r="78" spans="1:22">
      <c r="A78">
        <v>77</v>
      </c>
      <c r="B78">
        <v>10277</v>
      </c>
      <c r="C78">
        <v>28</v>
      </c>
      <c r="D78" s="19">
        <v>20</v>
      </c>
      <c r="E78" s="20">
        <f>_xlfn.XLOOKUP(tbl_FACTS[[#This Row],[OrderID]],Πίνακας64[OrderID],Πίνακας64[OrderDate])</f>
        <v>35286</v>
      </c>
      <c r="F78">
        <f>_xlfn.XLOOKUP(tbl_FACTS[[#This Row],[OrderID]],Πίνακας64[OrderID],Πίνακας64[CustomerID])</f>
        <v>52</v>
      </c>
      <c r="G78" t="str">
        <f>_xlfn.XLOOKUP(tbl_FACTS[[#This Row],[CustomerID]],Πίνακας1[CustomerID],Πίνακας1[CustomerName])</f>
        <v>Morgenstern Gesundkost</v>
      </c>
      <c r="H78" t="str">
        <f>_xlfn.XLOOKUP(tbl_FACTS[[#This Row],[CustomerID]],Πίνακας1[CustomerID],Πίνακας1[Country])</f>
        <v>Germany</v>
      </c>
      <c r="I78">
        <f>_xlfn.XLOOKUP(tbl_FACTS[[#This Row],[OrderID]],Πίνακας64[OrderID],Πίνακας64[EmployeeID])</f>
        <v>2</v>
      </c>
      <c r="J78">
        <f>_xlfn.XLOOKUP(tbl_FACTS[[#This Row],[OrderID]],Πίνακας64[OrderID],Πίνακας64[ShipperID])</f>
        <v>3</v>
      </c>
      <c r="K78" t="str">
        <f>_xlfn.XLOOKUP(tbl_FACTS[[#This Row],[ShipperID]],Πίνακας8[ShipperID],Πίνακας8[ShipperName])</f>
        <v>Federal Shipping</v>
      </c>
      <c r="L78" t="str">
        <f>_xlfn.XLOOKUP(tbl_FACTS[[#This Row],[ProductID]],Πίνακας7[ProductID],Πίνακας7[ProductName])</f>
        <v>Rossle Sauerkraut</v>
      </c>
      <c r="M78">
        <f>_xlfn.XLOOKUP(tbl_FACTS[[#This Row],[ProductID]],Πίνακας7[ProductID],Πίνακας7[CategoryID])</f>
        <v>7</v>
      </c>
      <c r="N78" t="str">
        <f>_xlfn.XLOOKUP(tbl_FACTS[[#This Row],[CategoryID]],Πίνακας4[CategoryID],Πίνακας4[CategoryName])</f>
        <v>Produce</v>
      </c>
      <c r="O78">
        <f>_xlfn.XLOOKUP(tbl_FACTS[[#This Row],[ProductID]],Πίνακας7[ProductID],Πίνακας7[SupplierID])</f>
        <v>12</v>
      </c>
      <c r="P78" t="str">
        <f>_xlfn.XLOOKUP(tbl_FACTS[[#This Row],[SupplierID]],Πίνακας9[SupplierID],Πίνακας9[SupplierName])</f>
        <v>Plutzer Lebensmittelgro├ƒmarkte AG</v>
      </c>
      <c r="Q78" s="21">
        <f>_xlfn.XLOOKUP(tbl_FACTS[[#This Row],[ProductID]],Πίνακας7[ProductID],Πίνακας7[Price])</f>
        <v>46</v>
      </c>
      <c r="R78" s="21">
        <f>tbl_FACTS[[#This Row],[Quantity]]*tbl_FACTS[[#This Row],[Price]]</f>
        <v>920</v>
      </c>
      <c r="S78" s="19">
        <f>IF(COUNTIFS(tbl_FACTS[OrderID],tbl_FACTS[[#This Row],[OrderID]],tbl_FACTS[OrderDetailID],"&lt;"&amp;tbl_FACTS[[#This Row],[OrderDetailID]])=0,1,0)</f>
        <v>1</v>
      </c>
      <c r="T78" s="19">
        <f>YEAR(tbl_FACTS[[#This Row],[OrderDate]])</f>
        <v>1996</v>
      </c>
      <c r="U78" s="22">
        <f>DATE(YEAR(tbl_FACTS[[#This Row],[OrderDate]]),MONTH(tbl_FACTS[[#This Row],[OrderDate]]),1)</f>
        <v>35278</v>
      </c>
      <c r="V78" s="22" t="str">
        <f>IF(tbl_FACTS[[#This Row],[Quantity]]&lt;=10,"0–10",IF(tbl_FACTS[[#This Row],[Quantity]]&lt;=20,"11–20",IF(tbl_FACTS[[#This Row],[Quantity]]&lt;=30,"21–30",IF(tbl_FACTS[[#This Row],[Quantity]]&lt;=40,"31–40",IF(tbl_FACTS[[#This Row],[Quantity]]&lt;=50,"41–50","51+")))))</f>
        <v>11–20</v>
      </c>
    </row>
    <row r="79" spans="1:22">
      <c r="A79">
        <v>78</v>
      </c>
      <c r="B79">
        <v>10277</v>
      </c>
      <c r="C79">
        <v>62</v>
      </c>
      <c r="D79" s="19">
        <v>12</v>
      </c>
      <c r="E79" s="20">
        <f>_xlfn.XLOOKUP(tbl_FACTS[[#This Row],[OrderID]],Πίνακας64[OrderID],Πίνακας64[OrderDate])</f>
        <v>35286</v>
      </c>
      <c r="F79">
        <f>_xlfn.XLOOKUP(tbl_FACTS[[#This Row],[OrderID]],Πίνακας64[OrderID],Πίνακας64[CustomerID])</f>
        <v>52</v>
      </c>
      <c r="G79" t="str">
        <f>_xlfn.XLOOKUP(tbl_FACTS[[#This Row],[CustomerID]],Πίνακας1[CustomerID],Πίνακας1[CustomerName])</f>
        <v>Morgenstern Gesundkost</v>
      </c>
      <c r="H79" t="str">
        <f>_xlfn.XLOOKUP(tbl_FACTS[[#This Row],[CustomerID]],Πίνακας1[CustomerID],Πίνακας1[Country])</f>
        <v>Germany</v>
      </c>
      <c r="I79">
        <f>_xlfn.XLOOKUP(tbl_FACTS[[#This Row],[OrderID]],Πίνακας64[OrderID],Πίνακας64[EmployeeID])</f>
        <v>2</v>
      </c>
      <c r="J79">
        <f>_xlfn.XLOOKUP(tbl_FACTS[[#This Row],[OrderID]],Πίνακας64[OrderID],Πίνακας64[ShipperID])</f>
        <v>3</v>
      </c>
      <c r="K79" t="str">
        <f>_xlfn.XLOOKUP(tbl_FACTS[[#This Row],[ShipperID]],Πίνακας8[ShipperID],Πίνακας8[ShipperName])</f>
        <v>Federal Shipping</v>
      </c>
      <c r="L79" t="str">
        <f>_xlfn.XLOOKUP(tbl_FACTS[[#This Row],[ProductID]],Πίνακας7[ProductID],Πίνακας7[ProductName])</f>
        <v>Tarte au sucre</v>
      </c>
      <c r="M79">
        <f>_xlfn.XLOOKUP(tbl_FACTS[[#This Row],[ProductID]],Πίνακας7[ProductID],Πίνακας7[CategoryID])</f>
        <v>3</v>
      </c>
      <c r="N79" t="str">
        <f>_xlfn.XLOOKUP(tbl_FACTS[[#This Row],[CategoryID]],Πίνακας4[CategoryID],Πίνακας4[CategoryName])</f>
        <v>Confections</v>
      </c>
      <c r="O79">
        <f>_xlfn.XLOOKUP(tbl_FACTS[[#This Row],[ProductID]],Πίνακας7[ProductID],Πίνακας7[SupplierID])</f>
        <v>29</v>
      </c>
      <c r="P79" t="str">
        <f>_xlfn.XLOOKUP(tbl_FACTS[[#This Row],[SupplierID]],Πίνακας9[SupplierID],Πίνακας9[SupplierName])</f>
        <v>Forets d'erables</v>
      </c>
      <c r="Q79" s="21">
        <f>_xlfn.XLOOKUP(tbl_FACTS[[#This Row],[ProductID]],Πίνακας7[ProductID],Πίνακας7[Price])</f>
        <v>49</v>
      </c>
      <c r="R79" s="21">
        <f>tbl_FACTS[[#This Row],[Quantity]]*tbl_FACTS[[#This Row],[Price]]</f>
        <v>588</v>
      </c>
      <c r="S79" s="19">
        <f>IF(COUNTIFS(tbl_FACTS[OrderID],tbl_FACTS[[#This Row],[OrderID]],tbl_FACTS[OrderDetailID],"&lt;"&amp;tbl_FACTS[[#This Row],[OrderDetailID]])=0,1,0)</f>
        <v>0</v>
      </c>
      <c r="T79" s="19">
        <f>YEAR(tbl_FACTS[[#This Row],[OrderDate]])</f>
        <v>1996</v>
      </c>
      <c r="U79" s="22">
        <f>DATE(YEAR(tbl_FACTS[[#This Row],[OrderDate]]),MONTH(tbl_FACTS[[#This Row],[OrderDate]]),1)</f>
        <v>35278</v>
      </c>
      <c r="V79" s="22" t="str">
        <f>IF(tbl_FACTS[[#This Row],[Quantity]]&lt;=10,"0–10",IF(tbl_FACTS[[#This Row],[Quantity]]&lt;=20,"11–20",IF(tbl_FACTS[[#This Row],[Quantity]]&lt;=30,"21–30",IF(tbl_FACTS[[#This Row],[Quantity]]&lt;=40,"31–40",IF(tbl_FACTS[[#This Row],[Quantity]]&lt;=50,"41–50","51+")))))</f>
        <v>11–20</v>
      </c>
    </row>
    <row r="80" spans="1:22">
      <c r="A80">
        <v>79</v>
      </c>
      <c r="B80">
        <v>10278</v>
      </c>
      <c r="C80">
        <v>44</v>
      </c>
      <c r="D80" s="19">
        <v>16</v>
      </c>
      <c r="E80" s="20">
        <f>_xlfn.XLOOKUP(tbl_FACTS[[#This Row],[OrderID]],Πίνακας64[OrderID],Πίνακας64[OrderDate])</f>
        <v>35289</v>
      </c>
      <c r="F80">
        <f>_xlfn.XLOOKUP(tbl_FACTS[[#This Row],[OrderID]],Πίνακας64[OrderID],Πίνακας64[CustomerID])</f>
        <v>5</v>
      </c>
      <c r="G80" t="str">
        <f>_xlfn.XLOOKUP(tbl_FACTS[[#This Row],[CustomerID]],Πίνακας1[CustomerID],Πίνακας1[CustomerName])</f>
        <v>Berglunds snabbkop</v>
      </c>
      <c r="H80" t="str">
        <f>_xlfn.XLOOKUP(tbl_FACTS[[#This Row],[CustomerID]],Πίνακας1[CustomerID],Πίνακας1[Country])</f>
        <v>Sweden</v>
      </c>
      <c r="I80">
        <f>_xlfn.XLOOKUP(tbl_FACTS[[#This Row],[OrderID]],Πίνακας64[OrderID],Πίνακας64[EmployeeID])</f>
        <v>8</v>
      </c>
      <c r="J80">
        <f>_xlfn.XLOOKUP(tbl_FACTS[[#This Row],[OrderID]],Πίνακας64[OrderID],Πίνακας64[ShipperID])</f>
        <v>2</v>
      </c>
      <c r="K80" t="str">
        <f>_xlfn.XLOOKUP(tbl_FACTS[[#This Row],[ShipperID]],Πίνακας8[ShipperID],Πίνακας8[ShipperName])</f>
        <v>United Package</v>
      </c>
      <c r="L80" t="str">
        <f>_xlfn.XLOOKUP(tbl_FACTS[[#This Row],[ProductID]],Πίνακας7[ProductID],Πίνακας7[ProductName])</f>
        <v>Gula Malacca</v>
      </c>
      <c r="M80">
        <f>_xlfn.XLOOKUP(tbl_FACTS[[#This Row],[ProductID]],Πίνακας7[ProductID],Πίνακας7[CategoryID])</f>
        <v>2</v>
      </c>
      <c r="N80" t="str">
        <f>_xlfn.XLOOKUP(tbl_FACTS[[#This Row],[CategoryID]],Πίνακας4[CategoryID],Πίνακας4[CategoryName])</f>
        <v>Condiments</v>
      </c>
      <c r="O80">
        <f>_xlfn.XLOOKUP(tbl_FACTS[[#This Row],[ProductID]],Πίνακας7[ProductID],Πίνακας7[SupplierID])</f>
        <v>20</v>
      </c>
      <c r="P80" t="str">
        <f>_xlfn.XLOOKUP(tbl_FACTS[[#This Row],[SupplierID]],Πίνακας9[SupplierID],Πίνακας9[SupplierName])</f>
        <v>Leka Trading</v>
      </c>
      <c r="Q80" s="21">
        <f>_xlfn.XLOOKUP(tbl_FACTS[[#This Row],[ProductID]],Πίνακας7[ProductID],Πίνακας7[Price])</f>
        <v>19</v>
      </c>
      <c r="R80" s="21">
        <f>tbl_FACTS[[#This Row],[Quantity]]*tbl_FACTS[[#This Row],[Price]]</f>
        <v>304</v>
      </c>
      <c r="S80" s="19">
        <f>IF(COUNTIFS(tbl_FACTS[OrderID],tbl_FACTS[[#This Row],[OrderID]],tbl_FACTS[OrderDetailID],"&lt;"&amp;tbl_FACTS[[#This Row],[OrderDetailID]])=0,1,0)</f>
        <v>1</v>
      </c>
      <c r="T80" s="19">
        <f>YEAR(tbl_FACTS[[#This Row],[OrderDate]])</f>
        <v>1996</v>
      </c>
      <c r="U80" s="22">
        <f>DATE(YEAR(tbl_FACTS[[#This Row],[OrderDate]]),MONTH(tbl_FACTS[[#This Row],[OrderDate]]),1)</f>
        <v>35278</v>
      </c>
      <c r="V80" s="22" t="str">
        <f>IF(tbl_FACTS[[#This Row],[Quantity]]&lt;=10,"0–10",IF(tbl_FACTS[[#This Row],[Quantity]]&lt;=20,"11–20",IF(tbl_FACTS[[#This Row],[Quantity]]&lt;=30,"21–30",IF(tbl_FACTS[[#This Row],[Quantity]]&lt;=40,"31–40",IF(tbl_FACTS[[#This Row],[Quantity]]&lt;=50,"41–50","51+")))))</f>
        <v>11–20</v>
      </c>
    </row>
    <row r="81" spans="1:22">
      <c r="A81">
        <v>80</v>
      </c>
      <c r="B81">
        <v>10278</v>
      </c>
      <c r="C81">
        <v>59</v>
      </c>
      <c r="D81" s="19">
        <v>15</v>
      </c>
      <c r="E81" s="20">
        <f>_xlfn.XLOOKUP(tbl_FACTS[[#This Row],[OrderID]],Πίνακας64[OrderID],Πίνακας64[OrderDate])</f>
        <v>35289</v>
      </c>
      <c r="F81">
        <f>_xlfn.XLOOKUP(tbl_FACTS[[#This Row],[OrderID]],Πίνακας64[OrderID],Πίνακας64[CustomerID])</f>
        <v>5</v>
      </c>
      <c r="G81" t="str">
        <f>_xlfn.XLOOKUP(tbl_FACTS[[#This Row],[CustomerID]],Πίνακας1[CustomerID],Πίνακας1[CustomerName])</f>
        <v>Berglunds snabbkop</v>
      </c>
      <c r="H81" t="str">
        <f>_xlfn.XLOOKUP(tbl_FACTS[[#This Row],[CustomerID]],Πίνακας1[CustomerID],Πίνακας1[Country])</f>
        <v>Sweden</v>
      </c>
      <c r="I81">
        <f>_xlfn.XLOOKUP(tbl_FACTS[[#This Row],[OrderID]],Πίνακας64[OrderID],Πίνακας64[EmployeeID])</f>
        <v>8</v>
      </c>
      <c r="J81">
        <f>_xlfn.XLOOKUP(tbl_FACTS[[#This Row],[OrderID]],Πίνακας64[OrderID],Πίνακας64[ShipperID])</f>
        <v>2</v>
      </c>
      <c r="K81" t="str">
        <f>_xlfn.XLOOKUP(tbl_FACTS[[#This Row],[ShipperID]],Πίνακας8[ShipperID],Πίνακας8[ShipperName])</f>
        <v>United Package</v>
      </c>
      <c r="L81" t="str">
        <f>_xlfn.XLOOKUP(tbl_FACTS[[#This Row],[ProductID]],Πίνακας7[ProductID],Πίνακας7[ProductName])</f>
        <v>Raclette Courdavault</v>
      </c>
      <c r="M81">
        <f>_xlfn.XLOOKUP(tbl_FACTS[[#This Row],[ProductID]],Πίνακας7[ProductID],Πίνακας7[CategoryID])</f>
        <v>4</v>
      </c>
      <c r="N81" t="str">
        <f>_xlfn.XLOOKUP(tbl_FACTS[[#This Row],[CategoryID]],Πίνακας4[CategoryID],Πίνακας4[CategoryName])</f>
        <v>Dairy Products</v>
      </c>
      <c r="O81">
        <f>_xlfn.XLOOKUP(tbl_FACTS[[#This Row],[ProductID]],Πίνακας7[ProductID],Πίνακας7[SupplierID])</f>
        <v>28</v>
      </c>
      <c r="P81" t="str">
        <f>_xlfn.XLOOKUP(tbl_FACTS[[#This Row],[SupplierID]],Πίνακας9[SupplierID],Πίνακας9[SupplierName])</f>
        <v>Gai paturage</v>
      </c>
      <c r="Q81" s="21">
        <f>_xlfn.XLOOKUP(tbl_FACTS[[#This Row],[ProductID]],Πίνακας7[ProductID],Πίνακας7[Price])</f>
        <v>55</v>
      </c>
      <c r="R81" s="21">
        <f>tbl_FACTS[[#This Row],[Quantity]]*tbl_FACTS[[#This Row],[Price]]</f>
        <v>825</v>
      </c>
      <c r="S81" s="19">
        <f>IF(COUNTIFS(tbl_FACTS[OrderID],tbl_FACTS[[#This Row],[OrderID]],tbl_FACTS[OrderDetailID],"&lt;"&amp;tbl_FACTS[[#This Row],[OrderDetailID]])=0,1,0)</f>
        <v>0</v>
      </c>
      <c r="T81" s="19">
        <f>YEAR(tbl_FACTS[[#This Row],[OrderDate]])</f>
        <v>1996</v>
      </c>
      <c r="U81" s="22">
        <f>DATE(YEAR(tbl_FACTS[[#This Row],[OrderDate]]),MONTH(tbl_FACTS[[#This Row],[OrderDate]]),1)</f>
        <v>35278</v>
      </c>
      <c r="V81" s="22" t="str">
        <f>IF(tbl_FACTS[[#This Row],[Quantity]]&lt;=10,"0–10",IF(tbl_FACTS[[#This Row],[Quantity]]&lt;=20,"11–20",IF(tbl_FACTS[[#This Row],[Quantity]]&lt;=30,"21–30",IF(tbl_FACTS[[#This Row],[Quantity]]&lt;=40,"31–40",IF(tbl_FACTS[[#This Row],[Quantity]]&lt;=50,"41–50","51+")))))</f>
        <v>11–20</v>
      </c>
    </row>
    <row r="82" spans="1:22">
      <c r="A82">
        <v>81</v>
      </c>
      <c r="B82">
        <v>10278</v>
      </c>
      <c r="C82">
        <v>63</v>
      </c>
      <c r="D82" s="19">
        <v>8</v>
      </c>
      <c r="E82" s="20">
        <f>_xlfn.XLOOKUP(tbl_FACTS[[#This Row],[OrderID]],Πίνακας64[OrderID],Πίνακας64[OrderDate])</f>
        <v>35289</v>
      </c>
      <c r="F82">
        <f>_xlfn.XLOOKUP(tbl_FACTS[[#This Row],[OrderID]],Πίνακας64[OrderID],Πίνακας64[CustomerID])</f>
        <v>5</v>
      </c>
      <c r="G82" t="str">
        <f>_xlfn.XLOOKUP(tbl_FACTS[[#This Row],[CustomerID]],Πίνακας1[CustomerID],Πίνακας1[CustomerName])</f>
        <v>Berglunds snabbkop</v>
      </c>
      <c r="H82" t="str">
        <f>_xlfn.XLOOKUP(tbl_FACTS[[#This Row],[CustomerID]],Πίνακας1[CustomerID],Πίνακας1[Country])</f>
        <v>Sweden</v>
      </c>
      <c r="I82">
        <f>_xlfn.XLOOKUP(tbl_FACTS[[#This Row],[OrderID]],Πίνακας64[OrderID],Πίνακας64[EmployeeID])</f>
        <v>8</v>
      </c>
      <c r="J82">
        <f>_xlfn.XLOOKUP(tbl_FACTS[[#This Row],[OrderID]],Πίνακας64[OrderID],Πίνακας64[ShipperID])</f>
        <v>2</v>
      </c>
      <c r="K82" t="str">
        <f>_xlfn.XLOOKUP(tbl_FACTS[[#This Row],[ShipperID]],Πίνακας8[ShipperID],Πίνακας8[ShipperName])</f>
        <v>United Package</v>
      </c>
      <c r="L82" t="str">
        <f>_xlfn.XLOOKUP(tbl_FACTS[[#This Row],[ProductID]],Πίνακας7[ProductID],Πίνακας7[ProductName])</f>
        <v>Vegie-spread</v>
      </c>
      <c r="M82">
        <f>_xlfn.XLOOKUP(tbl_FACTS[[#This Row],[ProductID]],Πίνακας7[ProductID],Πίνακας7[CategoryID])</f>
        <v>2</v>
      </c>
      <c r="N82" t="str">
        <f>_xlfn.XLOOKUP(tbl_FACTS[[#This Row],[CategoryID]],Πίνακας4[CategoryID],Πίνακας4[CategoryName])</f>
        <v>Condiments</v>
      </c>
      <c r="O82">
        <f>_xlfn.XLOOKUP(tbl_FACTS[[#This Row],[ProductID]],Πίνακας7[ProductID],Πίνακας7[SupplierID])</f>
        <v>7</v>
      </c>
      <c r="P82" t="str">
        <f>_xlfn.XLOOKUP(tbl_FACTS[[#This Row],[SupplierID]],Πίνακας9[SupplierID],Πίνακας9[SupplierName])</f>
        <v>Pavlova, Ltd.</v>
      </c>
      <c r="Q82" s="21">
        <f>_xlfn.XLOOKUP(tbl_FACTS[[#This Row],[ProductID]],Πίνακας7[ProductID],Πίνακας7[Price])</f>
        <v>44</v>
      </c>
      <c r="R82" s="21">
        <f>tbl_FACTS[[#This Row],[Quantity]]*tbl_FACTS[[#This Row],[Price]]</f>
        <v>352</v>
      </c>
      <c r="S82" s="19">
        <f>IF(COUNTIFS(tbl_FACTS[OrderID],tbl_FACTS[[#This Row],[OrderID]],tbl_FACTS[OrderDetailID],"&lt;"&amp;tbl_FACTS[[#This Row],[OrderDetailID]])=0,1,0)</f>
        <v>0</v>
      </c>
      <c r="T82" s="19">
        <f>YEAR(tbl_FACTS[[#This Row],[OrderDate]])</f>
        <v>1996</v>
      </c>
      <c r="U82" s="22">
        <f>DATE(YEAR(tbl_FACTS[[#This Row],[OrderDate]]),MONTH(tbl_FACTS[[#This Row],[OrderDate]]),1)</f>
        <v>35278</v>
      </c>
      <c r="V82" s="22" t="str">
        <f>IF(tbl_FACTS[[#This Row],[Quantity]]&lt;=10,"0–10",IF(tbl_FACTS[[#This Row],[Quantity]]&lt;=20,"11–20",IF(tbl_FACTS[[#This Row],[Quantity]]&lt;=30,"21–30",IF(tbl_FACTS[[#This Row],[Quantity]]&lt;=40,"31–40",IF(tbl_FACTS[[#This Row],[Quantity]]&lt;=50,"41–50","51+")))))</f>
        <v>0–10</v>
      </c>
    </row>
    <row r="83" spans="1:22">
      <c r="A83">
        <v>82</v>
      </c>
      <c r="B83">
        <v>10278</v>
      </c>
      <c r="C83">
        <v>73</v>
      </c>
      <c r="D83" s="19">
        <v>25</v>
      </c>
      <c r="E83" s="20">
        <f>_xlfn.XLOOKUP(tbl_FACTS[[#This Row],[OrderID]],Πίνακας64[OrderID],Πίνακας64[OrderDate])</f>
        <v>35289</v>
      </c>
      <c r="F83">
        <f>_xlfn.XLOOKUP(tbl_FACTS[[#This Row],[OrderID]],Πίνακας64[OrderID],Πίνακας64[CustomerID])</f>
        <v>5</v>
      </c>
      <c r="G83" t="str">
        <f>_xlfn.XLOOKUP(tbl_FACTS[[#This Row],[CustomerID]],Πίνακας1[CustomerID],Πίνακας1[CustomerName])</f>
        <v>Berglunds snabbkop</v>
      </c>
      <c r="H83" t="str">
        <f>_xlfn.XLOOKUP(tbl_FACTS[[#This Row],[CustomerID]],Πίνακας1[CustomerID],Πίνακας1[Country])</f>
        <v>Sweden</v>
      </c>
      <c r="I83">
        <f>_xlfn.XLOOKUP(tbl_FACTS[[#This Row],[OrderID]],Πίνακας64[OrderID],Πίνακας64[EmployeeID])</f>
        <v>8</v>
      </c>
      <c r="J83">
        <f>_xlfn.XLOOKUP(tbl_FACTS[[#This Row],[OrderID]],Πίνακας64[OrderID],Πίνακας64[ShipperID])</f>
        <v>2</v>
      </c>
      <c r="K83" t="str">
        <f>_xlfn.XLOOKUP(tbl_FACTS[[#This Row],[ShipperID]],Πίνακας8[ShipperID],Πίνακας8[ShipperName])</f>
        <v>United Package</v>
      </c>
      <c r="L83" t="str">
        <f>_xlfn.XLOOKUP(tbl_FACTS[[#This Row],[ProductID]],Πίνακας7[ProductID],Πίνακας7[ProductName])</f>
        <v>Rod Kaviar</v>
      </c>
      <c r="M83">
        <f>_xlfn.XLOOKUP(tbl_FACTS[[#This Row],[ProductID]],Πίνακας7[ProductID],Πίνακας7[CategoryID])</f>
        <v>8</v>
      </c>
      <c r="N83" t="str">
        <f>_xlfn.XLOOKUP(tbl_FACTS[[#This Row],[CategoryID]],Πίνακας4[CategoryID],Πίνακας4[CategoryName])</f>
        <v>Seafood</v>
      </c>
      <c r="O83">
        <f>_xlfn.XLOOKUP(tbl_FACTS[[#This Row],[ProductID]],Πίνακας7[ProductID],Πίνακας7[SupplierID])</f>
        <v>17</v>
      </c>
      <c r="P83" t="str">
        <f>_xlfn.XLOOKUP(tbl_FACTS[[#This Row],[SupplierID]],Πίνακας9[SupplierID],Πίνακας9[SupplierName])</f>
        <v>Svensk Sjofoda AB</v>
      </c>
      <c r="Q83" s="21">
        <f>_xlfn.XLOOKUP(tbl_FACTS[[#This Row],[ProductID]],Πίνακας7[ProductID],Πίνακας7[Price])</f>
        <v>15</v>
      </c>
      <c r="R83" s="21">
        <f>tbl_FACTS[[#This Row],[Quantity]]*tbl_FACTS[[#This Row],[Price]]</f>
        <v>375</v>
      </c>
      <c r="S83" s="19">
        <f>IF(COUNTIFS(tbl_FACTS[OrderID],tbl_FACTS[[#This Row],[OrderID]],tbl_FACTS[OrderDetailID],"&lt;"&amp;tbl_FACTS[[#This Row],[OrderDetailID]])=0,1,0)</f>
        <v>0</v>
      </c>
      <c r="T83" s="19">
        <f>YEAR(tbl_FACTS[[#This Row],[OrderDate]])</f>
        <v>1996</v>
      </c>
      <c r="U83" s="22">
        <f>DATE(YEAR(tbl_FACTS[[#This Row],[OrderDate]]),MONTH(tbl_FACTS[[#This Row],[OrderDate]]),1)</f>
        <v>35278</v>
      </c>
      <c r="V83" s="22" t="str">
        <f>IF(tbl_FACTS[[#This Row],[Quantity]]&lt;=10,"0–10",IF(tbl_FACTS[[#This Row],[Quantity]]&lt;=20,"11–20",IF(tbl_FACTS[[#This Row],[Quantity]]&lt;=30,"21–30",IF(tbl_FACTS[[#This Row],[Quantity]]&lt;=40,"31–40",IF(tbl_FACTS[[#This Row],[Quantity]]&lt;=50,"41–50","51+")))))</f>
        <v>21–30</v>
      </c>
    </row>
    <row r="84" spans="1:22">
      <c r="A84">
        <v>83</v>
      </c>
      <c r="B84">
        <v>10279</v>
      </c>
      <c r="C84">
        <v>17</v>
      </c>
      <c r="D84" s="19">
        <v>15</v>
      </c>
      <c r="E84" s="20">
        <f>_xlfn.XLOOKUP(tbl_FACTS[[#This Row],[OrderID]],Πίνακας64[OrderID],Πίνακας64[OrderDate])</f>
        <v>35290</v>
      </c>
      <c r="F84">
        <f>_xlfn.XLOOKUP(tbl_FACTS[[#This Row],[OrderID]],Πίνακας64[OrderID],Πίνακας64[CustomerID])</f>
        <v>44</v>
      </c>
      <c r="G84" t="str">
        <f>_xlfn.XLOOKUP(tbl_FACTS[[#This Row],[CustomerID]],Πίνακας1[CustomerID],Πίνακας1[CustomerName])</f>
        <v>Lehmanns Marktstand</v>
      </c>
      <c r="H84" t="str">
        <f>_xlfn.XLOOKUP(tbl_FACTS[[#This Row],[CustomerID]],Πίνακας1[CustomerID],Πίνακας1[Country])</f>
        <v>Germany</v>
      </c>
      <c r="I84">
        <f>_xlfn.XLOOKUP(tbl_FACTS[[#This Row],[OrderID]],Πίνακας64[OrderID],Πίνακας64[EmployeeID])</f>
        <v>8</v>
      </c>
      <c r="J84">
        <f>_xlfn.XLOOKUP(tbl_FACTS[[#This Row],[OrderID]],Πίνακας64[OrderID],Πίνακας64[ShipperID])</f>
        <v>2</v>
      </c>
      <c r="K84" t="str">
        <f>_xlfn.XLOOKUP(tbl_FACTS[[#This Row],[ShipperID]],Πίνακας8[ShipperID],Πίνακας8[ShipperName])</f>
        <v>United Package</v>
      </c>
      <c r="L84" t="str">
        <f>_xlfn.XLOOKUP(tbl_FACTS[[#This Row],[ProductID]],Πίνακας7[ProductID],Πίνακας7[ProductName])</f>
        <v>Alice Mutton</v>
      </c>
      <c r="M84">
        <f>_xlfn.XLOOKUP(tbl_FACTS[[#This Row],[ProductID]],Πίνακας7[ProductID],Πίνακας7[CategoryID])</f>
        <v>6</v>
      </c>
      <c r="N84" t="str">
        <f>_xlfn.XLOOKUP(tbl_FACTS[[#This Row],[CategoryID]],Πίνακας4[CategoryID],Πίνακας4[CategoryName])</f>
        <v>Meat/Poultry</v>
      </c>
      <c r="O84">
        <f>_xlfn.XLOOKUP(tbl_FACTS[[#This Row],[ProductID]],Πίνακας7[ProductID],Πίνακας7[SupplierID])</f>
        <v>7</v>
      </c>
      <c r="P84" t="str">
        <f>_xlfn.XLOOKUP(tbl_FACTS[[#This Row],[SupplierID]],Πίνακας9[SupplierID],Πίνακας9[SupplierName])</f>
        <v>Pavlova, Ltd.</v>
      </c>
      <c r="Q84" s="21">
        <f>_xlfn.XLOOKUP(tbl_FACTS[[#This Row],[ProductID]],Πίνακας7[ProductID],Πίνακας7[Price])</f>
        <v>39</v>
      </c>
      <c r="R84" s="21">
        <f>tbl_FACTS[[#This Row],[Quantity]]*tbl_FACTS[[#This Row],[Price]]</f>
        <v>585</v>
      </c>
      <c r="S84" s="19">
        <f>IF(COUNTIFS(tbl_FACTS[OrderID],tbl_FACTS[[#This Row],[OrderID]],tbl_FACTS[OrderDetailID],"&lt;"&amp;tbl_FACTS[[#This Row],[OrderDetailID]])=0,1,0)</f>
        <v>1</v>
      </c>
      <c r="T84" s="19">
        <f>YEAR(tbl_FACTS[[#This Row],[OrderDate]])</f>
        <v>1996</v>
      </c>
      <c r="U84" s="22">
        <f>DATE(YEAR(tbl_FACTS[[#This Row],[OrderDate]]),MONTH(tbl_FACTS[[#This Row],[OrderDate]]),1)</f>
        <v>35278</v>
      </c>
      <c r="V84" s="22" t="str">
        <f>IF(tbl_FACTS[[#This Row],[Quantity]]&lt;=10,"0–10",IF(tbl_FACTS[[#This Row],[Quantity]]&lt;=20,"11–20",IF(tbl_FACTS[[#This Row],[Quantity]]&lt;=30,"21–30",IF(tbl_FACTS[[#This Row],[Quantity]]&lt;=40,"31–40",IF(tbl_FACTS[[#This Row],[Quantity]]&lt;=50,"41–50","51+")))))</f>
        <v>11–20</v>
      </c>
    </row>
    <row r="85" spans="1:22">
      <c r="A85">
        <v>84</v>
      </c>
      <c r="B85">
        <v>10280</v>
      </c>
      <c r="C85">
        <v>24</v>
      </c>
      <c r="D85" s="19">
        <v>12</v>
      </c>
      <c r="E85" s="20">
        <f>_xlfn.XLOOKUP(tbl_FACTS[[#This Row],[OrderID]],Πίνακας64[OrderID],Πίνακας64[OrderDate])</f>
        <v>35291</v>
      </c>
      <c r="F85">
        <f>_xlfn.XLOOKUP(tbl_FACTS[[#This Row],[OrderID]],Πίνακας64[OrderID],Πίνακας64[CustomerID])</f>
        <v>5</v>
      </c>
      <c r="G85" t="str">
        <f>_xlfn.XLOOKUP(tbl_FACTS[[#This Row],[CustomerID]],Πίνακας1[CustomerID],Πίνακας1[CustomerName])</f>
        <v>Berglunds snabbkop</v>
      </c>
      <c r="H85" t="str">
        <f>_xlfn.XLOOKUP(tbl_FACTS[[#This Row],[CustomerID]],Πίνακας1[CustomerID],Πίνακας1[Country])</f>
        <v>Sweden</v>
      </c>
      <c r="I85">
        <f>_xlfn.XLOOKUP(tbl_FACTS[[#This Row],[OrderID]],Πίνακας64[OrderID],Πίνακας64[EmployeeID])</f>
        <v>2</v>
      </c>
      <c r="J85">
        <f>_xlfn.XLOOKUP(tbl_FACTS[[#This Row],[OrderID]],Πίνακας64[OrderID],Πίνακας64[ShipperID])</f>
        <v>1</v>
      </c>
      <c r="K85" t="str">
        <f>_xlfn.XLOOKUP(tbl_FACTS[[#This Row],[ShipperID]],Πίνακας8[ShipperID],Πίνακας8[ShipperName])</f>
        <v>Speedy Express</v>
      </c>
      <c r="L85" t="str">
        <f>_xlfn.XLOOKUP(tbl_FACTS[[#This Row],[ProductID]],Πίνακας7[ProductID],Πίνακας7[ProductName])</f>
        <v>Guarana Fantastica</v>
      </c>
      <c r="M85">
        <f>_xlfn.XLOOKUP(tbl_FACTS[[#This Row],[ProductID]],Πίνακας7[ProductID],Πίνακας7[CategoryID])</f>
        <v>1</v>
      </c>
      <c r="N85" t="str">
        <f>_xlfn.XLOOKUP(tbl_FACTS[[#This Row],[CategoryID]],Πίνακας4[CategoryID],Πίνακας4[CategoryName])</f>
        <v>Beverages</v>
      </c>
      <c r="O85">
        <f>_xlfn.XLOOKUP(tbl_FACTS[[#This Row],[ProductID]],Πίνακας7[ProductID],Πίνακας7[SupplierID])</f>
        <v>10</v>
      </c>
      <c r="P85" t="str">
        <f>_xlfn.XLOOKUP(tbl_FACTS[[#This Row],[SupplierID]],Πίνακας9[SupplierID],Πίνακας9[SupplierName])</f>
        <v>Refrescos Americanas LTDA</v>
      </c>
      <c r="Q85" s="21">
        <f>_xlfn.XLOOKUP(tbl_FACTS[[#This Row],[ProductID]],Πίνακας7[ProductID],Πίνακας7[Price])</f>
        <v>5</v>
      </c>
      <c r="R85" s="21">
        <f>tbl_FACTS[[#This Row],[Quantity]]*tbl_FACTS[[#This Row],[Price]]</f>
        <v>60</v>
      </c>
      <c r="S85" s="19">
        <f>IF(COUNTIFS(tbl_FACTS[OrderID],tbl_FACTS[[#This Row],[OrderID]],tbl_FACTS[OrderDetailID],"&lt;"&amp;tbl_FACTS[[#This Row],[OrderDetailID]])=0,1,0)</f>
        <v>1</v>
      </c>
      <c r="T85" s="19">
        <f>YEAR(tbl_FACTS[[#This Row],[OrderDate]])</f>
        <v>1996</v>
      </c>
      <c r="U85" s="22">
        <f>DATE(YEAR(tbl_FACTS[[#This Row],[OrderDate]]),MONTH(tbl_FACTS[[#This Row],[OrderDate]]),1)</f>
        <v>35278</v>
      </c>
      <c r="V85" s="22" t="str">
        <f>IF(tbl_FACTS[[#This Row],[Quantity]]&lt;=10,"0–10",IF(tbl_FACTS[[#This Row],[Quantity]]&lt;=20,"11–20",IF(tbl_FACTS[[#This Row],[Quantity]]&lt;=30,"21–30",IF(tbl_FACTS[[#This Row],[Quantity]]&lt;=40,"31–40",IF(tbl_FACTS[[#This Row],[Quantity]]&lt;=50,"41–50","51+")))))</f>
        <v>11–20</v>
      </c>
    </row>
    <row r="86" spans="1:22">
      <c r="A86">
        <v>85</v>
      </c>
      <c r="B86">
        <v>10280</v>
      </c>
      <c r="C86">
        <v>55</v>
      </c>
      <c r="D86" s="19">
        <v>20</v>
      </c>
      <c r="E86" s="20">
        <f>_xlfn.XLOOKUP(tbl_FACTS[[#This Row],[OrderID]],Πίνακας64[OrderID],Πίνακας64[OrderDate])</f>
        <v>35291</v>
      </c>
      <c r="F86">
        <f>_xlfn.XLOOKUP(tbl_FACTS[[#This Row],[OrderID]],Πίνακας64[OrderID],Πίνακας64[CustomerID])</f>
        <v>5</v>
      </c>
      <c r="G86" t="str">
        <f>_xlfn.XLOOKUP(tbl_FACTS[[#This Row],[CustomerID]],Πίνακας1[CustomerID],Πίνακας1[CustomerName])</f>
        <v>Berglunds snabbkop</v>
      </c>
      <c r="H86" t="str">
        <f>_xlfn.XLOOKUP(tbl_FACTS[[#This Row],[CustomerID]],Πίνακας1[CustomerID],Πίνακας1[Country])</f>
        <v>Sweden</v>
      </c>
      <c r="I86">
        <f>_xlfn.XLOOKUP(tbl_FACTS[[#This Row],[OrderID]],Πίνακας64[OrderID],Πίνακας64[EmployeeID])</f>
        <v>2</v>
      </c>
      <c r="J86">
        <f>_xlfn.XLOOKUP(tbl_FACTS[[#This Row],[OrderID]],Πίνακας64[OrderID],Πίνακας64[ShipperID])</f>
        <v>1</v>
      </c>
      <c r="K86" t="str">
        <f>_xlfn.XLOOKUP(tbl_FACTS[[#This Row],[ShipperID]],Πίνακας8[ShipperID],Πίνακας8[ShipperName])</f>
        <v>Speedy Express</v>
      </c>
      <c r="L86" t="str">
        <f>_xlfn.XLOOKUP(tbl_FACTS[[#This Row],[ProductID]],Πίνακας7[ProductID],Πίνακας7[ProductName])</f>
        <v>Pate chinois</v>
      </c>
      <c r="M86">
        <f>_xlfn.XLOOKUP(tbl_FACTS[[#This Row],[ProductID]],Πίνακας7[ProductID],Πίνακας7[CategoryID])</f>
        <v>6</v>
      </c>
      <c r="N86" t="str">
        <f>_xlfn.XLOOKUP(tbl_FACTS[[#This Row],[CategoryID]],Πίνακας4[CategoryID],Πίνακας4[CategoryName])</f>
        <v>Meat/Poultry</v>
      </c>
      <c r="O86">
        <f>_xlfn.XLOOKUP(tbl_FACTS[[#This Row],[ProductID]],Πίνακας7[ProductID],Πίνακας7[SupplierID])</f>
        <v>25</v>
      </c>
      <c r="P86" t="str">
        <f>_xlfn.XLOOKUP(tbl_FACTS[[#This Row],[SupplierID]],Πίνακας9[SupplierID],Πίνακας9[SupplierName])</f>
        <v>Ma Maison</v>
      </c>
      <c r="Q86" s="21">
        <f>_xlfn.XLOOKUP(tbl_FACTS[[#This Row],[ProductID]],Πίνακας7[ProductID],Πίνακας7[Price])</f>
        <v>24</v>
      </c>
      <c r="R86" s="21">
        <f>tbl_FACTS[[#This Row],[Quantity]]*tbl_FACTS[[#This Row],[Price]]</f>
        <v>480</v>
      </c>
      <c r="S86" s="19">
        <f>IF(COUNTIFS(tbl_FACTS[OrderID],tbl_FACTS[[#This Row],[OrderID]],tbl_FACTS[OrderDetailID],"&lt;"&amp;tbl_FACTS[[#This Row],[OrderDetailID]])=0,1,0)</f>
        <v>0</v>
      </c>
      <c r="T86" s="19">
        <f>YEAR(tbl_FACTS[[#This Row],[OrderDate]])</f>
        <v>1996</v>
      </c>
      <c r="U86" s="22">
        <f>DATE(YEAR(tbl_FACTS[[#This Row],[OrderDate]]),MONTH(tbl_FACTS[[#This Row],[OrderDate]]),1)</f>
        <v>35278</v>
      </c>
      <c r="V86" s="22" t="str">
        <f>IF(tbl_FACTS[[#This Row],[Quantity]]&lt;=10,"0–10",IF(tbl_FACTS[[#This Row],[Quantity]]&lt;=20,"11–20",IF(tbl_FACTS[[#This Row],[Quantity]]&lt;=30,"21–30",IF(tbl_FACTS[[#This Row],[Quantity]]&lt;=40,"31–40",IF(tbl_FACTS[[#This Row],[Quantity]]&lt;=50,"41–50","51+")))))</f>
        <v>11–20</v>
      </c>
    </row>
    <row r="87" spans="1:22">
      <c r="A87">
        <v>86</v>
      </c>
      <c r="B87">
        <v>10280</v>
      </c>
      <c r="C87">
        <v>75</v>
      </c>
      <c r="D87" s="19">
        <v>30</v>
      </c>
      <c r="E87" s="20">
        <f>_xlfn.XLOOKUP(tbl_FACTS[[#This Row],[OrderID]],Πίνακας64[OrderID],Πίνακας64[OrderDate])</f>
        <v>35291</v>
      </c>
      <c r="F87">
        <f>_xlfn.XLOOKUP(tbl_FACTS[[#This Row],[OrderID]],Πίνακας64[OrderID],Πίνακας64[CustomerID])</f>
        <v>5</v>
      </c>
      <c r="G87" t="str">
        <f>_xlfn.XLOOKUP(tbl_FACTS[[#This Row],[CustomerID]],Πίνακας1[CustomerID],Πίνακας1[CustomerName])</f>
        <v>Berglunds snabbkop</v>
      </c>
      <c r="H87" t="str">
        <f>_xlfn.XLOOKUP(tbl_FACTS[[#This Row],[CustomerID]],Πίνακας1[CustomerID],Πίνακας1[Country])</f>
        <v>Sweden</v>
      </c>
      <c r="I87">
        <f>_xlfn.XLOOKUP(tbl_FACTS[[#This Row],[OrderID]],Πίνακας64[OrderID],Πίνακας64[EmployeeID])</f>
        <v>2</v>
      </c>
      <c r="J87">
        <f>_xlfn.XLOOKUP(tbl_FACTS[[#This Row],[OrderID]],Πίνακας64[OrderID],Πίνακας64[ShipperID])</f>
        <v>1</v>
      </c>
      <c r="K87" t="str">
        <f>_xlfn.XLOOKUP(tbl_FACTS[[#This Row],[ShipperID]],Πίνακας8[ShipperID],Πίνακας8[ShipperName])</f>
        <v>Speedy Express</v>
      </c>
      <c r="L87" t="str">
        <f>_xlfn.XLOOKUP(tbl_FACTS[[#This Row],[ProductID]],Πίνακας7[ProductID],Πίνακας7[ProductName])</f>
        <v>Rhonbrau Klosterbier</v>
      </c>
      <c r="M87">
        <f>_xlfn.XLOOKUP(tbl_FACTS[[#This Row],[ProductID]],Πίνακας7[ProductID],Πίνακας7[CategoryID])</f>
        <v>1</v>
      </c>
      <c r="N87" t="str">
        <f>_xlfn.XLOOKUP(tbl_FACTS[[#This Row],[CategoryID]],Πίνακας4[CategoryID],Πίνακας4[CategoryName])</f>
        <v>Beverages</v>
      </c>
      <c r="O87">
        <f>_xlfn.XLOOKUP(tbl_FACTS[[#This Row],[ProductID]],Πίνακας7[ProductID],Πίνακας7[SupplierID])</f>
        <v>12</v>
      </c>
      <c r="P87" t="str">
        <f>_xlfn.XLOOKUP(tbl_FACTS[[#This Row],[SupplierID]],Πίνακας9[SupplierID],Πίνακας9[SupplierName])</f>
        <v>Plutzer Lebensmittelgro├ƒmarkte AG</v>
      </c>
      <c r="Q87" s="21">
        <f>_xlfn.XLOOKUP(tbl_FACTS[[#This Row],[ProductID]],Πίνακας7[ProductID],Πίνακας7[Price])</f>
        <v>8</v>
      </c>
      <c r="R87" s="21">
        <f>tbl_FACTS[[#This Row],[Quantity]]*tbl_FACTS[[#This Row],[Price]]</f>
        <v>240</v>
      </c>
      <c r="S87" s="19">
        <f>IF(COUNTIFS(tbl_FACTS[OrderID],tbl_FACTS[[#This Row],[OrderID]],tbl_FACTS[OrderDetailID],"&lt;"&amp;tbl_FACTS[[#This Row],[OrderDetailID]])=0,1,0)</f>
        <v>0</v>
      </c>
      <c r="T87" s="19">
        <f>YEAR(tbl_FACTS[[#This Row],[OrderDate]])</f>
        <v>1996</v>
      </c>
      <c r="U87" s="22">
        <f>DATE(YEAR(tbl_FACTS[[#This Row],[OrderDate]]),MONTH(tbl_FACTS[[#This Row],[OrderDate]]),1)</f>
        <v>35278</v>
      </c>
      <c r="V87" s="22" t="str">
        <f>IF(tbl_FACTS[[#This Row],[Quantity]]&lt;=10,"0–10",IF(tbl_FACTS[[#This Row],[Quantity]]&lt;=20,"11–20",IF(tbl_FACTS[[#This Row],[Quantity]]&lt;=30,"21–30",IF(tbl_FACTS[[#This Row],[Quantity]]&lt;=40,"31–40",IF(tbl_FACTS[[#This Row],[Quantity]]&lt;=50,"41–50","51+")))))</f>
        <v>21–30</v>
      </c>
    </row>
    <row r="88" spans="1:22">
      <c r="A88">
        <v>87</v>
      </c>
      <c r="B88">
        <v>10281</v>
      </c>
      <c r="C88">
        <v>19</v>
      </c>
      <c r="D88" s="19">
        <v>1</v>
      </c>
      <c r="E88" s="20">
        <f>_xlfn.XLOOKUP(tbl_FACTS[[#This Row],[OrderID]],Πίνακας64[OrderID],Πίνακας64[OrderDate])</f>
        <v>35291</v>
      </c>
      <c r="F88">
        <f>_xlfn.XLOOKUP(tbl_FACTS[[#This Row],[OrderID]],Πίνακας64[OrderID],Πίνακας64[CustomerID])</f>
        <v>69</v>
      </c>
      <c r="G88" t="str">
        <f>_xlfn.XLOOKUP(tbl_FACTS[[#This Row],[CustomerID]],Πίνακας1[CustomerID],Πίνακας1[CustomerName])</f>
        <v>Romero y tomillo</v>
      </c>
      <c r="H88" t="str">
        <f>_xlfn.XLOOKUP(tbl_FACTS[[#This Row],[CustomerID]],Πίνακας1[CustomerID],Πίνακας1[Country])</f>
        <v>Spain</v>
      </c>
      <c r="I88">
        <f>_xlfn.XLOOKUP(tbl_FACTS[[#This Row],[OrderID]],Πίνακας64[OrderID],Πίνακας64[EmployeeID])</f>
        <v>4</v>
      </c>
      <c r="J88">
        <f>_xlfn.XLOOKUP(tbl_FACTS[[#This Row],[OrderID]],Πίνακας64[OrderID],Πίνακας64[ShipperID])</f>
        <v>1</v>
      </c>
      <c r="K88" t="str">
        <f>_xlfn.XLOOKUP(tbl_FACTS[[#This Row],[ShipperID]],Πίνακας8[ShipperID],Πίνακας8[ShipperName])</f>
        <v>Speedy Express</v>
      </c>
      <c r="L88" t="str">
        <f>_xlfn.XLOOKUP(tbl_FACTS[[#This Row],[ProductID]],Πίνακας7[ProductID],Πίνακας7[ProductName])</f>
        <v>Teatime Chocolate Biscuits</v>
      </c>
      <c r="M88">
        <f>_xlfn.XLOOKUP(tbl_FACTS[[#This Row],[ProductID]],Πίνακας7[ProductID],Πίνακας7[CategoryID])</f>
        <v>3</v>
      </c>
      <c r="N88" t="str">
        <f>_xlfn.XLOOKUP(tbl_FACTS[[#This Row],[CategoryID]],Πίνακας4[CategoryID],Πίνακας4[CategoryName])</f>
        <v>Confections</v>
      </c>
      <c r="O88">
        <f>_xlfn.XLOOKUP(tbl_FACTS[[#This Row],[ProductID]],Πίνακας7[ProductID],Πίνακας7[SupplierID])</f>
        <v>8</v>
      </c>
      <c r="P88" t="str">
        <f>_xlfn.XLOOKUP(tbl_FACTS[[#This Row],[SupplierID]],Πίνακας9[SupplierID],Πίνακας9[SupplierName])</f>
        <v>Specialty Biscuits, Ltd.</v>
      </c>
      <c r="Q88" s="21">
        <f>_xlfn.XLOOKUP(tbl_FACTS[[#This Row],[ProductID]],Πίνακας7[ProductID],Πίνακας7[Price])</f>
        <v>9</v>
      </c>
      <c r="R88" s="21">
        <f>tbl_FACTS[[#This Row],[Quantity]]*tbl_FACTS[[#This Row],[Price]]</f>
        <v>9</v>
      </c>
      <c r="S88" s="19">
        <f>IF(COUNTIFS(tbl_FACTS[OrderID],tbl_FACTS[[#This Row],[OrderID]],tbl_FACTS[OrderDetailID],"&lt;"&amp;tbl_FACTS[[#This Row],[OrderDetailID]])=0,1,0)</f>
        <v>1</v>
      </c>
      <c r="T88" s="19">
        <f>YEAR(tbl_FACTS[[#This Row],[OrderDate]])</f>
        <v>1996</v>
      </c>
      <c r="U88" s="22">
        <f>DATE(YEAR(tbl_FACTS[[#This Row],[OrderDate]]),MONTH(tbl_FACTS[[#This Row],[OrderDate]]),1)</f>
        <v>35278</v>
      </c>
      <c r="V88" s="22" t="str">
        <f>IF(tbl_FACTS[[#This Row],[Quantity]]&lt;=10,"0–10",IF(tbl_FACTS[[#This Row],[Quantity]]&lt;=20,"11–20",IF(tbl_FACTS[[#This Row],[Quantity]]&lt;=30,"21–30",IF(tbl_FACTS[[#This Row],[Quantity]]&lt;=40,"31–40",IF(tbl_FACTS[[#This Row],[Quantity]]&lt;=50,"41–50","51+")))))</f>
        <v>0–10</v>
      </c>
    </row>
    <row r="89" spans="1:22">
      <c r="A89">
        <v>88</v>
      </c>
      <c r="B89">
        <v>10281</v>
      </c>
      <c r="C89">
        <v>24</v>
      </c>
      <c r="D89" s="19">
        <v>6</v>
      </c>
      <c r="E89" s="20">
        <f>_xlfn.XLOOKUP(tbl_FACTS[[#This Row],[OrderID]],Πίνακας64[OrderID],Πίνακας64[OrderDate])</f>
        <v>35291</v>
      </c>
      <c r="F89">
        <f>_xlfn.XLOOKUP(tbl_FACTS[[#This Row],[OrderID]],Πίνακας64[OrderID],Πίνακας64[CustomerID])</f>
        <v>69</v>
      </c>
      <c r="G89" t="str">
        <f>_xlfn.XLOOKUP(tbl_FACTS[[#This Row],[CustomerID]],Πίνακας1[CustomerID],Πίνακας1[CustomerName])</f>
        <v>Romero y tomillo</v>
      </c>
      <c r="H89" t="str">
        <f>_xlfn.XLOOKUP(tbl_FACTS[[#This Row],[CustomerID]],Πίνακας1[CustomerID],Πίνακας1[Country])</f>
        <v>Spain</v>
      </c>
      <c r="I89">
        <f>_xlfn.XLOOKUP(tbl_FACTS[[#This Row],[OrderID]],Πίνακας64[OrderID],Πίνακας64[EmployeeID])</f>
        <v>4</v>
      </c>
      <c r="J89">
        <f>_xlfn.XLOOKUP(tbl_FACTS[[#This Row],[OrderID]],Πίνακας64[OrderID],Πίνακας64[ShipperID])</f>
        <v>1</v>
      </c>
      <c r="K89" t="str">
        <f>_xlfn.XLOOKUP(tbl_FACTS[[#This Row],[ShipperID]],Πίνακας8[ShipperID],Πίνακας8[ShipperName])</f>
        <v>Speedy Express</v>
      </c>
      <c r="L89" t="str">
        <f>_xlfn.XLOOKUP(tbl_FACTS[[#This Row],[ProductID]],Πίνακας7[ProductID],Πίνακας7[ProductName])</f>
        <v>Guarana Fantastica</v>
      </c>
      <c r="M89">
        <f>_xlfn.XLOOKUP(tbl_FACTS[[#This Row],[ProductID]],Πίνακας7[ProductID],Πίνακας7[CategoryID])</f>
        <v>1</v>
      </c>
      <c r="N89" t="str">
        <f>_xlfn.XLOOKUP(tbl_FACTS[[#This Row],[CategoryID]],Πίνακας4[CategoryID],Πίνακας4[CategoryName])</f>
        <v>Beverages</v>
      </c>
      <c r="O89">
        <f>_xlfn.XLOOKUP(tbl_FACTS[[#This Row],[ProductID]],Πίνακας7[ProductID],Πίνακας7[SupplierID])</f>
        <v>10</v>
      </c>
      <c r="P89" t="str">
        <f>_xlfn.XLOOKUP(tbl_FACTS[[#This Row],[SupplierID]],Πίνακας9[SupplierID],Πίνακας9[SupplierName])</f>
        <v>Refrescos Americanas LTDA</v>
      </c>
      <c r="Q89" s="21">
        <f>_xlfn.XLOOKUP(tbl_FACTS[[#This Row],[ProductID]],Πίνακας7[ProductID],Πίνακας7[Price])</f>
        <v>5</v>
      </c>
      <c r="R89" s="21">
        <f>tbl_FACTS[[#This Row],[Quantity]]*tbl_FACTS[[#This Row],[Price]]</f>
        <v>30</v>
      </c>
      <c r="S89" s="19">
        <f>IF(COUNTIFS(tbl_FACTS[OrderID],tbl_FACTS[[#This Row],[OrderID]],tbl_FACTS[OrderDetailID],"&lt;"&amp;tbl_FACTS[[#This Row],[OrderDetailID]])=0,1,0)</f>
        <v>0</v>
      </c>
      <c r="T89" s="19">
        <f>YEAR(tbl_FACTS[[#This Row],[OrderDate]])</f>
        <v>1996</v>
      </c>
      <c r="U89" s="22">
        <f>DATE(YEAR(tbl_FACTS[[#This Row],[OrderDate]]),MONTH(tbl_FACTS[[#This Row],[OrderDate]]),1)</f>
        <v>35278</v>
      </c>
      <c r="V89" s="22" t="str">
        <f>IF(tbl_FACTS[[#This Row],[Quantity]]&lt;=10,"0–10",IF(tbl_FACTS[[#This Row],[Quantity]]&lt;=20,"11–20",IF(tbl_FACTS[[#This Row],[Quantity]]&lt;=30,"21–30",IF(tbl_FACTS[[#This Row],[Quantity]]&lt;=40,"31–40",IF(tbl_FACTS[[#This Row],[Quantity]]&lt;=50,"41–50","51+")))))</f>
        <v>0–10</v>
      </c>
    </row>
    <row r="90" spans="1:22">
      <c r="A90">
        <v>89</v>
      </c>
      <c r="B90">
        <v>10281</v>
      </c>
      <c r="C90">
        <v>35</v>
      </c>
      <c r="D90" s="19">
        <v>4</v>
      </c>
      <c r="E90" s="20">
        <f>_xlfn.XLOOKUP(tbl_FACTS[[#This Row],[OrderID]],Πίνακας64[OrderID],Πίνακας64[OrderDate])</f>
        <v>35291</v>
      </c>
      <c r="F90">
        <f>_xlfn.XLOOKUP(tbl_FACTS[[#This Row],[OrderID]],Πίνακας64[OrderID],Πίνακας64[CustomerID])</f>
        <v>69</v>
      </c>
      <c r="G90" t="str">
        <f>_xlfn.XLOOKUP(tbl_FACTS[[#This Row],[CustomerID]],Πίνακας1[CustomerID],Πίνακας1[CustomerName])</f>
        <v>Romero y tomillo</v>
      </c>
      <c r="H90" t="str">
        <f>_xlfn.XLOOKUP(tbl_FACTS[[#This Row],[CustomerID]],Πίνακας1[CustomerID],Πίνακας1[Country])</f>
        <v>Spain</v>
      </c>
      <c r="I90">
        <f>_xlfn.XLOOKUP(tbl_FACTS[[#This Row],[OrderID]],Πίνακας64[OrderID],Πίνακας64[EmployeeID])</f>
        <v>4</v>
      </c>
      <c r="J90">
        <f>_xlfn.XLOOKUP(tbl_FACTS[[#This Row],[OrderID]],Πίνακας64[OrderID],Πίνακας64[ShipperID])</f>
        <v>1</v>
      </c>
      <c r="K90" t="str">
        <f>_xlfn.XLOOKUP(tbl_FACTS[[#This Row],[ShipperID]],Πίνακας8[ShipperID],Πίνακας8[ShipperName])</f>
        <v>Speedy Express</v>
      </c>
      <c r="L90" t="str">
        <f>_xlfn.XLOOKUP(tbl_FACTS[[#This Row],[ProductID]],Πίνακας7[ProductID],Πίνακας7[ProductName])</f>
        <v>Steeleye Stout</v>
      </c>
      <c r="M90">
        <f>_xlfn.XLOOKUP(tbl_FACTS[[#This Row],[ProductID]],Πίνακας7[ProductID],Πίνακας7[CategoryID])</f>
        <v>1</v>
      </c>
      <c r="N90" t="str">
        <f>_xlfn.XLOOKUP(tbl_FACTS[[#This Row],[CategoryID]],Πίνακας4[CategoryID],Πίνακας4[CategoryName])</f>
        <v>Beverages</v>
      </c>
      <c r="O90">
        <f>_xlfn.XLOOKUP(tbl_FACTS[[#This Row],[ProductID]],Πίνακας7[ProductID],Πίνακας7[SupplierID])</f>
        <v>16</v>
      </c>
      <c r="P90" t="str">
        <f>_xlfn.XLOOKUP(tbl_FACTS[[#This Row],[SupplierID]],Πίνακας9[SupplierID],Πίνακας9[SupplierName])</f>
        <v>Bigfoot Breweries</v>
      </c>
      <c r="Q90" s="21">
        <f>_xlfn.XLOOKUP(tbl_FACTS[[#This Row],[ProductID]],Πίνακας7[ProductID],Πίνακας7[Price])</f>
        <v>18</v>
      </c>
      <c r="R90" s="21">
        <f>tbl_FACTS[[#This Row],[Quantity]]*tbl_FACTS[[#This Row],[Price]]</f>
        <v>72</v>
      </c>
      <c r="S90" s="19">
        <f>IF(COUNTIFS(tbl_FACTS[OrderID],tbl_FACTS[[#This Row],[OrderID]],tbl_FACTS[OrderDetailID],"&lt;"&amp;tbl_FACTS[[#This Row],[OrderDetailID]])=0,1,0)</f>
        <v>0</v>
      </c>
      <c r="T90" s="19">
        <f>YEAR(tbl_FACTS[[#This Row],[OrderDate]])</f>
        <v>1996</v>
      </c>
      <c r="U90" s="22">
        <f>DATE(YEAR(tbl_FACTS[[#This Row],[OrderDate]]),MONTH(tbl_FACTS[[#This Row],[OrderDate]]),1)</f>
        <v>35278</v>
      </c>
      <c r="V90" s="22" t="str">
        <f>IF(tbl_FACTS[[#This Row],[Quantity]]&lt;=10,"0–10",IF(tbl_FACTS[[#This Row],[Quantity]]&lt;=20,"11–20",IF(tbl_FACTS[[#This Row],[Quantity]]&lt;=30,"21–30",IF(tbl_FACTS[[#This Row],[Quantity]]&lt;=40,"31–40",IF(tbl_FACTS[[#This Row],[Quantity]]&lt;=50,"41–50","51+")))))</f>
        <v>0–10</v>
      </c>
    </row>
    <row r="91" spans="1:22">
      <c r="A91">
        <v>90</v>
      </c>
      <c r="B91">
        <v>10282</v>
      </c>
      <c r="C91">
        <v>30</v>
      </c>
      <c r="D91" s="19">
        <v>6</v>
      </c>
      <c r="E91" s="20">
        <f>_xlfn.XLOOKUP(tbl_FACTS[[#This Row],[OrderID]],Πίνακας64[OrderID],Πίνακας64[OrderDate])</f>
        <v>35292</v>
      </c>
      <c r="F91">
        <f>_xlfn.XLOOKUP(tbl_FACTS[[#This Row],[OrderID]],Πίνακας64[OrderID],Πίνακας64[CustomerID])</f>
        <v>69</v>
      </c>
      <c r="G91" t="str">
        <f>_xlfn.XLOOKUP(tbl_FACTS[[#This Row],[CustomerID]],Πίνακας1[CustomerID],Πίνακας1[CustomerName])</f>
        <v>Romero y tomillo</v>
      </c>
      <c r="H91" t="str">
        <f>_xlfn.XLOOKUP(tbl_FACTS[[#This Row],[CustomerID]],Πίνακας1[CustomerID],Πίνακας1[Country])</f>
        <v>Spain</v>
      </c>
      <c r="I91">
        <f>_xlfn.XLOOKUP(tbl_FACTS[[#This Row],[OrderID]],Πίνακας64[OrderID],Πίνακας64[EmployeeID])</f>
        <v>4</v>
      </c>
      <c r="J91">
        <f>_xlfn.XLOOKUP(tbl_FACTS[[#This Row],[OrderID]],Πίνακας64[OrderID],Πίνακας64[ShipperID])</f>
        <v>1</v>
      </c>
      <c r="K91" t="str">
        <f>_xlfn.XLOOKUP(tbl_FACTS[[#This Row],[ShipperID]],Πίνακας8[ShipperID],Πίνακας8[ShipperName])</f>
        <v>Speedy Express</v>
      </c>
      <c r="L91" t="str">
        <f>_xlfn.XLOOKUP(tbl_FACTS[[#This Row],[ProductID]],Πίνακας7[ProductID],Πίνακας7[ProductName])</f>
        <v>Nord-Ost Matjeshering</v>
      </c>
      <c r="M91">
        <f>_xlfn.XLOOKUP(tbl_FACTS[[#This Row],[ProductID]],Πίνακας7[ProductID],Πίνακας7[CategoryID])</f>
        <v>8</v>
      </c>
      <c r="N91" t="str">
        <f>_xlfn.XLOOKUP(tbl_FACTS[[#This Row],[CategoryID]],Πίνακας4[CategoryID],Πίνακας4[CategoryName])</f>
        <v>Seafood</v>
      </c>
      <c r="O91">
        <f>_xlfn.XLOOKUP(tbl_FACTS[[#This Row],[ProductID]],Πίνακας7[ProductID],Πίνακας7[SupplierID])</f>
        <v>13</v>
      </c>
      <c r="P91" t="str">
        <f>_xlfn.XLOOKUP(tbl_FACTS[[#This Row],[SupplierID]],Πίνακας9[SupplierID],Πίνακας9[SupplierName])</f>
        <v>Nord-Ost-Fisch Handelsgesellschaft mbH</v>
      </c>
      <c r="Q91" s="21">
        <f>_xlfn.XLOOKUP(tbl_FACTS[[#This Row],[ProductID]],Πίνακας7[ProductID],Πίνακας7[Price])</f>
        <v>26</v>
      </c>
      <c r="R91" s="21">
        <f>tbl_FACTS[[#This Row],[Quantity]]*tbl_FACTS[[#This Row],[Price]]</f>
        <v>156</v>
      </c>
      <c r="S91" s="19">
        <f>IF(COUNTIFS(tbl_FACTS[OrderID],tbl_FACTS[[#This Row],[OrderID]],tbl_FACTS[OrderDetailID],"&lt;"&amp;tbl_FACTS[[#This Row],[OrderDetailID]])=0,1,0)</f>
        <v>1</v>
      </c>
      <c r="T91" s="19">
        <f>YEAR(tbl_FACTS[[#This Row],[OrderDate]])</f>
        <v>1996</v>
      </c>
      <c r="U91" s="22">
        <f>DATE(YEAR(tbl_FACTS[[#This Row],[OrderDate]]),MONTH(tbl_FACTS[[#This Row],[OrderDate]]),1)</f>
        <v>35278</v>
      </c>
      <c r="V91" s="22" t="str">
        <f>IF(tbl_FACTS[[#This Row],[Quantity]]&lt;=10,"0–10",IF(tbl_FACTS[[#This Row],[Quantity]]&lt;=20,"11–20",IF(tbl_FACTS[[#This Row],[Quantity]]&lt;=30,"21–30",IF(tbl_FACTS[[#This Row],[Quantity]]&lt;=40,"31–40",IF(tbl_FACTS[[#This Row],[Quantity]]&lt;=50,"41–50","51+")))))</f>
        <v>0–10</v>
      </c>
    </row>
    <row r="92" spans="1:22">
      <c r="A92">
        <v>91</v>
      </c>
      <c r="B92">
        <v>10282</v>
      </c>
      <c r="C92">
        <v>57</v>
      </c>
      <c r="D92" s="19">
        <v>2</v>
      </c>
      <c r="E92" s="20">
        <f>_xlfn.XLOOKUP(tbl_FACTS[[#This Row],[OrderID]],Πίνακας64[OrderID],Πίνακας64[OrderDate])</f>
        <v>35292</v>
      </c>
      <c r="F92">
        <f>_xlfn.XLOOKUP(tbl_FACTS[[#This Row],[OrderID]],Πίνακας64[OrderID],Πίνακας64[CustomerID])</f>
        <v>69</v>
      </c>
      <c r="G92" t="str">
        <f>_xlfn.XLOOKUP(tbl_FACTS[[#This Row],[CustomerID]],Πίνακας1[CustomerID],Πίνακας1[CustomerName])</f>
        <v>Romero y tomillo</v>
      </c>
      <c r="H92" t="str">
        <f>_xlfn.XLOOKUP(tbl_FACTS[[#This Row],[CustomerID]],Πίνακας1[CustomerID],Πίνακας1[Country])</f>
        <v>Spain</v>
      </c>
      <c r="I92">
        <f>_xlfn.XLOOKUP(tbl_FACTS[[#This Row],[OrderID]],Πίνακας64[OrderID],Πίνακας64[EmployeeID])</f>
        <v>4</v>
      </c>
      <c r="J92">
        <f>_xlfn.XLOOKUP(tbl_FACTS[[#This Row],[OrderID]],Πίνακας64[OrderID],Πίνακας64[ShipperID])</f>
        <v>1</v>
      </c>
      <c r="K92" t="str">
        <f>_xlfn.XLOOKUP(tbl_FACTS[[#This Row],[ShipperID]],Πίνακας8[ShipperID],Πίνακας8[ShipperName])</f>
        <v>Speedy Express</v>
      </c>
      <c r="L92" t="str">
        <f>_xlfn.XLOOKUP(tbl_FACTS[[#This Row],[ProductID]],Πίνακας7[ProductID],Πίνακας7[ProductName])</f>
        <v>Ravioli Angelo</v>
      </c>
      <c r="M92">
        <f>_xlfn.XLOOKUP(tbl_FACTS[[#This Row],[ProductID]],Πίνακας7[ProductID],Πίνακας7[CategoryID])</f>
        <v>5</v>
      </c>
      <c r="N92" t="str">
        <f>_xlfn.XLOOKUP(tbl_FACTS[[#This Row],[CategoryID]],Πίνακας4[CategoryID],Πίνακας4[CategoryName])</f>
        <v>Grains/Cereals</v>
      </c>
      <c r="O92">
        <f>_xlfn.XLOOKUP(tbl_FACTS[[#This Row],[ProductID]],Πίνακας7[ProductID],Πίνακας7[SupplierID])</f>
        <v>26</v>
      </c>
      <c r="P92" t="str">
        <f>_xlfn.XLOOKUP(tbl_FACTS[[#This Row],[SupplierID]],Πίνακας9[SupplierID],Πίνακας9[SupplierName])</f>
        <v>Pasta Buttini s.r.l.</v>
      </c>
      <c r="Q92" s="21">
        <f>_xlfn.XLOOKUP(tbl_FACTS[[#This Row],[ProductID]],Πίνακας7[ProductID],Πίνακας7[Price])</f>
        <v>20</v>
      </c>
      <c r="R92" s="21">
        <f>tbl_FACTS[[#This Row],[Quantity]]*tbl_FACTS[[#This Row],[Price]]</f>
        <v>40</v>
      </c>
      <c r="S92" s="19">
        <f>IF(COUNTIFS(tbl_FACTS[OrderID],tbl_FACTS[[#This Row],[OrderID]],tbl_FACTS[OrderDetailID],"&lt;"&amp;tbl_FACTS[[#This Row],[OrderDetailID]])=0,1,0)</f>
        <v>0</v>
      </c>
      <c r="T92" s="19">
        <f>YEAR(tbl_FACTS[[#This Row],[OrderDate]])</f>
        <v>1996</v>
      </c>
      <c r="U92" s="22">
        <f>DATE(YEAR(tbl_FACTS[[#This Row],[OrderDate]]),MONTH(tbl_FACTS[[#This Row],[OrderDate]]),1)</f>
        <v>35278</v>
      </c>
      <c r="V92" s="22" t="str">
        <f>IF(tbl_FACTS[[#This Row],[Quantity]]&lt;=10,"0–10",IF(tbl_FACTS[[#This Row],[Quantity]]&lt;=20,"11–20",IF(tbl_FACTS[[#This Row],[Quantity]]&lt;=30,"21–30",IF(tbl_FACTS[[#This Row],[Quantity]]&lt;=40,"31–40",IF(tbl_FACTS[[#This Row],[Quantity]]&lt;=50,"41–50","51+")))))</f>
        <v>0–10</v>
      </c>
    </row>
    <row r="93" spans="1:22">
      <c r="A93">
        <v>92</v>
      </c>
      <c r="B93">
        <v>10283</v>
      </c>
      <c r="C93">
        <v>15</v>
      </c>
      <c r="D93" s="19">
        <v>20</v>
      </c>
      <c r="E93" s="20">
        <f>_xlfn.XLOOKUP(tbl_FACTS[[#This Row],[OrderID]],Πίνακας64[OrderID],Πίνακας64[OrderDate])</f>
        <v>35293</v>
      </c>
      <c r="F93">
        <f>_xlfn.XLOOKUP(tbl_FACTS[[#This Row],[OrderID]],Πίνακας64[OrderID],Πίνακας64[CustomerID])</f>
        <v>46</v>
      </c>
      <c r="G93" t="str">
        <f>_xlfn.XLOOKUP(tbl_FACTS[[#This Row],[CustomerID]],Πίνακας1[CustomerID],Πίνακας1[CustomerName])</f>
        <v>LILA-Supermercado</v>
      </c>
      <c r="H93" t="str">
        <f>_xlfn.XLOOKUP(tbl_FACTS[[#This Row],[CustomerID]],Πίνακας1[CustomerID],Πίνακας1[Country])</f>
        <v>Venezuela</v>
      </c>
      <c r="I93">
        <f>_xlfn.XLOOKUP(tbl_FACTS[[#This Row],[OrderID]],Πίνακας64[OrderID],Πίνακας64[EmployeeID])</f>
        <v>3</v>
      </c>
      <c r="J93">
        <f>_xlfn.XLOOKUP(tbl_FACTS[[#This Row],[OrderID]],Πίνακας64[OrderID],Πίνακας64[ShipperID])</f>
        <v>3</v>
      </c>
      <c r="K93" t="str">
        <f>_xlfn.XLOOKUP(tbl_FACTS[[#This Row],[ShipperID]],Πίνακας8[ShipperID],Πίνακας8[ShipperName])</f>
        <v>Federal Shipping</v>
      </c>
      <c r="L93" t="str">
        <f>_xlfn.XLOOKUP(tbl_FACTS[[#This Row],[ProductID]],Πίνακας7[ProductID],Πίνακας7[ProductName])</f>
        <v>Genen Shouyu</v>
      </c>
      <c r="M93">
        <f>_xlfn.XLOOKUP(tbl_FACTS[[#This Row],[ProductID]],Πίνακας7[ProductID],Πίνακας7[CategoryID])</f>
        <v>2</v>
      </c>
      <c r="N93" t="str">
        <f>_xlfn.XLOOKUP(tbl_FACTS[[#This Row],[CategoryID]],Πίνακας4[CategoryID],Πίνακας4[CategoryName])</f>
        <v>Condiments</v>
      </c>
      <c r="O93">
        <f>_xlfn.XLOOKUP(tbl_FACTS[[#This Row],[ProductID]],Πίνακας7[ProductID],Πίνακας7[SupplierID])</f>
        <v>6</v>
      </c>
      <c r="P93" t="str">
        <f>_xlfn.XLOOKUP(tbl_FACTS[[#This Row],[SupplierID]],Πίνακας9[SupplierID],Πίνακας9[SupplierName])</f>
        <v>Mayumi's</v>
      </c>
      <c r="Q93" s="21">
        <f>_xlfn.XLOOKUP(tbl_FACTS[[#This Row],[ProductID]],Πίνακας7[ProductID],Πίνακας7[Price])</f>
        <v>16</v>
      </c>
      <c r="R93" s="21">
        <f>tbl_FACTS[[#This Row],[Quantity]]*tbl_FACTS[[#This Row],[Price]]</f>
        <v>320</v>
      </c>
      <c r="S93" s="19">
        <f>IF(COUNTIFS(tbl_FACTS[OrderID],tbl_FACTS[[#This Row],[OrderID]],tbl_FACTS[OrderDetailID],"&lt;"&amp;tbl_FACTS[[#This Row],[OrderDetailID]])=0,1,0)</f>
        <v>1</v>
      </c>
      <c r="T93" s="19">
        <f>YEAR(tbl_FACTS[[#This Row],[OrderDate]])</f>
        <v>1996</v>
      </c>
      <c r="U93" s="22">
        <f>DATE(YEAR(tbl_FACTS[[#This Row],[OrderDate]]),MONTH(tbl_FACTS[[#This Row],[OrderDate]]),1)</f>
        <v>35278</v>
      </c>
      <c r="V93" s="22" t="str">
        <f>IF(tbl_FACTS[[#This Row],[Quantity]]&lt;=10,"0–10",IF(tbl_FACTS[[#This Row],[Quantity]]&lt;=20,"11–20",IF(tbl_FACTS[[#This Row],[Quantity]]&lt;=30,"21–30",IF(tbl_FACTS[[#This Row],[Quantity]]&lt;=40,"31–40",IF(tbl_FACTS[[#This Row],[Quantity]]&lt;=50,"41–50","51+")))))</f>
        <v>11–20</v>
      </c>
    </row>
    <row r="94" spans="1:22">
      <c r="A94">
        <v>93</v>
      </c>
      <c r="B94">
        <v>10283</v>
      </c>
      <c r="C94">
        <v>19</v>
      </c>
      <c r="D94" s="19">
        <v>18</v>
      </c>
      <c r="E94" s="20">
        <f>_xlfn.XLOOKUP(tbl_FACTS[[#This Row],[OrderID]],Πίνακας64[OrderID],Πίνακας64[OrderDate])</f>
        <v>35293</v>
      </c>
      <c r="F94">
        <f>_xlfn.XLOOKUP(tbl_FACTS[[#This Row],[OrderID]],Πίνακας64[OrderID],Πίνακας64[CustomerID])</f>
        <v>46</v>
      </c>
      <c r="G94" t="str">
        <f>_xlfn.XLOOKUP(tbl_FACTS[[#This Row],[CustomerID]],Πίνακας1[CustomerID],Πίνακας1[CustomerName])</f>
        <v>LILA-Supermercado</v>
      </c>
      <c r="H94" t="str">
        <f>_xlfn.XLOOKUP(tbl_FACTS[[#This Row],[CustomerID]],Πίνακας1[CustomerID],Πίνακας1[Country])</f>
        <v>Venezuela</v>
      </c>
      <c r="I94">
        <f>_xlfn.XLOOKUP(tbl_FACTS[[#This Row],[OrderID]],Πίνακας64[OrderID],Πίνακας64[EmployeeID])</f>
        <v>3</v>
      </c>
      <c r="J94">
        <f>_xlfn.XLOOKUP(tbl_FACTS[[#This Row],[OrderID]],Πίνακας64[OrderID],Πίνακας64[ShipperID])</f>
        <v>3</v>
      </c>
      <c r="K94" t="str">
        <f>_xlfn.XLOOKUP(tbl_FACTS[[#This Row],[ShipperID]],Πίνακας8[ShipperID],Πίνακας8[ShipperName])</f>
        <v>Federal Shipping</v>
      </c>
      <c r="L94" t="str">
        <f>_xlfn.XLOOKUP(tbl_FACTS[[#This Row],[ProductID]],Πίνακας7[ProductID],Πίνακας7[ProductName])</f>
        <v>Teatime Chocolate Biscuits</v>
      </c>
      <c r="M94">
        <f>_xlfn.XLOOKUP(tbl_FACTS[[#This Row],[ProductID]],Πίνακας7[ProductID],Πίνακας7[CategoryID])</f>
        <v>3</v>
      </c>
      <c r="N94" t="str">
        <f>_xlfn.XLOOKUP(tbl_FACTS[[#This Row],[CategoryID]],Πίνακας4[CategoryID],Πίνακας4[CategoryName])</f>
        <v>Confections</v>
      </c>
      <c r="O94">
        <f>_xlfn.XLOOKUP(tbl_FACTS[[#This Row],[ProductID]],Πίνακας7[ProductID],Πίνακας7[SupplierID])</f>
        <v>8</v>
      </c>
      <c r="P94" t="str">
        <f>_xlfn.XLOOKUP(tbl_FACTS[[#This Row],[SupplierID]],Πίνακας9[SupplierID],Πίνακας9[SupplierName])</f>
        <v>Specialty Biscuits, Ltd.</v>
      </c>
      <c r="Q94" s="21">
        <f>_xlfn.XLOOKUP(tbl_FACTS[[#This Row],[ProductID]],Πίνακας7[ProductID],Πίνακας7[Price])</f>
        <v>9</v>
      </c>
      <c r="R94" s="21">
        <f>tbl_FACTS[[#This Row],[Quantity]]*tbl_FACTS[[#This Row],[Price]]</f>
        <v>162</v>
      </c>
      <c r="S94" s="19">
        <f>IF(COUNTIFS(tbl_FACTS[OrderID],tbl_FACTS[[#This Row],[OrderID]],tbl_FACTS[OrderDetailID],"&lt;"&amp;tbl_FACTS[[#This Row],[OrderDetailID]])=0,1,0)</f>
        <v>0</v>
      </c>
      <c r="T94" s="19">
        <f>YEAR(tbl_FACTS[[#This Row],[OrderDate]])</f>
        <v>1996</v>
      </c>
      <c r="U94" s="22">
        <f>DATE(YEAR(tbl_FACTS[[#This Row],[OrderDate]]),MONTH(tbl_FACTS[[#This Row],[OrderDate]]),1)</f>
        <v>35278</v>
      </c>
      <c r="V94" s="22" t="str">
        <f>IF(tbl_FACTS[[#This Row],[Quantity]]&lt;=10,"0–10",IF(tbl_FACTS[[#This Row],[Quantity]]&lt;=20,"11–20",IF(tbl_FACTS[[#This Row],[Quantity]]&lt;=30,"21–30",IF(tbl_FACTS[[#This Row],[Quantity]]&lt;=40,"31–40",IF(tbl_FACTS[[#This Row],[Quantity]]&lt;=50,"41–50","51+")))))</f>
        <v>11–20</v>
      </c>
    </row>
    <row r="95" spans="1:22">
      <c r="A95">
        <v>94</v>
      </c>
      <c r="B95">
        <v>10283</v>
      </c>
      <c r="C95">
        <v>60</v>
      </c>
      <c r="D95" s="19">
        <v>35</v>
      </c>
      <c r="E95" s="20">
        <f>_xlfn.XLOOKUP(tbl_FACTS[[#This Row],[OrderID]],Πίνακας64[OrderID],Πίνακας64[OrderDate])</f>
        <v>35293</v>
      </c>
      <c r="F95">
        <f>_xlfn.XLOOKUP(tbl_FACTS[[#This Row],[OrderID]],Πίνακας64[OrderID],Πίνακας64[CustomerID])</f>
        <v>46</v>
      </c>
      <c r="G95" t="str">
        <f>_xlfn.XLOOKUP(tbl_FACTS[[#This Row],[CustomerID]],Πίνακας1[CustomerID],Πίνακας1[CustomerName])</f>
        <v>LILA-Supermercado</v>
      </c>
      <c r="H95" t="str">
        <f>_xlfn.XLOOKUP(tbl_FACTS[[#This Row],[CustomerID]],Πίνακας1[CustomerID],Πίνακας1[Country])</f>
        <v>Venezuela</v>
      </c>
      <c r="I95">
        <f>_xlfn.XLOOKUP(tbl_FACTS[[#This Row],[OrderID]],Πίνακας64[OrderID],Πίνακας64[EmployeeID])</f>
        <v>3</v>
      </c>
      <c r="J95">
        <f>_xlfn.XLOOKUP(tbl_FACTS[[#This Row],[OrderID]],Πίνακας64[OrderID],Πίνακας64[ShipperID])</f>
        <v>3</v>
      </c>
      <c r="K95" t="str">
        <f>_xlfn.XLOOKUP(tbl_FACTS[[#This Row],[ShipperID]],Πίνακας8[ShipperID],Πίνακας8[ShipperName])</f>
        <v>Federal Shipping</v>
      </c>
      <c r="L95" t="str">
        <f>_xlfn.XLOOKUP(tbl_FACTS[[#This Row],[ProductID]],Πίνακας7[ProductID],Πίνακας7[ProductName])</f>
        <v>Camembert Pierrot</v>
      </c>
      <c r="M95">
        <f>_xlfn.XLOOKUP(tbl_FACTS[[#This Row],[ProductID]],Πίνακας7[ProductID],Πίνακας7[CategoryID])</f>
        <v>4</v>
      </c>
      <c r="N95" t="str">
        <f>_xlfn.XLOOKUP(tbl_FACTS[[#This Row],[CategoryID]],Πίνακας4[CategoryID],Πίνακας4[CategoryName])</f>
        <v>Dairy Products</v>
      </c>
      <c r="O95">
        <f>_xlfn.XLOOKUP(tbl_FACTS[[#This Row],[ProductID]],Πίνακας7[ProductID],Πίνακας7[SupplierID])</f>
        <v>28</v>
      </c>
      <c r="P95" t="str">
        <f>_xlfn.XLOOKUP(tbl_FACTS[[#This Row],[SupplierID]],Πίνακας9[SupplierID],Πίνακας9[SupplierName])</f>
        <v>Gai paturage</v>
      </c>
      <c r="Q95" s="21">
        <f>_xlfn.XLOOKUP(tbl_FACTS[[#This Row],[ProductID]],Πίνακας7[ProductID],Πίνακας7[Price])</f>
        <v>34</v>
      </c>
      <c r="R95" s="21">
        <f>tbl_FACTS[[#This Row],[Quantity]]*tbl_FACTS[[#This Row],[Price]]</f>
        <v>1190</v>
      </c>
      <c r="S95" s="19">
        <f>IF(COUNTIFS(tbl_FACTS[OrderID],tbl_FACTS[[#This Row],[OrderID]],tbl_FACTS[OrderDetailID],"&lt;"&amp;tbl_FACTS[[#This Row],[OrderDetailID]])=0,1,0)</f>
        <v>0</v>
      </c>
      <c r="T95" s="19">
        <f>YEAR(tbl_FACTS[[#This Row],[OrderDate]])</f>
        <v>1996</v>
      </c>
      <c r="U95" s="22">
        <f>DATE(YEAR(tbl_FACTS[[#This Row],[OrderDate]]),MONTH(tbl_FACTS[[#This Row],[OrderDate]]),1)</f>
        <v>35278</v>
      </c>
      <c r="V95" s="22" t="str">
        <f>IF(tbl_FACTS[[#This Row],[Quantity]]&lt;=10,"0–10",IF(tbl_FACTS[[#This Row],[Quantity]]&lt;=20,"11–20",IF(tbl_FACTS[[#This Row],[Quantity]]&lt;=30,"21–30",IF(tbl_FACTS[[#This Row],[Quantity]]&lt;=40,"31–40",IF(tbl_FACTS[[#This Row],[Quantity]]&lt;=50,"41–50","51+")))))</f>
        <v>31–40</v>
      </c>
    </row>
    <row r="96" spans="1:22">
      <c r="A96">
        <v>95</v>
      </c>
      <c r="B96">
        <v>10283</v>
      </c>
      <c r="C96">
        <v>72</v>
      </c>
      <c r="D96" s="19">
        <v>3</v>
      </c>
      <c r="E96" s="20">
        <f>_xlfn.XLOOKUP(tbl_FACTS[[#This Row],[OrderID]],Πίνακας64[OrderID],Πίνακας64[OrderDate])</f>
        <v>35293</v>
      </c>
      <c r="F96">
        <f>_xlfn.XLOOKUP(tbl_FACTS[[#This Row],[OrderID]],Πίνακας64[OrderID],Πίνακας64[CustomerID])</f>
        <v>46</v>
      </c>
      <c r="G96" t="str">
        <f>_xlfn.XLOOKUP(tbl_FACTS[[#This Row],[CustomerID]],Πίνακας1[CustomerID],Πίνακας1[CustomerName])</f>
        <v>LILA-Supermercado</v>
      </c>
      <c r="H96" t="str">
        <f>_xlfn.XLOOKUP(tbl_FACTS[[#This Row],[CustomerID]],Πίνακας1[CustomerID],Πίνακας1[Country])</f>
        <v>Venezuela</v>
      </c>
      <c r="I96">
        <f>_xlfn.XLOOKUP(tbl_FACTS[[#This Row],[OrderID]],Πίνακας64[OrderID],Πίνακας64[EmployeeID])</f>
        <v>3</v>
      </c>
      <c r="J96">
        <f>_xlfn.XLOOKUP(tbl_FACTS[[#This Row],[OrderID]],Πίνακας64[OrderID],Πίνακας64[ShipperID])</f>
        <v>3</v>
      </c>
      <c r="K96" t="str">
        <f>_xlfn.XLOOKUP(tbl_FACTS[[#This Row],[ShipperID]],Πίνακας8[ShipperID],Πίνακας8[ShipperName])</f>
        <v>Federal Shipping</v>
      </c>
      <c r="L96" t="str">
        <f>_xlfn.XLOOKUP(tbl_FACTS[[#This Row],[ProductID]],Πίνακας7[ProductID],Πίνακας7[ProductName])</f>
        <v>Mozzarella di Giovanni</v>
      </c>
      <c r="M96">
        <f>_xlfn.XLOOKUP(tbl_FACTS[[#This Row],[ProductID]],Πίνακας7[ProductID],Πίνακας7[CategoryID])</f>
        <v>4</v>
      </c>
      <c r="N96" t="str">
        <f>_xlfn.XLOOKUP(tbl_FACTS[[#This Row],[CategoryID]],Πίνακας4[CategoryID],Πίνακας4[CategoryName])</f>
        <v>Dairy Products</v>
      </c>
      <c r="O96">
        <f>_xlfn.XLOOKUP(tbl_FACTS[[#This Row],[ProductID]],Πίνακας7[ProductID],Πίνακας7[SupplierID])</f>
        <v>14</v>
      </c>
      <c r="P96" t="str">
        <f>_xlfn.XLOOKUP(tbl_FACTS[[#This Row],[SupplierID]],Πίνακας9[SupplierID],Πίνακας9[SupplierName])</f>
        <v>Formaggi Fortini s.r.l.</v>
      </c>
      <c r="Q96" s="21">
        <f>_xlfn.XLOOKUP(tbl_FACTS[[#This Row],[ProductID]],Πίνακας7[ProductID],Πίνακας7[Price])</f>
        <v>35</v>
      </c>
      <c r="R96" s="21">
        <f>tbl_FACTS[[#This Row],[Quantity]]*tbl_FACTS[[#This Row],[Price]]</f>
        <v>105</v>
      </c>
      <c r="S96" s="19">
        <f>IF(COUNTIFS(tbl_FACTS[OrderID],tbl_FACTS[[#This Row],[OrderID]],tbl_FACTS[OrderDetailID],"&lt;"&amp;tbl_FACTS[[#This Row],[OrderDetailID]])=0,1,0)</f>
        <v>0</v>
      </c>
      <c r="T96" s="19">
        <f>YEAR(tbl_FACTS[[#This Row],[OrderDate]])</f>
        <v>1996</v>
      </c>
      <c r="U96" s="22">
        <f>DATE(YEAR(tbl_FACTS[[#This Row],[OrderDate]]),MONTH(tbl_FACTS[[#This Row],[OrderDate]]),1)</f>
        <v>35278</v>
      </c>
      <c r="V96" s="22" t="str">
        <f>IF(tbl_FACTS[[#This Row],[Quantity]]&lt;=10,"0–10",IF(tbl_FACTS[[#This Row],[Quantity]]&lt;=20,"11–20",IF(tbl_FACTS[[#This Row],[Quantity]]&lt;=30,"21–30",IF(tbl_FACTS[[#This Row],[Quantity]]&lt;=40,"31–40",IF(tbl_FACTS[[#This Row],[Quantity]]&lt;=50,"41–50","51+")))))</f>
        <v>0–10</v>
      </c>
    </row>
    <row r="97" spans="1:22">
      <c r="A97">
        <v>96</v>
      </c>
      <c r="B97">
        <v>10284</v>
      </c>
      <c r="C97">
        <v>27</v>
      </c>
      <c r="D97" s="19">
        <v>15</v>
      </c>
      <c r="E97" s="20">
        <f>_xlfn.XLOOKUP(tbl_FACTS[[#This Row],[OrderID]],Πίνακας64[OrderID],Πίνακας64[OrderDate])</f>
        <v>35296</v>
      </c>
      <c r="F97">
        <f>_xlfn.XLOOKUP(tbl_FACTS[[#This Row],[OrderID]],Πίνακας64[OrderID],Πίνακας64[CustomerID])</f>
        <v>44</v>
      </c>
      <c r="G97" t="str">
        <f>_xlfn.XLOOKUP(tbl_FACTS[[#This Row],[CustomerID]],Πίνακας1[CustomerID],Πίνακας1[CustomerName])</f>
        <v>Lehmanns Marktstand</v>
      </c>
      <c r="H97" t="str">
        <f>_xlfn.XLOOKUP(tbl_FACTS[[#This Row],[CustomerID]],Πίνακας1[CustomerID],Πίνακας1[Country])</f>
        <v>Germany</v>
      </c>
      <c r="I97">
        <f>_xlfn.XLOOKUP(tbl_FACTS[[#This Row],[OrderID]],Πίνακας64[OrderID],Πίνακας64[EmployeeID])</f>
        <v>4</v>
      </c>
      <c r="J97">
        <f>_xlfn.XLOOKUP(tbl_FACTS[[#This Row],[OrderID]],Πίνακας64[OrderID],Πίνακας64[ShipperID])</f>
        <v>1</v>
      </c>
      <c r="K97" t="str">
        <f>_xlfn.XLOOKUP(tbl_FACTS[[#This Row],[ShipperID]],Πίνακας8[ShipperID],Πίνακας8[ShipperName])</f>
        <v>Speedy Express</v>
      </c>
      <c r="L97" t="str">
        <f>_xlfn.XLOOKUP(tbl_FACTS[[#This Row],[ProductID]],Πίνακας7[ProductID],Πίνακας7[ProductName])</f>
        <v>Schoggi Schokolade</v>
      </c>
      <c r="M97">
        <f>_xlfn.XLOOKUP(tbl_FACTS[[#This Row],[ProductID]],Πίνακας7[ProductID],Πίνακας7[CategoryID])</f>
        <v>3</v>
      </c>
      <c r="N97" t="str">
        <f>_xlfn.XLOOKUP(tbl_FACTS[[#This Row],[CategoryID]],Πίνακας4[CategoryID],Πίνακας4[CategoryName])</f>
        <v>Confections</v>
      </c>
      <c r="O97">
        <f>_xlfn.XLOOKUP(tbl_FACTS[[#This Row],[ProductID]],Πίνακας7[ProductID],Πίνακας7[SupplierID])</f>
        <v>11</v>
      </c>
      <c r="P97" t="str">
        <f>_xlfn.XLOOKUP(tbl_FACTS[[#This Row],[SupplierID]],Πίνακας9[SupplierID],Πίνακας9[SupplierName])</f>
        <v>Heli Su├ƒwaren GmbH &amp; Co. KG</v>
      </c>
      <c r="Q97" s="21">
        <f>_xlfn.XLOOKUP(tbl_FACTS[[#This Row],[ProductID]],Πίνακας7[ProductID],Πίνακας7[Price])</f>
        <v>44</v>
      </c>
      <c r="R97" s="21">
        <f>tbl_FACTS[[#This Row],[Quantity]]*tbl_FACTS[[#This Row],[Price]]</f>
        <v>660</v>
      </c>
      <c r="S97" s="19">
        <f>IF(COUNTIFS(tbl_FACTS[OrderID],tbl_FACTS[[#This Row],[OrderID]],tbl_FACTS[OrderDetailID],"&lt;"&amp;tbl_FACTS[[#This Row],[OrderDetailID]])=0,1,0)</f>
        <v>1</v>
      </c>
      <c r="T97" s="19">
        <f>YEAR(tbl_FACTS[[#This Row],[OrderDate]])</f>
        <v>1996</v>
      </c>
      <c r="U97" s="22">
        <f>DATE(YEAR(tbl_FACTS[[#This Row],[OrderDate]]),MONTH(tbl_FACTS[[#This Row],[OrderDate]]),1)</f>
        <v>35278</v>
      </c>
      <c r="V97" s="22" t="str">
        <f>IF(tbl_FACTS[[#This Row],[Quantity]]&lt;=10,"0–10",IF(tbl_FACTS[[#This Row],[Quantity]]&lt;=20,"11–20",IF(tbl_FACTS[[#This Row],[Quantity]]&lt;=30,"21–30",IF(tbl_FACTS[[#This Row],[Quantity]]&lt;=40,"31–40",IF(tbl_FACTS[[#This Row],[Quantity]]&lt;=50,"41–50","51+")))))</f>
        <v>11–20</v>
      </c>
    </row>
    <row r="98" spans="1:22">
      <c r="A98">
        <v>97</v>
      </c>
      <c r="B98">
        <v>10284</v>
      </c>
      <c r="C98">
        <v>44</v>
      </c>
      <c r="D98" s="19">
        <v>21</v>
      </c>
      <c r="E98" s="20">
        <f>_xlfn.XLOOKUP(tbl_FACTS[[#This Row],[OrderID]],Πίνακας64[OrderID],Πίνακας64[OrderDate])</f>
        <v>35296</v>
      </c>
      <c r="F98">
        <f>_xlfn.XLOOKUP(tbl_FACTS[[#This Row],[OrderID]],Πίνακας64[OrderID],Πίνακας64[CustomerID])</f>
        <v>44</v>
      </c>
      <c r="G98" t="str">
        <f>_xlfn.XLOOKUP(tbl_FACTS[[#This Row],[CustomerID]],Πίνακας1[CustomerID],Πίνακας1[CustomerName])</f>
        <v>Lehmanns Marktstand</v>
      </c>
      <c r="H98" t="str">
        <f>_xlfn.XLOOKUP(tbl_FACTS[[#This Row],[CustomerID]],Πίνακας1[CustomerID],Πίνακας1[Country])</f>
        <v>Germany</v>
      </c>
      <c r="I98">
        <f>_xlfn.XLOOKUP(tbl_FACTS[[#This Row],[OrderID]],Πίνακας64[OrderID],Πίνακας64[EmployeeID])</f>
        <v>4</v>
      </c>
      <c r="J98">
        <f>_xlfn.XLOOKUP(tbl_FACTS[[#This Row],[OrderID]],Πίνακας64[OrderID],Πίνακας64[ShipperID])</f>
        <v>1</v>
      </c>
      <c r="K98" t="str">
        <f>_xlfn.XLOOKUP(tbl_FACTS[[#This Row],[ShipperID]],Πίνακας8[ShipperID],Πίνακας8[ShipperName])</f>
        <v>Speedy Express</v>
      </c>
      <c r="L98" t="str">
        <f>_xlfn.XLOOKUP(tbl_FACTS[[#This Row],[ProductID]],Πίνακας7[ProductID],Πίνακας7[ProductName])</f>
        <v>Gula Malacca</v>
      </c>
      <c r="M98">
        <f>_xlfn.XLOOKUP(tbl_FACTS[[#This Row],[ProductID]],Πίνακας7[ProductID],Πίνακας7[CategoryID])</f>
        <v>2</v>
      </c>
      <c r="N98" t="str">
        <f>_xlfn.XLOOKUP(tbl_FACTS[[#This Row],[CategoryID]],Πίνακας4[CategoryID],Πίνακας4[CategoryName])</f>
        <v>Condiments</v>
      </c>
      <c r="O98">
        <f>_xlfn.XLOOKUP(tbl_FACTS[[#This Row],[ProductID]],Πίνακας7[ProductID],Πίνακας7[SupplierID])</f>
        <v>20</v>
      </c>
      <c r="P98" t="str">
        <f>_xlfn.XLOOKUP(tbl_FACTS[[#This Row],[SupplierID]],Πίνακας9[SupplierID],Πίνακας9[SupplierName])</f>
        <v>Leka Trading</v>
      </c>
      <c r="Q98" s="21">
        <f>_xlfn.XLOOKUP(tbl_FACTS[[#This Row],[ProductID]],Πίνακας7[ProductID],Πίνακας7[Price])</f>
        <v>19</v>
      </c>
      <c r="R98" s="21">
        <f>tbl_FACTS[[#This Row],[Quantity]]*tbl_FACTS[[#This Row],[Price]]</f>
        <v>399</v>
      </c>
      <c r="S98" s="19">
        <f>IF(COUNTIFS(tbl_FACTS[OrderID],tbl_FACTS[[#This Row],[OrderID]],tbl_FACTS[OrderDetailID],"&lt;"&amp;tbl_FACTS[[#This Row],[OrderDetailID]])=0,1,0)</f>
        <v>0</v>
      </c>
      <c r="T98" s="19">
        <f>YEAR(tbl_FACTS[[#This Row],[OrderDate]])</f>
        <v>1996</v>
      </c>
      <c r="U98" s="22">
        <f>DATE(YEAR(tbl_FACTS[[#This Row],[OrderDate]]),MONTH(tbl_FACTS[[#This Row],[OrderDate]]),1)</f>
        <v>35278</v>
      </c>
      <c r="V98" s="22" t="str">
        <f>IF(tbl_FACTS[[#This Row],[Quantity]]&lt;=10,"0–10",IF(tbl_FACTS[[#This Row],[Quantity]]&lt;=20,"11–20",IF(tbl_FACTS[[#This Row],[Quantity]]&lt;=30,"21–30",IF(tbl_FACTS[[#This Row],[Quantity]]&lt;=40,"31–40",IF(tbl_FACTS[[#This Row],[Quantity]]&lt;=50,"41–50","51+")))))</f>
        <v>21–30</v>
      </c>
    </row>
    <row r="99" spans="1:22">
      <c r="A99">
        <v>98</v>
      </c>
      <c r="B99">
        <v>10284</v>
      </c>
      <c r="C99">
        <v>60</v>
      </c>
      <c r="D99" s="19">
        <v>20</v>
      </c>
      <c r="E99" s="20">
        <f>_xlfn.XLOOKUP(tbl_FACTS[[#This Row],[OrderID]],Πίνακας64[OrderID],Πίνακας64[OrderDate])</f>
        <v>35296</v>
      </c>
      <c r="F99">
        <f>_xlfn.XLOOKUP(tbl_FACTS[[#This Row],[OrderID]],Πίνακας64[OrderID],Πίνακας64[CustomerID])</f>
        <v>44</v>
      </c>
      <c r="G99" t="str">
        <f>_xlfn.XLOOKUP(tbl_FACTS[[#This Row],[CustomerID]],Πίνακας1[CustomerID],Πίνακας1[CustomerName])</f>
        <v>Lehmanns Marktstand</v>
      </c>
      <c r="H99" t="str">
        <f>_xlfn.XLOOKUP(tbl_FACTS[[#This Row],[CustomerID]],Πίνακας1[CustomerID],Πίνακας1[Country])</f>
        <v>Germany</v>
      </c>
      <c r="I99">
        <f>_xlfn.XLOOKUP(tbl_FACTS[[#This Row],[OrderID]],Πίνακας64[OrderID],Πίνακας64[EmployeeID])</f>
        <v>4</v>
      </c>
      <c r="J99">
        <f>_xlfn.XLOOKUP(tbl_FACTS[[#This Row],[OrderID]],Πίνακας64[OrderID],Πίνακας64[ShipperID])</f>
        <v>1</v>
      </c>
      <c r="K99" t="str">
        <f>_xlfn.XLOOKUP(tbl_FACTS[[#This Row],[ShipperID]],Πίνακας8[ShipperID],Πίνακας8[ShipperName])</f>
        <v>Speedy Express</v>
      </c>
      <c r="L99" t="str">
        <f>_xlfn.XLOOKUP(tbl_FACTS[[#This Row],[ProductID]],Πίνακας7[ProductID],Πίνακας7[ProductName])</f>
        <v>Camembert Pierrot</v>
      </c>
      <c r="M99">
        <f>_xlfn.XLOOKUP(tbl_FACTS[[#This Row],[ProductID]],Πίνακας7[ProductID],Πίνακας7[CategoryID])</f>
        <v>4</v>
      </c>
      <c r="N99" t="str">
        <f>_xlfn.XLOOKUP(tbl_FACTS[[#This Row],[CategoryID]],Πίνακας4[CategoryID],Πίνακας4[CategoryName])</f>
        <v>Dairy Products</v>
      </c>
      <c r="O99">
        <f>_xlfn.XLOOKUP(tbl_FACTS[[#This Row],[ProductID]],Πίνακας7[ProductID],Πίνακας7[SupplierID])</f>
        <v>28</v>
      </c>
      <c r="P99" t="str">
        <f>_xlfn.XLOOKUP(tbl_FACTS[[#This Row],[SupplierID]],Πίνακας9[SupplierID],Πίνακας9[SupplierName])</f>
        <v>Gai paturage</v>
      </c>
      <c r="Q99" s="21">
        <f>_xlfn.XLOOKUP(tbl_FACTS[[#This Row],[ProductID]],Πίνακας7[ProductID],Πίνακας7[Price])</f>
        <v>34</v>
      </c>
      <c r="R99" s="21">
        <f>tbl_FACTS[[#This Row],[Quantity]]*tbl_FACTS[[#This Row],[Price]]</f>
        <v>680</v>
      </c>
      <c r="S99" s="19">
        <f>IF(COUNTIFS(tbl_FACTS[OrderID],tbl_FACTS[[#This Row],[OrderID]],tbl_FACTS[OrderDetailID],"&lt;"&amp;tbl_FACTS[[#This Row],[OrderDetailID]])=0,1,0)</f>
        <v>0</v>
      </c>
      <c r="T99" s="19">
        <f>YEAR(tbl_FACTS[[#This Row],[OrderDate]])</f>
        <v>1996</v>
      </c>
      <c r="U99" s="22">
        <f>DATE(YEAR(tbl_FACTS[[#This Row],[OrderDate]]),MONTH(tbl_FACTS[[#This Row],[OrderDate]]),1)</f>
        <v>35278</v>
      </c>
      <c r="V99" s="22" t="str">
        <f>IF(tbl_FACTS[[#This Row],[Quantity]]&lt;=10,"0–10",IF(tbl_FACTS[[#This Row],[Quantity]]&lt;=20,"11–20",IF(tbl_FACTS[[#This Row],[Quantity]]&lt;=30,"21–30",IF(tbl_FACTS[[#This Row],[Quantity]]&lt;=40,"31–40",IF(tbl_FACTS[[#This Row],[Quantity]]&lt;=50,"41–50","51+")))))</f>
        <v>11–20</v>
      </c>
    </row>
    <row r="100" spans="1:22">
      <c r="A100">
        <v>99</v>
      </c>
      <c r="B100">
        <v>10284</v>
      </c>
      <c r="C100">
        <v>67</v>
      </c>
      <c r="D100" s="19">
        <v>5</v>
      </c>
      <c r="E100" s="20">
        <f>_xlfn.XLOOKUP(tbl_FACTS[[#This Row],[OrderID]],Πίνακας64[OrderID],Πίνακας64[OrderDate])</f>
        <v>35296</v>
      </c>
      <c r="F100">
        <f>_xlfn.XLOOKUP(tbl_FACTS[[#This Row],[OrderID]],Πίνακας64[OrderID],Πίνακας64[CustomerID])</f>
        <v>44</v>
      </c>
      <c r="G100" t="str">
        <f>_xlfn.XLOOKUP(tbl_FACTS[[#This Row],[CustomerID]],Πίνακας1[CustomerID],Πίνακας1[CustomerName])</f>
        <v>Lehmanns Marktstand</v>
      </c>
      <c r="H100" t="str">
        <f>_xlfn.XLOOKUP(tbl_FACTS[[#This Row],[CustomerID]],Πίνακας1[CustomerID],Πίνακας1[Country])</f>
        <v>Germany</v>
      </c>
      <c r="I100">
        <f>_xlfn.XLOOKUP(tbl_FACTS[[#This Row],[OrderID]],Πίνακας64[OrderID],Πίνακας64[EmployeeID])</f>
        <v>4</v>
      </c>
      <c r="J100">
        <f>_xlfn.XLOOKUP(tbl_FACTS[[#This Row],[OrderID]],Πίνακας64[OrderID],Πίνακας64[ShipperID])</f>
        <v>1</v>
      </c>
      <c r="K100" t="str">
        <f>_xlfn.XLOOKUP(tbl_FACTS[[#This Row],[ShipperID]],Πίνακας8[ShipperID],Πίνακας8[ShipperName])</f>
        <v>Speedy Express</v>
      </c>
      <c r="L100" t="str">
        <f>_xlfn.XLOOKUP(tbl_FACTS[[#This Row],[ProductID]],Πίνακας7[ProductID],Πίνακας7[ProductName])</f>
        <v>Laughing Lumberjack Lager</v>
      </c>
      <c r="M100">
        <f>_xlfn.XLOOKUP(tbl_FACTS[[#This Row],[ProductID]],Πίνακας7[ProductID],Πίνακας7[CategoryID])</f>
        <v>1</v>
      </c>
      <c r="N100" t="str">
        <f>_xlfn.XLOOKUP(tbl_FACTS[[#This Row],[CategoryID]],Πίνακας4[CategoryID],Πίνακας4[CategoryName])</f>
        <v>Beverages</v>
      </c>
      <c r="O100">
        <f>_xlfn.XLOOKUP(tbl_FACTS[[#This Row],[ProductID]],Πίνακας7[ProductID],Πίνακας7[SupplierID])</f>
        <v>16</v>
      </c>
      <c r="P100" t="str">
        <f>_xlfn.XLOOKUP(tbl_FACTS[[#This Row],[SupplierID]],Πίνακας9[SupplierID],Πίνακας9[SupplierName])</f>
        <v>Bigfoot Breweries</v>
      </c>
      <c r="Q100" s="21">
        <f>_xlfn.XLOOKUP(tbl_FACTS[[#This Row],[ProductID]],Πίνακας7[ProductID],Πίνακας7[Price])</f>
        <v>14</v>
      </c>
      <c r="R100" s="21">
        <f>tbl_FACTS[[#This Row],[Quantity]]*tbl_FACTS[[#This Row],[Price]]</f>
        <v>70</v>
      </c>
      <c r="S100" s="19">
        <f>IF(COUNTIFS(tbl_FACTS[OrderID],tbl_FACTS[[#This Row],[OrderID]],tbl_FACTS[OrderDetailID],"&lt;"&amp;tbl_FACTS[[#This Row],[OrderDetailID]])=0,1,0)</f>
        <v>0</v>
      </c>
      <c r="T100" s="19">
        <f>YEAR(tbl_FACTS[[#This Row],[OrderDate]])</f>
        <v>1996</v>
      </c>
      <c r="U100" s="22">
        <f>DATE(YEAR(tbl_FACTS[[#This Row],[OrderDate]]),MONTH(tbl_FACTS[[#This Row],[OrderDate]]),1)</f>
        <v>35278</v>
      </c>
      <c r="V100" s="22" t="str">
        <f>IF(tbl_FACTS[[#This Row],[Quantity]]&lt;=10,"0–10",IF(tbl_FACTS[[#This Row],[Quantity]]&lt;=20,"11–20",IF(tbl_FACTS[[#This Row],[Quantity]]&lt;=30,"21–30",IF(tbl_FACTS[[#This Row],[Quantity]]&lt;=40,"31–40",IF(tbl_FACTS[[#This Row],[Quantity]]&lt;=50,"41–50","51+")))))</f>
        <v>0–10</v>
      </c>
    </row>
    <row r="101" spans="1:22">
      <c r="A101">
        <v>100</v>
      </c>
      <c r="B101">
        <v>10285</v>
      </c>
      <c r="C101">
        <v>1</v>
      </c>
      <c r="D101" s="19">
        <v>45</v>
      </c>
      <c r="E101" s="20">
        <f>_xlfn.XLOOKUP(tbl_FACTS[[#This Row],[OrderID]],Πίνακας64[OrderID],Πίνακας64[OrderDate])</f>
        <v>35297</v>
      </c>
      <c r="F101">
        <f>_xlfn.XLOOKUP(tbl_FACTS[[#This Row],[OrderID]],Πίνακας64[OrderID],Πίνακας64[CustomerID])</f>
        <v>63</v>
      </c>
      <c r="G101" t="str">
        <f>_xlfn.XLOOKUP(tbl_FACTS[[#This Row],[CustomerID]],Πίνακας1[CustomerID],Πίνακας1[CustomerName])</f>
        <v>QUICK-Stop</v>
      </c>
      <c r="H101" t="str">
        <f>_xlfn.XLOOKUP(tbl_FACTS[[#This Row],[CustomerID]],Πίνακας1[CustomerID],Πίνακας1[Country])</f>
        <v>Germany</v>
      </c>
      <c r="I101">
        <f>_xlfn.XLOOKUP(tbl_FACTS[[#This Row],[OrderID]],Πίνακας64[OrderID],Πίνακας64[EmployeeID])</f>
        <v>1</v>
      </c>
      <c r="J101">
        <f>_xlfn.XLOOKUP(tbl_FACTS[[#This Row],[OrderID]],Πίνακας64[OrderID],Πίνακας64[ShipperID])</f>
        <v>2</v>
      </c>
      <c r="K101" t="str">
        <f>_xlfn.XLOOKUP(tbl_FACTS[[#This Row],[ShipperID]],Πίνακας8[ShipperID],Πίνακας8[ShipperName])</f>
        <v>United Package</v>
      </c>
      <c r="L101" t="str">
        <f>_xlfn.XLOOKUP(tbl_FACTS[[#This Row],[ProductID]],Πίνακας7[ProductID],Πίνακας7[ProductName])</f>
        <v>Chais</v>
      </c>
      <c r="M101">
        <f>_xlfn.XLOOKUP(tbl_FACTS[[#This Row],[ProductID]],Πίνακας7[ProductID],Πίνακας7[CategoryID])</f>
        <v>1</v>
      </c>
      <c r="N101" t="str">
        <f>_xlfn.XLOOKUP(tbl_FACTS[[#This Row],[CategoryID]],Πίνακας4[CategoryID],Πίνακας4[CategoryName])</f>
        <v>Beverages</v>
      </c>
      <c r="O101">
        <f>_xlfn.XLOOKUP(tbl_FACTS[[#This Row],[ProductID]],Πίνακας7[ProductID],Πίνακας7[SupplierID])</f>
        <v>1</v>
      </c>
      <c r="P101" t="str">
        <f>_xlfn.XLOOKUP(tbl_FACTS[[#This Row],[SupplierID]],Πίνακας9[SupplierID],Πίνακας9[SupplierName])</f>
        <v>Exotic Liquid</v>
      </c>
      <c r="Q101" s="21">
        <f>_xlfn.XLOOKUP(tbl_FACTS[[#This Row],[ProductID]],Πίνακας7[ProductID],Πίνακας7[Price])</f>
        <v>18</v>
      </c>
      <c r="R101" s="21">
        <f>tbl_FACTS[[#This Row],[Quantity]]*tbl_FACTS[[#This Row],[Price]]</f>
        <v>810</v>
      </c>
      <c r="S101" s="19">
        <f>IF(COUNTIFS(tbl_FACTS[OrderID],tbl_FACTS[[#This Row],[OrderID]],tbl_FACTS[OrderDetailID],"&lt;"&amp;tbl_FACTS[[#This Row],[OrderDetailID]])=0,1,0)</f>
        <v>1</v>
      </c>
      <c r="T101" s="19">
        <f>YEAR(tbl_FACTS[[#This Row],[OrderDate]])</f>
        <v>1996</v>
      </c>
      <c r="U101" s="22">
        <f>DATE(YEAR(tbl_FACTS[[#This Row],[OrderDate]]),MONTH(tbl_FACTS[[#This Row],[OrderDate]]),1)</f>
        <v>35278</v>
      </c>
      <c r="V101" s="22" t="str">
        <f>IF(tbl_FACTS[[#This Row],[Quantity]]&lt;=10,"0–10",IF(tbl_FACTS[[#This Row],[Quantity]]&lt;=20,"11–20",IF(tbl_FACTS[[#This Row],[Quantity]]&lt;=30,"21–30",IF(tbl_FACTS[[#This Row],[Quantity]]&lt;=40,"31–40",IF(tbl_FACTS[[#This Row],[Quantity]]&lt;=50,"41–50","51+")))))</f>
        <v>41–50</v>
      </c>
    </row>
    <row r="102" spans="1:22">
      <c r="A102">
        <v>101</v>
      </c>
      <c r="B102">
        <v>10285</v>
      </c>
      <c r="C102">
        <v>40</v>
      </c>
      <c r="D102" s="19">
        <v>40</v>
      </c>
      <c r="E102" s="20">
        <f>_xlfn.XLOOKUP(tbl_FACTS[[#This Row],[OrderID]],Πίνακας64[OrderID],Πίνακας64[OrderDate])</f>
        <v>35297</v>
      </c>
      <c r="F102">
        <f>_xlfn.XLOOKUP(tbl_FACTS[[#This Row],[OrderID]],Πίνακας64[OrderID],Πίνακας64[CustomerID])</f>
        <v>63</v>
      </c>
      <c r="G102" t="str">
        <f>_xlfn.XLOOKUP(tbl_FACTS[[#This Row],[CustomerID]],Πίνακας1[CustomerID],Πίνακας1[CustomerName])</f>
        <v>QUICK-Stop</v>
      </c>
      <c r="H102" t="str">
        <f>_xlfn.XLOOKUP(tbl_FACTS[[#This Row],[CustomerID]],Πίνακας1[CustomerID],Πίνακας1[Country])</f>
        <v>Germany</v>
      </c>
      <c r="I102">
        <f>_xlfn.XLOOKUP(tbl_FACTS[[#This Row],[OrderID]],Πίνακας64[OrderID],Πίνακας64[EmployeeID])</f>
        <v>1</v>
      </c>
      <c r="J102">
        <f>_xlfn.XLOOKUP(tbl_FACTS[[#This Row],[OrderID]],Πίνακας64[OrderID],Πίνακας64[ShipperID])</f>
        <v>2</v>
      </c>
      <c r="K102" t="str">
        <f>_xlfn.XLOOKUP(tbl_FACTS[[#This Row],[ShipperID]],Πίνακας8[ShipperID],Πίνακας8[ShipperName])</f>
        <v>United Package</v>
      </c>
      <c r="L102" t="str">
        <f>_xlfn.XLOOKUP(tbl_FACTS[[#This Row],[ProductID]],Πίνακας7[ProductID],Πίνακας7[ProductName])</f>
        <v>Boston Crab Meat</v>
      </c>
      <c r="M102">
        <f>_xlfn.XLOOKUP(tbl_FACTS[[#This Row],[ProductID]],Πίνακας7[ProductID],Πίνακας7[CategoryID])</f>
        <v>8</v>
      </c>
      <c r="N102" t="str">
        <f>_xlfn.XLOOKUP(tbl_FACTS[[#This Row],[CategoryID]],Πίνακας4[CategoryID],Πίνακας4[CategoryName])</f>
        <v>Seafood</v>
      </c>
      <c r="O102">
        <f>_xlfn.XLOOKUP(tbl_FACTS[[#This Row],[ProductID]],Πίνακας7[ProductID],Πίνακας7[SupplierID])</f>
        <v>19</v>
      </c>
      <c r="P102" t="str">
        <f>_xlfn.XLOOKUP(tbl_FACTS[[#This Row],[SupplierID]],Πίνακας9[SupplierID],Πίνακας9[SupplierName])</f>
        <v>New England Seafood Cannery</v>
      </c>
      <c r="Q102" s="21">
        <f>_xlfn.XLOOKUP(tbl_FACTS[[#This Row],[ProductID]],Πίνακας7[ProductID],Πίνακας7[Price])</f>
        <v>18</v>
      </c>
      <c r="R102" s="21">
        <f>tbl_FACTS[[#This Row],[Quantity]]*tbl_FACTS[[#This Row],[Price]]</f>
        <v>720</v>
      </c>
      <c r="S102" s="19">
        <f>IF(COUNTIFS(tbl_FACTS[OrderID],tbl_FACTS[[#This Row],[OrderID]],tbl_FACTS[OrderDetailID],"&lt;"&amp;tbl_FACTS[[#This Row],[OrderDetailID]])=0,1,0)</f>
        <v>0</v>
      </c>
      <c r="T102" s="19">
        <f>YEAR(tbl_FACTS[[#This Row],[OrderDate]])</f>
        <v>1996</v>
      </c>
      <c r="U102" s="22">
        <f>DATE(YEAR(tbl_FACTS[[#This Row],[OrderDate]]),MONTH(tbl_FACTS[[#This Row],[OrderDate]]),1)</f>
        <v>35278</v>
      </c>
      <c r="V102" s="22" t="str">
        <f>IF(tbl_FACTS[[#This Row],[Quantity]]&lt;=10,"0–10",IF(tbl_FACTS[[#This Row],[Quantity]]&lt;=20,"11–20",IF(tbl_FACTS[[#This Row],[Quantity]]&lt;=30,"21–30",IF(tbl_FACTS[[#This Row],[Quantity]]&lt;=40,"31–40",IF(tbl_FACTS[[#This Row],[Quantity]]&lt;=50,"41–50","51+")))))</f>
        <v>31–40</v>
      </c>
    </row>
    <row r="103" spans="1:22">
      <c r="A103">
        <v>102</v>
      </c>
      <c r="B103">
        <v>10285</v>
      </c>
      <c r="C103">
        <v>53</v>
      </c>
      <c r="D103" s="19">
        <v>36</v>
      </c>
      <c r="E103" s="20">
        <f>_xlfn.XLOOKUP(tbl_FACTS[[#This Row],[OrderID]],Πίνακας64[OrderID],Πίνακας64[OrderDate])</f>
        <v>35297</v>
      </c>
      <c r="F103">
        <f>_xlfn.XLOOKUP(tbl_FACTS[[#This Row],[OrderID]],Πίνακας64[OrderID],Πίνακας64[CustomerID])</f>
        <v>63</v>
      </c>
      <c r="G103" t="str">
        <f>_xlfn.XLOOKUP(tbl_FACTS[[#This Row],[CustomerID]],Πίνακας1[CustomerID],Πίνακας1[CustomerName])</f>
        <v>QUICK-Stop</v>
      </c>
      <c r="H103" t="str">
        <f>_xlfn.XLOOKUP(tbl_FACTS[[#This Row],[CustomerID]],Πίνακας1[CustomerID],Πίνακας1[Country])</f>
        <v>Germany</v>
      </c>
      <c r="I103">
        <f>_xlfn.XLOOKUP(tbl_FACTS[[#This Row],[OrderID]],Πίνακας64[OrderID],Πίνακας64[EmployeeID])</f>
        <v>1</v>
      </c>
      <c r="J103">
        <f>_xlfn.XLOOKUP(tbl_FACTS[[#This Row],[OrderID]],Πίνακας64[OrderID],Πίνακας64[ShipperID])</f>
        <v>2</v>
      </c>
      <c r="K103" t="str">
        <f>_xlfn.XLOOKUP(tbl_FACTS[[#This Row],[ShipperID]],Πίνακας8[ShipperID],Πίνακας8[ShipperName])</f>
        <v>United Package</v>
      </c>
      <c r="L103" t="str">
        <f>_xlfn.XLOOKUP(tbl_FACTS[[#This Row],[ProductID]],Πίνακας7[ProductID],Πίνακας7[ProductName])</f>
        <v>Perth Pasties</v>
      </c>
      <c r="M103">
        <f>_xlfn.XLOOKUP(tbl_FACTS[[#This Row],[ProductID]],Πίνακας7[ProductID],Πίνακας7[CategoryID])</f>
        <v>6</v>
      </c>
      <c r="N103" t="str">
        <f>_xlfn.XLOOKUP(tbl_FACTS[[#This Row],[CategoryID]],Πίνακας4[CategoryID],Πίνακας4[CategoryName])</f>
        <v>Meat/Poultry</v>
      </c>
      <c r="O103">
        <f>_xlfn.XLOOKUP(tbl_FACTS[[#This Row],[ProductID]],Πίνακας7[ProductID],Πίνακας7[SupplierID])</f>
        <v>24</v>
      </c>
      <c r="P103" t="str">
        <f>_xlfn.XLOOKUP(tbl_FACTS[[#This Row],[SupplierID]],Πίνακας9[SupplierID],Πίνακας9[SupplierName])</f>
        <v>G'day, Mate</v>
      </c>
      <c r="Q103" s="21">
        <f>_xlfn.XLOOKUP(tbl_FACTS[[#This Row],[ProductID]],Πίνακας7[ProductID],Πίνακας7[Price])</f>
        <v>33</v>
      </c>
      <c r="R103" s="21">
        <f>tbl_FACTS[[#This Row],[Quantity]]*tbl_FACTS[[#This Row],[Price]]</f>
        <v>1188</v>
      </c>
      <c r="S103" s="19">
        <f>IF(COUNTIFS(tbl_FACTS[OrderID],tbl_FACTS[[#This Row],[OrderID]],tbl_FACTS[OrderDetailID],"&lt;"&amp;tbl_FACTS[[#This Row],[OrderDetailID]])=0,1,0)</f>
        <v>0</v>
      </c>
      <c r="T103" s="19">
        <f>YEAR(tbl_FACTS[[#This Row],[OrderDate]])</f>
        <v>1996</v>
      </c>
      <c r="U103" s="22">
        <f>DATE(YEAR(tbl_FACTS[[#This Row],[OrderDate]]),MONTH(tbl_FACTS[[#This Row],[OrderDate]]),1)</f>
        <v>35278</v>
      </c>
      <c r="V103" s="22" t="str">
        <f>IF(tbl_FACTS[[#This Row],[Quantity]]&lt;=10,"0–10",IF(tbl_FACTS[[#This Row],[Quantity]]&lt;=20,"11–20",IF(tbl_FACTS[[#This Row],[Quantity]]&lt;=30,"21–30",IF(tbl_FACTS[[#This Row],[Quantity]]&lt;=40,"31–40",IF(tbl_FACTS[[#This Row],[Quantity]]&lt;=50,"41–50","51+")))))</f>
        <v>31–40</v>
      </c>
    </row>
    <row r="104" spans="1:22">
      <c r="A104">
        <v>103</v>
      </c>
      <c r="B104">
        <v>10286</v>
      </c>
      <c r="C104">
        <v>35</v>
      </c>
      <c r="D104" s="19">
        <v>100</v>
      </c>
      <c r="E104" s="20">
        <f>_xlfn.XLOOKUP(tbl_FACTS[[#This Row],[OrderID]],Πίνακας64[OrderID],Πίνακας64[OrderDate])</f>
        <v>35298</v>
      </c>
      <c r="F104">
        <f>_xlfn.XLOOKUP(tbl_FACTS[[#This Row],[OrderID]],Πίνακας64[OrderID],Πίνακας64[CustomerID])</f>
        <v>63</v>
      </c>
      <c r="G104" t="str">
        <f>_xlfn.XLOOKUP(tbl_FACTS[[#This Row],[CustomerID]],Πίνακας1[CustomerID],Πίνακας1[CustomerName])</f>
        <v>QUICK-Stop</v>
      </c>
      <c r="H104" t="str">
        <f>_xlfn.XLOOKUP(tbl_FACTS[[#This Row],[CustomerID]],Πίνακας1[CustomerID],Πίνακας1[Country])</f>
        <v>Germany</v>
      </c>
      <c r="I104">
        <f>_xlfn.XLOOKUP(tbl_FACTS[[#This Row],[OrderID]],Πίνακας64[OrderID],Πίνακας64[EmployeeID])</f>
        <v>8</v>
      </c>
      <c r="J104">
        <f>_xlfn.XLOOKUP(tbl_FACTS[[#This Row],[OrderID]],Πίνακας64[OrderID],Πίνακας64[ShipperID])</f>
        <v>3</v>
      </c>
      <c r="K104" t="str">
        <f>_xlfn.XLOOKUP(tbl_FACTS[[#This Row],[ShipperID]],Πίνακας8[ShipperID],Πίνακας8[ShipperName])</f>
        <v>Federal Shipping</v>
      </c>
      <c r="L104" t="str">
        <f>_xlfn.XLOOKUP(tbl_FACTS[[#This Row],[ProductID]],Πίνακας7[ProductID],Πίνακας7[ProductName])</f>
        <v>Steeleye Stout</v>
      </c>
      <c r="M104">
        <f>_xlfn.XLOOKUP(tbl_FACTS[[#This Row],[ProductID]],Πίνακας7[ProductID],Πίνακας7[CategoryID])</f>
        <v>1</v>
      </c>
      <c r="N104" t="str">
        <f>_xlfn.XLOOKUP(tbl_FACTS[[#This Row],[CategoryID]],Πίνακας4[CategoryID],Πίνακας4[CategoryName])</f>
        <v>Beverages</v>
      </c>
      <c r="O104">
        <f>_xlfn.XLOOKUP(tbl_FACTS[[#This Row],[ProductID]],Πίνακας7[ProductID],Πίνακας7[SupplierID])</f>
        <v>16</v>
      </c>
      <c r="P104" t="str">
        <f>_xlfn.XLOOKUP(tbl_FACTS[[#This Row],[SupplierID]],Πίνακας9[SupplierID],Πίνακας9[SupplierName])</f>
        <v>Bigfoot Breweries</v>
      </c>
      <c r="Q104" s="21">
        <f>_xlfn.XLOOKUP(tbl_FACTS[[#This Row],[ProductID]],Πίνακας7[ProductID],Πίνακας7[Price])</f>
        <v>18</v>
      </c>
      <c r="R104" s="21">
        <f>tbl_FACTS[[#This Row],[Quantity]]*tbl_FACTS[[#This Row],[Price]]</f>
        <v>1800</v>
      </c>
      <c r="S104" s="19">
        <f>IF(COUNTIFS(tbl_FACTS[OrderID],tbl_FACTS[[#This Row],[OrderID]],tbl_FACTS[OrderDetailID],"&lt;"&amp;tbl_FACTS[[#This Row],[OrderDetailID]])=0,1,0)</f>
        <v>1</v>
      </c>
      <c r="T104" s="19">
        <f>YEAR(tbl_FACTS[[#This Row],[OrderDate]])</f>
        <v>1996</v>
      </c>
      <c r="U104" s="22">
        <f>DATE(YEAR(tbl_FACTS[[#This Row],[OrderDate]]),MONTH(tbl_FACTS[[#This Row],[OrderDate]]),1)</f>
        <v>35278</v>
      </c>
      <c r="V104" s="22" t="str">
        <f>IF(tbl_FACTS[[#This Row],[Quantity]]&lt;=10,"0–10",IF(tbl_FACTS[[#This Row],[Quantity]]&lt;=20,"11–20",IF(tbl_FACTS[[#This Row],[Quantity]]&lt;=30,"21–30",IF(tbl_FACTS[[#This Row],[Quantity]]&lt;=40,"31–40",IF(tbl_FACTS[[#This Row],[Quantity]]&lt;=50,"41–50","51+")))))</f>
        <v>51+</v>
      </c>
    </row>
    <row r="105" spans="1:22">
      <c r="A105">
        <v>104</v>
      </c>
      <c r="B105">
        <v>10286</v>
      </c>
      <c r="C105">
        <v>62</v>
      </c>
      <c r="D105" s="19">
        <v>40</v>
      </c>
      <c r="E105" s="20">
        <f>_xlfn.XLOOKUP(tbl_FACTS[[#This Row],[OrderID]],Πίνακας64[OrderID],Πίνακας64[OrderDate])</f>
        <v>35298</v>
      </c>
      <c r="F105">
        <f>_xlfn.XLOOKUP(tbl_FACTS[[#This Row],[OrderID]],Πίνακας64[OrderID],Πίνακας64[CustomerID])</f>
        <v>63</v>
      </c>
      <c r="G105" t="str">
        <f>_xlfn.XLOOKUP(tbl_FACTS[[#This Row],[CustomerID]],Πίνακας1[CustomerID],Πίνακας1[CustomerName])</f>
        <v>QUICK-Stop</v>
      </c>
      <c r="H105" t="str">
        <f>_xlfn.XLOOKUP(tbl_FACTS[[#This Row],[CustomerID]],Πίνακας1[CustomerID],Πίνακας1[Country])</f>
        <v>Germany</v>
      </c>
      <c r="I105">
        <f>_xlfn.XLOOKUP(tbl_FACTS[[#This Row],[OrderID]],Πίνακας64[OrderID],Πίνακας64[EmployeeID])</f>
        <v>8</v>
      </c>
      <c r="J105">
        <f>_xlfn.XLOOKUP(tbl_FACTS[[#This Row],[OrderID]],Πίνακας64[OrderID],Πίνακας64[ShipperID])</f>
        <v>3</v>
      </c>
      <c r="K105" t="str">
        <f>_xlfn.XLOOKUP(tbl_FACTS[[#This Row],[ShipperID]],Πίνακας8[ShipperID],Πίνακας8[ShipperName])</f>
        <v>Federal Shipping</v>
      </c>
      <c r="L105" t="str">
        <f>_xlfn.XLOOKUP(tbl_FACTS[[#This Row],[ProductID]],Πίνακας7[ProductID],Πίνακας7[ProductName])</f>
        <v>Tarte au sucre</v>
      </c>
      <c r="M105">
        <f>_xlfn.XLOOKUP(tbl_FACTS[[#This Row],[ProductID]],Πίνακας7[ProductID],Πίνακας7[CategoryID])</f>
        <v>3</v>
      </c>
      <c r="N105" t="str">
        <f>_xlfn.XLOOKUP(tbl_FACTS[[#This Row],[CategoryID]],Πίνακας4[CategoryID],Πίνακας4[CategoryName])</f>
        <v>Confections</v>
      </c>
      <c r="O105">
        <f>_xlfn.XLOOKUP(tbl_FACTS[[#This Row],[ProductID]],Πίνακας7[ProductID],Πίνακας7[SupplierID])</f>
        <v>29</v>
      </c>
      <c r="P105" t="str">
        <f>_xlfn.XLOOKUP(tbl_FACTS[[#This Row],[SupplierID]],Πίνακας9[SupplierID],Πίνακας9[SupplierName])</f>
        <v>Forets d'erables</v>
      </c>
      <c r="Q105" s="21">
        <f>_xlfn.XLOOKUP(tbl_FACTS[[#This Row],[ProductID]],Πίνακας7[ProductID],Πίνακας7[Price])</f>
        <v>49</v>
      </c>
      <c r="R105" s="21">
        <f>tbl_FACTS[[#This Row],[Quantity]]*tbl_FACTS[[#This Row],[Price]]</f>
        <v>1960</v>
      </c>
      <c r="S105" s="19">
        <f>IF(COUNTIFS(tbl_FACTS[OrderID],tbl_FACTS[[#This Row],[OrderID]],tbl_FACTS[OrderDetailID],"&lt;"&amp;tbl_FACTS[[#This Row],[OrderDetailID]])=0,1,0)</f>
        <v>0</v>
      </c>
      <c r="T105" s="19">
        <f>YEAR(tbl_FACTS[[#This Row],[OrderDate]])</f>
        <v>1996</v>
      </c>
      <c r="U105" s="22">
        <f>DATE(YEAR(tbl_FACTS[[#This Row],[OrderDate]]),MONTH(tbl_FACTS[[#This Row],[OrderDate]]),1)</f>
        <v>35278</v>
      </c>
      <c r="V105" s="22" t="str">
        <f>IF(tbl_FACTS[[#This Row],[Quantity]]&lt;=10,"0–10",IF(tbl_FACTS[[#This Row],[Quantity]]&lt;=20,"11–20",IF(tbl_FACTS[[#This Row],[Quantity]]&lt;=30,"21–30",IF(tbl_FACTS[[#This Row],[Quantity]]&lt;=40,"31–40",IF(tbl_FACTS[[#This Row],[Quantity]]&lt;=50,"41–50","51+")))))</f>
        <v>31–40</v>
      </c>
    </row>
    <row r="106" spans="1:22">
      <c r="A106">
        <v>105</v>
      </c>
      <c r="B106">
        <v>10287</v>
      </c>
      <c r="C106">
        <v>16</v>
      </c>
      <c r="D106" s="19">
        <v>40</v>
      </c>
      <c r="E106" s="20">
        <f>_xlfn.XLOOKUP(tbl_FACTS[[#This Row],[OrderID]],Πίνακας64[OrderID],Πίνακας64[OrderDate])</f>
        <v>35299</v>
      </c>
      <c r="F106">
        <f>_xlfn.XLOOKUP(tbl_FACTS[[#This Row],[OrderID]],Πίνακας64[OrderID],Πίνακας64[CustomerID])</f>
        <v>67</v>
      </c>
      <c r="G106" t="str">
        <f>_xlfn.XLOOKUP(tbl_FACTS[[#This Row],[CustomerID]],Πίνακας1[CustomerID],Πίνακας1[CustomerName])</f>
        <v>Ricardo Adocicados</v>
      </c>
      <c r="H106" t="str">
        <f>_xlfn.XLOOKUP(tbl_FACTS[[#This Row],[CustomerID]],Πίνακας1[CustomerID],Πίνακας1[Country])</f>
        <v>Brazil</v>
      </c>
      <c r="I106">
        <f>_xlfn.XLOOKUP(tbl_FACTS[[#This Row],[OrderID]],Πίνακας64[OrderID],Πίνακας64[EmployeeID])</f>
        <v>8</v>
      </c>
      <c r="J106">
        <f>_xlfn.XLOOKUP(tbl_FACTS[[#This Row],[OrderID]],Πίνακας64[OrderID],Πίνακας64[ShipperID])</f>
        <v>3</v>
      </c>
      <c r="K106" t="str">
        <f>_xlfn.XLOOKUP(tbl_FACTS[[#This Row],[ShipperID]],Πίνακας8[ShipperID],Πίνακας8[ShipperName])</f>
        <v>Federal Shipping</v>
      </c>
      <c r="L106" t="str">
        <f>_xlfn.XLOOKUP(tbl_FACTS[[#This Row],[ProductID]],Πίνακας7[ProductID],Πίνακας7[ProductName])</f>
        <v>Pavlova</v>
      </c>
      <c r="M106">
        <f>_xlfn.XLOOKUP(tbl_FACTS[[#This Row],[ProductID]],Πίνακας7[ProductID],Πίνακας7[CategoryID])</f>
        <v>3</v>
      </c>
      <c r="N106" t="str">
        <f>_xlfn.XLOOKUP(tbl_FACTS[[#This Row],[CategoryID]],Πίνακας4[CategoryID],Πίνακας4[CategoryName])</f>
        <v>Confections</v>
      </c>
      <c r="O106">
        <f>_xlfn.XLOOKUP(tbl_FACTS[[#This Row],[ProductID]],Πίνακας7[ProductID],Πίνακας7[SupplierID])</f>
        <v>7</v>
      </c>
      <c r="P106" t="str">
        <f>_xlfn.XLOOKUP(tbl_FACTS[[#This Row],[SupplierID]],Πίνακας9[SupplierID],Πίνακας9[SupplierName])</f>
        <v>Pavlova, Ltd.</v>
      </c>
      <c r="Q106" s="21">
        <f>_xlfn.XLOOKUP(tbl_FACTS[[#This Row],[ProductID]],Πίνακας7[ProductID],Πίνακας7[Price])</f>
        <v>17</v>
      </c>
      <c r="R106" s="21">
        <f>tbl_FACTS[[#This Row],[Quantity]]*tbl_FACTS[[#This Row],[Price]]</f>
        <v>680</v>
      </c>
      <c r="S106" s="19">
        <f>IF(COUNTIFS(tbl_FACTS[OrderID],tbl_FACTS[[#This Row],[OrderID]],tbl_FACTS[OrderDetailID],"&lt;"&amp;tbl_FACTS[[#This Row],[OrderDetailID]])=0,1,0)</f>
        <v>1</v>
      </c>
      <c r="T106" s="19">
        <f>YEAR(tbl_FACTS[[#This Row],[OrderDate]])</f>
        <v>1996</v>
      </c>
      <c r="U106" s="22">
        <f>DATE(YEAR(tbl_FACTS[[#This Row],[OrderDate]]),MONTH(tbl_FACTS[[#This Row],[OrderDate]]),1)</f>
        <v>35278</v>
      </c>
      <c r="V106" s="22" t="str">
        <f>IF(tbl_FACTS[[#This Row],[Quantity]]&lt;=10,"0–10",IF(tbl_FACTS[[#This Row],[Quantity]]&lt;=20,"11–20",IF(tbl_FACTS[[#This Row],[Quantity]]&lt;=30,"21–30",IF(tbl_FACTS[[#This Row],[Quantity]]&lt;=40,"31–40",IF(tbl_FACTS[[#This Row],[Quantity]]&lt;=50,"41–50","51+")))))</f>
        <v>31–40</v>
      </c>
    </row>
    <row r="107" spans="1:22">
      <c r="A107">
        <v>106</v>
      </c>
      <c r="B107">
        <v>10287</v>
      </c>
      <c r="C107">
        <v>34</v>
      </c>
      <c r="D107" s="19">
        <v>20</v>
      </c>
      <c r="E107" s="20">
        <f>_xlfn.XLOOKUP(tbl_FACTS[[#This Row],[OrderID]],Πίνακας64[OrderID],Πίνακας64[OrderDate])</f>
        <v>35299</v>
      </c>
      <c r="F107">
        <f>_xlfn.XLOOKUP(tbl_FACTS[[#This Row],[OrderID]],Πίνακας64[OrderID],Πίνακας64[CustomerID])</f>
        <v>67</v>
      </c>
      <c r="G107" t="str">
        <f>_xlfn.XLOOKUP(tbl_FACTS[[#This Row],[CustomerID]],Πίνακας1[CustomerID],Πίνακας1[CustomerName])</f>
        <v>Ricardo Adocicados</v>
      </c>
      <c r="H107" t="str">
        <f>_xlfn.XLOOKUP(tbl_FACTS[[#This Row],[CustomerID]],Πίνακας1[CustomerID],Πίνακας1[Country])</f>
        <v>Brazil</v>
      </c>
      <c r="I107">
        <f>_xlfn.XLOOKUP(tbl_FACTS[[#This Row],[OrderID]],Πίνακας64[OrderID],Πίνακας64[EmployeeID])</f>
        <v>8</v>
      </c>
      <c r="J107">
        <f>_xlfn.XLOOKUP(tbl_FACTS[[#This Row],[OrderID]],Πίνακας64[OrderID],Πίνακας64[ShipperID])</f>
        <v>3</v>
      </c>
      <c r="K107" t="str">
        <f>_xlfn.XLOOKUP(tbl_FACTS[[#This Row],[ShipperID]],Πίνακας8[ShipperID],Πίνακας8[ShipperName])</f>
        <v>Federal Shipping</v>
      </c>
      <c r="L107" t="str">
        <f>_xlfn.XLOOKUP(tbl_FACTS[[#This Row],[ProductID]],Πίνακας7[ProductID],Πίνακας7[ProductName])</f>
        <v>Sasquatch Ale</v>
      </c>
      <c r="M107">
        <f>_xlfn.XLOOKUP(tbl_FACTS[[#This Row],[ProductID]],Πίνακας7[ProductID],Πίνακας7[CategoryID])</f>
        <v>1</v>
      </c>
      <c r="N107" t="str">
        <f>_xlfn.XLOOKUP(tbl_FACTS[[#This Row],[CategoryID]],Πίνακας4[CategoryID],Πίνακας4[CategoryName])</f>
        <v>Beverages</v>
      </c>
      <c r="O107">
        <f>_xlfn.XLOOKUP(tbl_FACTS[[#This Row],[ProductID]],Πίνακας7[ProductID],Πίνακας7[SupplierID])</f>
        <v>16</v>
      </c>
      <c r="P107" t="str">
        <f>_xlfn.XLOOKUP(tbl_FACTS[[#This Row],[SupplierID]],Πίνακας9[SupplierID],Πίνακας9[SupplierName])</f>
        <v>Bigfoot Breweries</v>
      </c>
      <c r="Q107" s="21">
        <f>_xlfn.XLOOKUP(tbl_FACTS[[#This Row],[ProductID]],Πίνακας7[ProductID],Πίνακας7[Price])</f>
        <v>14</v>
      </c>
      <c r="R107" s="21">
        <f>tbl_FACTS[[#This Row],[Quantity]]*tbl_FACTS[[#This Row],[Price]]</f>
        <v>280</v>
      </c>
      <c r="S107" s="19">
        <f>IF(COUNTIFS(tbl_FACTS[OrderID],tbl_FACTS[[#This Row],[OrderID]],tbl_FACTS[OrderDetailID],"&lt;"&amp;tbl_FACTS[[#This Row],[OrderDetailID]])=0,1,0)</f>
        <v>0</v>
      </c>
      <c r="T107" s="19">
        <f>YEAR(tbl_FACTS[[#This Row],[OrderDate]])</f>
        <v>1996</v>
      </c>
      <c r="U107" s="22">
        <f>DATE(YEAR(tbl_FACTS[[#This Row],[OrderDate]]),MONTH(tbl_FACTS[[#This Row],[OrderDate]]),1)</f>
        <v>35278</v>
      </c>
      <c r="V107" s="22" t="str">
        <f>IF(tbl_FACTS[[#This Row],[Quantity]]&lt;=10,"0–10",IF(tbl_FACTS[[#This Row],[Quantity]]&lt;=20,"11–20",IF(tbl_FACTS[[#This Row],[Quantity]]&lt;=30,"21–30",IF(tbl_FACTS[[#This Row],[Quantity]]&lt;=40,"31–40",IF(tbl_FACTS[[#This Row],[Quantity]]&lt;=50,"41–50","51+")))))</f>
        <v>11–20</v>
      </c>
    </row>
    <row r="108" spans="1:22">
      <c r="A108">
        <v>107</v>
      </c>
      <c r="B108">
        <v>10287</v>
      </c>
      <c r="C108">
        <v>46</v>
      </c>
      <c r="D108" s="19">
        <v>15</v>
      </c>
      <c r="E108" s="20">
        <f>_xlfn.XLOOKUP(tbl_FACTS[[#This Row],[OrderID]],Πίνακας64[OrderID],Πίνακας64[OrderDate])</f>
        <v>35299</v>
      </c>
      <c r="F108">
        <f>_xlfn.XLOOKUP(tbl_FACTS[[#This Row],[OrderID]],Πίνακας64[OrderID],Πίνακας64[CustomerID])</f>
        <v>67</v>
      </c>
      <c r="G108" t="str">
        <f>_xlfn.XLOOKUP(tbl_FACTS[[#This Row],[CustomerID]],Πίνακας1[CustomerID],Πίνακας1[CustomerName])</f>
        <v>Ricardo Adocicados</v>
      </c>
      <c r="H108" t="str">
        <f>_xlfn.XLOOKUP(tbl_FACTS[[#This Row],[CustomerID]],Πίνακας1[CustomerID],Πίνακας1[Country])</f>
        <v>Brazil</v>
      </c>
      <c r="I108">
        <f>_xlfn.XLOOKUP(tbl_FACTS[[#This Row],[OrderID]],Πίνακας64[OrderID],Πίνακας64[EmployeeID])</f>
        <v>8</v>
      </c>
      <c r="J108">
        <f>_xlfn.XLOOKUP(tbl_FACTS[[#This Row],[OrderID]],Πίνακας64[OrderID],Πίνακας64[ShipperID])</f>
        <v>3</v>
      </c>
      <c r="K108" t="str">
        <f>_xlfn.XLOOKUP(tbl_FACTS[[#This Row],[ShipperID]],Πίνακας8[ShipperID],Πίνακας8[ShipperName])</f>
        <v>Federal Shipping</v>
      </c>
      <c r="L108" t="str">
        <f>_xlfn.XLOOKUP(tbl_FACTS[[#This Row],[ProductID]],Πίνακας7[ProductID],Πίνακας7[ProductName])</f>
        <v>Spegesild</v>
      </c>
      <c r="M108">
        <f>_xlfn.XLOOKUP(tbl_FACTS[[#This Row],[ProductID]],Πίνακας7[ProductID],Πίνακας7[CategoryID])</f>
        <v>8</v>
      </c>
      <c r="N108" t="str">
        <f>_xlfn.XLOOKUP(tbl_FACTS[[#This Row],[CategoryID]],Πίνακας4[CategoryID],Πίνακας4[CategoryName])</f>
        <v>Seafood</v>
      </c>
      <c r="O108">
        <f>_xlfn.XLOOKUP(tbl_FACTS[[#This Row],[ProductID]],Πίνακας7[ProductID],Πίνακας7[SupplierID])</f>
        <v>21</v>
      </c>
      <c r="P108" t="str">
        <f>_xlfn.XLOOKUP(tbl_FACTS[[#This Row],[SupplierID]],Πίνακας9[SupplierID],Πίνακας9[SupplierName])</f>
        <v>Lyngbysild</v>
      </c>
      <c r="Q108" s="21">
        <f>_xlfn.XLOOKUP(tbl_FACTS[[#This Row],[ProductID]],Πίνακας7[ProductID],Πίνακας7[Price])</f>
        <v>12</v>
      </c>
      <c r="R108" s="21">
        <f>tbl_FACTS[[#This Row],[Quantity]]*tbl_FACTS[[#This Row],[Price]]</f>
        <v>180</v>
      </c>
      <c r="S108" s="19">
        <f>IF(COUNTIFS(tbl_FACTS[OrderID],tbl_FACTS[[#This Row],[OrderID]],tbl_FACTS[OrderDetailID],"&lt;"&amp;tbl_FACTS[[#This Row],[OrderDetailID]])=0,1,0)</f>
        <v>0</v>
      </c>
      <c r="T108" s="19">
        <f>YEAR(tbl_FACTS[[#This Row],[OrderDate]])</f>
        <v>1996</v>
      </c>
      <c r="U108" s="22">
        <f>DATE(YEAR(tbl_FACTS[[#This Row],[OrderDate]]),MONTH(tbl_FACTS[[#This Row],[OrderDate]]),1)</f>
        <v>35278</v>
      </c>
      <c r="V108" s="22" t="str">
        <f>IF(tbl_FACTS[[#This Row],[Quantity]]&lt;=10,"0–10",IF(tbl_FACTS[[#This Row],[Quantity]]&lt;=20,"11–20",IF(tbl_FACTS[[#This Row],[Quantity]]&lt;=30,"21–30",IF(tbl_FACTS[[#This Row],[Quantity]]&lt;=40,"31–40",IF(tbl_FACTS[[#This Row],[Quantity]]&lt;=50,"41–50","51+")))))</f>
        <v>11–20</v>
      </c>
    </row>
    <row r="109" spans="1:22">
      <c r="A109">
        <v>108</v>
      </c>
      <c r="B109">
        <v>10288</v>
      </c>
      <c r="C109">
        <v>54</v>
      </c>
      <c r="D109" s="19">
        <v>10</v>
      </c>
      <c r="E109" s="20">
        <f>_xlfn.XLOOKUP(tbl_FACTS[[#This Row],[OrderID]],Πίνακας64[OrderID],Πίνακας64[OrderDate])</f>
        <v>35300</v>
      </c>
      <c r="F109">
        <f>_xlfn.XLOOKUP(tbl_FACTS[[#This Row],[OrderID]],Πίνακας64[OrderID],Πίνακας64[CustomerID])</f>
        <v>66</v>
      </c>
      <c r="G109" t="str">
        <f>_xlfn.XLOOKUP(tbl_FACTS[[#This Row],[CustomerID]],Πίνακας1[CustomerID],Πίνακας1[CustomerName])</f>
        <v>Reggiani Caseifici</v>
      </c>
      <c r="H109" t="str">
        <f>_xlfn.XLOOKUP(tbl_FACTS[[#This Row],[CustomerID]],Πίνακας1[CustomerID],Πίνακας1[Country])</f>
        <v>Italy</v>
      </c>
      <c r="I109">
        <f>_xlfn.XLOOKUP(tbl_FACTS[[#This Row],[OrderID]],Πίνακας64[OrderID],Πίνακας64[EmployeeID])</f>
        <v>4</v>
      </c>
      <c r="J109">
        <f>_xlfn.XLOOKUP(tbl_FACTS[[#This Row],[OrderID]],Πίνακας64[OrderID],Πίνακας64[ShipperID])</f>
        <v>1</v>
      </c>
      <c r="K109" t="str">
        <f>_xlfn.XLOOKUP(tbl_FACTS[[#This Row],[ShipperID]],Πίνακας8[ShipperID],Πίνακας8[ShipperName])</f>
        <v>Speedy Express</v>
      </c>
      <c r="L109" t="str">
        <f>_xlfn.XLOOKUP(tbl_FACTS[[#This Row],[ProductID]],Πίνακας7[ProductID],Πίνακας7[ProductName])</f>
        <v>Tourtiere</v>
      </c>
      <c r="M109">
        <f>_xlfn.XLOOKUP(tbl_FACTS[[#This Row],[ProductID]],Πίνακας7[ProductID],Πίνακας7[CategoryID])</f>
        <v>6</v>
      </c>
      <c r="N109" t="str">
        <f>_xlfn.XLOOKUP(tbl_FACTS[[#This Row],[CategoryID]],Πίνακας4[CategoryID],Πίνακας4[CategoryName])</f>
        <v>Meat/Poultry</v>
      </c>
      <c r="O109">
        <f>_xlfn.XLOOKUP(tbl_FACTS[[#This Row],[ProductID]],Πίνακας7[ProductID],Πίνακας7[SupplierID])</f>
        <v>25</v>
      </c>
      <c r="P109" t="str">
        <f>_xlfn.XLOOKUP(tbl_FACTS[[#This Row],[SupplierID]],Πίνακας9[SupplierID],Πίνακας9[SupplierName])</f>
        <v>Ma Maison</v>
      </c>
      <c r="Q109" s="21">
        <f>_xlfn.XLOOKUP(tbl_FACTS[[#This Row],[ProductID]],Πίνακας7[ProductID],Πίνακας7[Price])</f>
        <v>7</v>
      </c>
      <c r="R109" s="21">
        <f>tbl_FACTS[[#This Row],[Quantity]]*tbl_FACTS[[#This Row],[Price]]</f>
        <v>70</v>
      </c>
      <c r="S109" s="19">
        <f>IF(COUNTIFS(tbl_FACTS[OrderID],tbl_FACTS[[#This Row],[OrderID]],tbl_FACTS[OrderDetailID],"&lt;"&amp;tbl_FACTS[[#This Row],[OrderDetailID]])=0,1,0)</f>
        <v>1</v>
      </c>
      <c r="T109" s="19">
        <f>YEAR(tbl_FACTS[[#This Row],[OrderDate]])</f>
        <v>1996</v>
      </c>
      <c r="U109" s="22">
        <f>DATE(YEAR(tbl_FACTS[[#This Row],[OrderDate]]),MONTH(tbl_FACTS[[#This Row],[OrderDate]]),1)</f>
        <v>35278</v>
      </c>
      <c r="V109" s="22" t="str">
        <f>IF(tbl_FACTS[[#This Row],[Quantity]]&lt;=10,"0–10",IF(tbl_FACTS[[#This Row],[Quantity]]&lt;=20,"11–20",IF(tbl_FACTS[[#This Row],[Quantity]]&lt;=30,"21–30",IF(tbl_FACTS[[#This Row],[Quantity]]&lt;=40,"31–40",IF(tbl_FACTS[[#This Row],[Quantity]]&lt;=50,"41–50","51+")))))</f>
        <v>0–10</v>
      </c>
    </row>
    <row r="110" spans="1:22">
      <c r="A110">
        <v>109</v>
      </c>
      <c r="B110">
        <v>10288</v>
      </c>
      <c r="C110">
        <v>68</v>
      </c>
      <c r="D110" s="19">
        <v>3</v>
      </c>
      <c r="E110" s="20">
        <f>_xlfn.XLOOKUP(tbl_FACTS[[#This Row],[OrderID]],Πίνακας64[OrderID],Πίνακας64[OrderDate])</f>
        <v>35300</v>
      </c>
      <c r="F110">
        <f>_xlfn.XLOOKUP(tbl_FACTS[[#This Row],[OrderID]],Πίνακας64[OrderID],Πίνακας64[CustomerID])</f>
        <v>66</v>
      </c>
      <c r="G110" t="str">
        <f>_xlfn.XLOOKUP(tbl_FACTS[[#This Row],[CustomerID]],Πίνακας1[CustomerID],Πίνακας1[CustomerName])</f>
        <v>Reggiani Caseifici</v>
      </c>
      <c r="H110" t="str">
        <f>_xlfn.XLOOKUP(tbl_FACTS[[#This Row],[CustomerID]],Πίνακας1[CustomerID],Πίνακας1[Country])</f>
        <v>Italy</v>
      </c>
      <c r="I110">
        <f>_xlfn.XLOOKUP(tbl_FACTS[[#This Row],[OrderID]],Πίνακας64[OrderID],Πίνακας64[EmployeeID])</f>
        <v>4</v>
      </c>
      <c r="J110">
        <f>_xlfn.XLOOKUP(tbl_FACTS[[#This Row],[OrderID]],Πίνακας64[OrderID],Πίνακας64[ShipperID])</f>
        <v>1</v>
      </c>
      <c r="K110" t="str">
        <f>_xlfn.XLOOKUP(tbl_FACTS[[#This Row],[ShipperID]],Πίνακας8[ShipperID],Πίνακας8[ShipperName])</f>
        <v>Speedy Express</v>
      </c>
      <c r="L110" t="str">
        <f>_xlfn.XLOOKUP(tbl_FACTS[[#This Row],[ProductID]],Πίνακας7[ProductID],Πίνακας7[ProductName])</f>
        <v>Scottish Longbreads</v>
      </c>
      <c r="M110">
        <f>_xlfn.XLOOKUP(tbl_FACTS[[#This Row],[ProductID]],Πίνακας7[ProductID],Πίνακας7[CategoryID])</f>
        <v>3</v>
      </c>
      <c r="N110" t="str">
        <f>_xlfn.XLOOKUP(tbl_FACTS[[#This Row],[CategoryID]],Πίνακας4[CategoryID],Πίνακας4[CategoryName])</f>
        <v>Confections</v>
      </c>
      <c r="O110">
        <f>_xlfn.XLOOKUP(tbl_FACTS[[#This Row],[ProductID]],Πίνακας7[ProductID],Πίνακας7[SupplierID])</f>
        <v>8</v>
      </c>
      <c r="P110" t="str">
        <f>_xlfn.XLOOKUP(tbl_FACTS[[#This Row],[SupplierID]],Πίνακας9[SupplierID],Πίνακας9[SupplierName])</f>
        <v>Specialty Biscuits, Ltd.</v>
      </c>
      <c r="Q110" s="21">
        <f>_xlfn.XLOOKUP(tbl_FACTS[[#This Row],[ProductID]],Πίνακας7[ProductID],Πίνακας7[Price])</f>
        <v>13</v>
      </c>
      <c r="R110" s="21">
        <f>tbl_FACTS[[#This Row],[Quantity]]*tbl_FACTS[[#This Row],[Price]]</f>
        <v>39</v>
      </c>
      <c r="S110" s="19">
        <f>IF(COUNTIFS(tbl_FACTS[OrderID],tbl_FACTS[[#This Row],[OrderID]],tbl_FACTS[OrderDetailID],"&lt;"&amp;tbl_FACTS[[#This Row],[OrderDetailID]])=0,1,0)</f>
        <v>0</v>
      </c>
      <c r="T110" s="19">
        <f>YEAR(tbl_FACTS[[#This Row],[OrderDate]])</f>
        <v>1996</v>
      </c>
      <c r="U110" s="22">
        <f>DATE(YEAR(tbl_FACTS[[#This Row],[OrderDate]]),MONTH(tbl_FACTS[[#This Row],[OrderDate]]),1)</f>
        <v>35278</v>
      </c>
      <c r="V110" s="22" t="str">
        <f>IF(tbl_FACTS[[#This Row],[Quantity]]&lt;=10,"0–10",IF(tbl_FACTS[[#This Row],[Quantity]]&lt;=20,"11–20",IF(tbl_FACTS[[#This Row],[Quantity]]&lt;=30,"21–30",IF(tbl_FACTS[[#This Row],[Quantity]]&lt;=40,"31–40",IF(tbl_FACTS[[#This Row],[Quantity]]&lt;=50,"41–50","51+")))))</f>
        <v>0–10</v>
      </c>
    </row>
    <row r="111" spans="1:22">
      <c r="A111">
        <v>110</v>
      </c>
      <c r="B111">
        <v>10289</v>
      </c>
      <c r="C111">
        <v>3</v>
      </c>
      <c r="D111" s="19">
        <v>30</v>
      </c>
      <c r="E111" s="20">
        <f>_xlfn.XLOOKUP(tbl_FACTS[[#This Row],[OrderID]],Πίνακας64[OrderID],Πίνακας64[OrderDate])</f>
        <v>35303</v>
      </c>
      <c r="F111">
        <f>_xlfn.XLOOKUP(tbl_FACTS[[#This Row],[OrderID]],Πίνακας64[OrderID],Πίνακας64[CustomerID])</f>
        <v>11</v>
      </c>
      <c r="G111" t="str">
        <f>_xlfn.XLOOKUP(tbl_FACTS[[#This Row],[CustomerID]],Πίνακας1[CustomerID],Πίνακας1[CustomerName])</f>
        <v>B''s Beverages</v>
      </c>
      <c r="H111" t="str">
        <f>_xlfn.XLOOKUP(tbl_FACTS[[#This Row],[CustomerID]],Πίνακας1[CustomerID],Πίνακας1[Country])</f>
        <v>UK</v>
      </c>
      <c r="I111">
        <f>_xlfn.XLOOKUP(tbl_FACTS[[#This Row],[OrderID]],Πίνακας64[OrderID],Πίνακας64[EmployeeID])</f>
        <v>7</v>
      </c>
      <c r="J111">
        <f>_xlfn.XLOOKUP(tbl_FACTS[[#This Row],[OrderID]],Πίνακας64[OrderID],Πίνακας64[ShipperID])</f>
        <v>3</v>
      </c>
      <c r="K111" t="str">
        <f>_xlfn.XLOOKUP(tbl_FACTS[[#This Row],[ShipperID]],Πίνακας8[ShipperID],Πίνακας8[ShipperName])</f>
        <v>Federal Shipping</v>
      </c>
      <c r="L111" t="str">
        <f>_xlfn.XLOOKUP(tbl_FACTS[[#This Row],[ProductID]],Πίνακας7[ProductID],Πίνακας7[ProductName])</f>
        <v>Aniseed Syrup</v>
      </c>
      <c r="M111">
        <f>_xlfn.XLOOKUP(tbl_FACTS[[#This Row],[ProductID]],Πίνακας7[ProductID],Πίνακας7[CategoryID])</f>
        <v>2</v>
      </c>
      <c r="N111" t="str">
        <f>_xlfn.XLOOKUP(tbl_FACTS[[#This Row],[CategoryID]],Πίνακας4[CategoryID],Πίνακας4[CategoryName])</f>
        <v>Condiments</v>
      </c>
      <c r="O111">
        <f>_xlfn.XLOOKUP(tbl_FACTS[[#This Row],[ProductID]],Πίνακας7[ProductID],Πίνακας7[SupplierID])</f>
        <v>1</v>
      </c>
      <c r="P111" t="str">
        <f>_xlfn.XLOOKUP(tbl_FACTS[[#This Row],[SupplierID]],Πίνακας9[SupplierID],Πίνακας9[SupplierName])</f>
        <v>Exotic Liquid</v>
      </c>
      <c r="Q111" s="21">
        <f>_xlfn.XLOOKUP(tbl_FACTS[[#This Row],[ProductID]],Πίνακας7[ProductID],Πίνακας7[Price])</f>
        <v>10</v>
      </c>
      <c r="R111" s="21">
        <f>tbl_FACTS[[#This Row],[Quantity]]*tbl_FACTS[[#This Row],[Price]]</f>
        <v>300</v>
      </c>
      <c r="S111" s="19">
        <f>IF(COUNTIFS(tbl_FACTS[OrderID],tbl_FACTS[[#This Row],[OrderID]],tbl_FACTS[OrderDetailID],"&lt;"&amp;tbl_FACTS[[#This Row],[OrderDetailID]])=0,1,0)</f>
        <v>1</v>
      </c>
      <c r="T111" s="19">
        <f>YEAR(tbl_FACTS[[#This Row],[OrderDate]])</f>
        <v>1996</v>
      </c>
      <c r="U111" s="22">
        <f>DATE(YEAR(tbl_FACTS[[#This Row],[OrderDate]]),MONTH(tbl_FACTS[[#This Row],[OrderDate]]),1)</f>
        <v>35278</v>
      </c>
      <c r="V111" s="22" t="str">
        <f>IF(tbl_FACTS[[#This Row],[Quantity]]&lt;=10,"0–10",IF(tbl_FACTS[[#This Row],[Quantity]]&lt;=20,"11–20",IF(tbl_FACTS[[#This Row],[Quantity]]&lt;=30,"21–30",IF(tbl_FACTS[[#This Row],[Quantity]]&lt;=40,"31–40",IF(tbl_FACTS[[#This Row],[Quantity]]&lt;=50,"41–50","51+")))))</f>
        <v>21–30</v>
      </c>
    </row>
    <row r="112" spans="1:22">
      <c r="A112">
        <v>111</v>
      </c>
      <c r="B112">
        <v>10289</v>
      </c>
      <c r="C112">
        <v>64</v>
      </c>
      <c r="D112" s="19">
        <v>9</v>
      </c>
      <c r="E112" s="20">
        <f>_xlfn.XLOOKUP(tbl_FACTS[[#This Row],[OrderID]],Πίνακας64[OrderID],Πίνακας64[OrderDate])</f>
        <v>35303</v>
      </c>
      <c r="F112">
        <f>_xlfn.XLOOKUP(tbl_FACTS[[#This Row],[OrderID]],Πίνακας64[OrderID],Πίνακας64[CustomerID])</f>
        <v>11</v>
      </c>
      <c r="G112" t="str">
        <f>_xlfn.XLOOKUP(tbl_FACTS[[#This Row],[CustomerID]],Πίνακας1[CustomerID],Πίνακας1[CustomerName])</f>
        <v>B''s Beverages</v>
      </c>
      <c r="H112" t="str">
        <f>_xlfn.XLOOKUP(tbl_FACTS[[#This Row],[CustomerID]],Πίνακας1[CustomerID],Πίνακας1[Country])</f>
        <v>UK</v>
      </c>
      <c r="I112">
        <f>_xlfn.XLOOKUP(tbl_FACTS[[#This Row],[OrderID]],Πίνακας64[OrderID],Πίνακας64[EmployeeID])</f>
        <v>7</v>
      </c>
      <c r="J112">
        <f>_xlfn.XLOOKUP(tbl_FACTS[[#This Row],[OrderID]],Πίνακας64[OrderID],Πίνακας64[ShipperID])</f>
        <v>3</v>
      </c>
      <c r="K112" t="str">
        <f>_xlfn.XLOOKUP(tbl_FACTS[[#This Row],[ShipperID]],Πίνακας8[ShipperID],Πίνακας8[ShipperName])</f>
        <v>Federal Shipping</v>
      </c>
      <c r="L112" t="str">
        <f>_xlfn.XLOOKUP(tbl_FACTS[[#This Row],[ProductID]],Πίνακας7[ProductID],Πίνακας7[ProductName])</f>
        <v>Wimmers gute Semmelknodel</v>
      </c>
      <c r="M112">
        <f>_xlfn.XLOOKUP(tbl_FACTS[[#This Row],[ProductID]],Πίνακας7[ProductID],Πίνακας7[CategoryID])</f>
        <v>5</v>
      </c>
      <c r="N112" t="str">
        <f>_xlfn.XLOOKUP(tbl_FACTS[[#This Row],[CategoryID]],Πίνακας4[CategoryID],Πίνακας4[CategoryName])</f>
        <v>Grains/Cereals</v>
      </c>
      <c r="O112">
        <f>_xlfn.XLOOKUP(tbl_FACTS[[#This Row],[ProductID]],Πίνακας7[ProductID],Πίνακας7[SupplierID])</f>
        <v>12</v>
      </c>
      <c r="P112" t="str">
        <f>_xlfn.XLOOKUP(tbl_FACTS[[#This Row],[SupplierID]],Πίνακας9[SupplierID],Πίνακας9[SupplierName])</f>
        <v>Plutzer Lebensmittelgro├ƒmarkte AG</v>
      </c>
      <c r="Q112" s="21">
        <f>_xlfn.XLOOKUP(tbl_FACTS[[#This Row],[ProductID]],Πίνακας7[ProductID],Πίνακας7[Price])</f>
        <v>33</v>
      </c>
      <c r="R112" s="21">
        <f>tbl_FACTS[[#This Row],[Quantity]]*tbl_FACTS[[#This Row],[Price]]</f>
        <v>297</v>
      </c>
      <c r="S112" s="19">
        <f>IF(COUNTIFS(tbl_FACTS[OrderID],tbl_FACTS[[#This Row],[OrderID]],tbl_FACTS[OrderDetailID],"&lt;"&amp;tbl_FACTS[[#This Row],[OrderDetailID]])=0,1,0)</f>
        <v>0</v>
      </c>
      <c r="T112" s="19">
        <f>YEAR(tbl_FACTS[[#This Row],[OrderDate]])</f>
        <v>1996</v>
      </c>
      <c r="U112" s="22">
        <f>DATE(YEAR(tbl_FACTS[[#This Row],[OrderDate]]),MONTH(tbl_FACTS[[#This Row],[OrderDate]]),1)</f>
        <v>35278</v>
      </c>
      <c r="V112" s="22" t="str">
        <f>IF(tbl_FACTS[[#This Row],[Quantity]]&lt;=10,"0–10",IF(tbl_FACTS[[#This Row],[Quantity]]&lt;=20,"11–20",IF(tbl_FACTS[[#This Row],[Quantity]]&lt;=30,"21–30",IF(tbl_FACTS[[#This Row],[Quantity]]&lt;=40,"31–40",IF(tbl_FACTS[[#This Row],[Quantity]]&lt;=50,"41–50","51+")))))</f>
        <v>0–10</v>
      </c>
    </row>
    <row r="113" spans="1:22">
      <c r="A113">
        <v>112</v>
      </c>
      <c r="B113">
        <v>10290</v>
      </c>
      <c r="C113">
        <v>5</v>
      </c>
      <c r="D113" s="19">
        <v>20</v>
      </c>
      <c r="E113" s="20">
        <f>_xlfn.XLOOKUP(tbl_FACTS[[#This Row],[OrderID]],Πίνακας64[OrderID],Πίνακας64[OrderDate])</f>
        <v>35304</v>
      </c>
      <c r="F113">
        <f>_xlfn.XLOOKUP(tbl_FACTS[[#This Row],[OrderID]],Πίνακας64[OrderID],Πίνακας64[CustomerID])</f>
        <v>15</v>
      </c>
      <c r="G113" t="str">
        <f>_xlfn.XLOOKUP(tbl_FACTS[[#This Row],[CustomerID]],Πίνακας1[CustomerID],Πίνακας1[CustomerName])</f>
        <v>Comercio Mineiro</v>
      </c>
      <c r="H113" t="str">
        <f>_xlfn.XLOOKUP(tbl_FACTS[[#This Row],[CustomerID]],Πίνακας1[CustomerID],Πίνακας1[Country])</f>
        <v>Brazil</v>
      </c>
      <c r="I113">
        <f>_xlfn.XLOOKUP(tbl_FACTS[[#This Row],[OrderID]],Πίνακας64[OrderID],Πίνακας64[EmployeeID])</f>
        <v>8</v>
      </c>
      <c r="J113">
        <f>_xlfn.XLOOKUP(tbl_FACTS[[#This Row],[OrderID]],Πίνακας64[OrderID],Πίνακας64[ShipperID])</f>
        <v>1</v>
      </c>
      <c r="K113" t="str">
        <f>_xlfn.XLOOKUP(tbl_FACTS[[#This Row],[ShipperID]],Πίνακας8[ShipperID],Πίνακας8[ShipperName])</f>
        <v>Speedy Express</v>
      </c>
      <c r="L113" t="str">
        <f>_xlfn.XLOOKUP(tbl_FACTS[[#This Row],[ProductID]],Πίνακας7[ProductID],Πίνακας7[ProductName])</f>
        <v>Chef Anton's Gumbo Mix</v>
      </c>
      <c r="M113">
        <f>_xlfn.XLOOKUP(tbl_FACTS[[#This Row],[ProductID]],Πίνακας7[ProductID],Πίνακας7[CategoryID])</f>
        <v>2</v>
      </c>
      <c r="N113" t="str">
        <f>_xlfn.XLOOKUP(tbl_FACTS[[#This Row],[CategoryID]],Πίνακας4[CategoryID],Πίνακας4[CategoryName])</f>
        <v>Condiments</v>
      </c>
      <c r="O113">
        <f>_xlfn.XLOOKUP(tbl_FACTS[[#This Row],[ProductID]],Πίνακας7[ProductID],Πίνακας7[SupplierID])</f>
        <v>2</v>
      </c>
      <c r="P113" t="str">
        <f>_xlfn.XLOOKUP(tbl_FACTS[[#This Row],[SupplierID]],Πίνακας9[SupplierID],Πίνακας9[SupplierName])</f>
        <v>New Orleans Cajun Delights</v>
      </c>
      <c r="Q113" s="21">
        <f>_xlfn.XLOOKUP(tbl_FACTS[[#This Row],[ProductID]],Πίνακας7[ProductID],Πίνακας7[Price])</f>
        <v>21</v>
      </c>
      <c r="R113" s="21">
        <f>tbl_FACTS[[#This Row],[Quantity]]*tbl_FACTS[[#This Row],[Price]]</f>
        <v>420</v>
      </c>
      <c r="S113" s="19">
        <f>IF(COUNTIFS(tbl_FACTS[OrderID],tbl_FACTS[[#This Row],[OrderID]],tbl_FACTS[OrderDetailID],"&lt;"&amp;tbl_FACTS[[#This Row],[OrderDetailID]])=0,1,0)</f>
        <v>1</v>
      </c>
      <c r="T113" s="19">
        <f>YEAR(tbl_FACTS[[#This Row],[OrderDate]])</f>
        <v>1996</v>
      </c>
      <c r="U113" s="22">
        <f>DATE(YEAR(tbl_FACTS[[#This Row],[OrderDate]]),MONTH(tbl_FACTS[[#This Row],[OrderDate]]),1)</f>
        <v>35278</v>
      </c>
      <c r="V113" s="22" t="str">
        <f>IF(tbl_FACTS[[#This Row],[Quantity]]&lt;=10,"0–10",IF(tbl_FACTS[[#This Row],[Quantity]]&lt;=20,"11–20",IF(tbl_FACTS[[#This Row],[Quantity]]&lt;=30,"21–30",IF(tbl_FACTS[[#This Row],[Quantity]]&lt;=40,"31–40",IF(tbl_FACTS[[#This Row],[Quantity]]&lt;=50,"41–50","51+")))))</f>
        <v>11–20</v>
      </c>
    </row>
    <row r="114" spans="1:22">
      <c r="A114">
        <v>113</v>
      </c>
      <c r="B114">
        <v>10290</v>
      </c>
      <c r="C114">
        <v>29</v>
      </c>
      <c r="D114" s="19">
        <v>15</v>
      </c>
      <c r="E114" s="20">
        <f>_xlfn.XLOOKUP(tbl_FACTS[[#This Row],[OrderID]],Πίνακας64[OrderID],Πίνακας64[OrderDate])</f>
        <v>35304</v>
      </c>
      <c r="F114">
        <f>_xlfn.XLOOKUP(tbl_FACTS[[#This Row],[OrderID]],Πίνακας64[OrderID],Πίνακας64[CustomerID])</f>
        <v>15</v>
      </c>
      <c r="G114" t="str">
        <f>_xlfn.XLOOKUP(tbl_FACTS[[#This Row],[CustomerID]],Πίνακας1[CustomerID],Πίνακας1[CustomerName])</f>
        <v>Comercio Mineiro</v>
      </c>
      <c r="H114" t="str">
        <f>_xlfn.XLOOKUP(tbl_FACTS[[#This Row],[CustomerID]],Πίνακας1[CustomerID],Πίνακας1[Country])</f>
        <v>Brazil</v>
      </c>
      <c r="I114">
        <f>_xlfn.XLOOKUP(tbl_FACTS[[#This Row],[OrderID]],Πίνακας64[OrderID],Πίνακας64[EmployeeID])</f>
        <v>8</v>
      </c>
      <c r="J114">
        <f>_xlfn.XLOOKUP(tbl_FACTS[[#This Row],[OrderID]],Πίνακας64[OrderID],Πίνακας64[ShipperID])</f>
        <v>1</v>
      </c>
      <c r="K114" t="str">
        <f>_xlfn.XLOOKUP(tbl_FACTS[[#This Row],[ShipperID]],Πίνακας8[ShipperID],Πίνακας8[ShipperName])</f>
        <v>Speedy Express</v>
      </c>
      <c r="L114" t="str">
        <f>_xlfn.XLOOKUP(tbl_FACTS[[#This Row],[ProductID]],Πίνακας7[ProductID],Πίνακας7[ProductName])</f>
        <v>Thuringer Rostbratwurst</v>
      </c>
      <c r="M114">
        <f>_xlfn.XLOOKUP(tbl_FACTS[[#This Row],[ProductID]],Πίνακας7[ProductID],Πίνακας7[CategoryID])</f>
        <v>6</v>
      </c>
      <c r="N114" t="str">
        <f>_xlfn.XLOOKUP(tbl_FACTS[[#This Row],[CategoryID]],Πίνακας4[CategoryID],Πίνακας4[CategoryName])</f>
        <v>Meat/Poultry</v>
      </c>
      <c r="O114">
        <f>_xlfn.XLOOKUP(tbl_FACTS[[#This Row],[ProductID]],Πίνακας7[ProductID],Πίνακας7[SupplierID])</f>
        <v>12</v>
      </c>
      <c r="P114" t="str">
        <f>_xlfn.XLOOKUP(tbl_FACTS[[#This Row],[SupplierID]],Πίνακας9[SupplierID],Πίνακας9[SupplierName])</f>
        <v>Plutzer Lebensmittelgro├ƒmarkte AG</v>
      </c>
      <c r="Q114" s="21">
        <f>_xlfn.XLOOKUP(tbl_FACTS[[#This Row],[ProductID]],Πίνακας7[ProductID],Πίνακας7[Price])</f>
        <v>124</v>
      </c>
      <c r="R114" s="21">
        <f>tbl_FACTS[[#This Row],[Quantity]]*tbl_FACTS[[#This Row],[Price]]</f>
        <v>1860</v>
      </c>
      <c r="S114" s="19">
        <f>IF(COUNTIFS(tbl_FACTS[OrderID],tbl_FACTS[[#This Row],[OrderID]],tbl_FACTS[OrderDetailID],"&lt;"&amp;tbl_FACTS[[#This Row],[OrderDetailID]])=0,1,0)</f>
        <v>0</v>
      </c>
      <c r="T114" s="19">
        <f>YEAR(tbl_FACTS[[#This Row],[OrderDate]])</f>
        <v>1996</v>
      </c>
      <c r="U114" s="22">
        <f>DATE(YEAR(tbl_FACTS[[#This Row],[OrderDate]]),MONTH(tbl_FACTS[[#This Row],[OrderDate]]),1)</f>
        <v>35278</v>
      </c>
      <c r="V114" s="22" t="str">
        <f>IF(tbl_FACTS[[#This Row],[Quantity]]&lt;=10,"0–10",IF(tbl_FACTS[[#This Row],[Quantity]]&lt;=20,"11–20",IF(tbl_FACTS[[#This Row],[Quantity]]&lt;=30,"21–30",IF(tbl_FACTS[[#This Row],[Quantity]]&lt;=40,"31–40",IF(tbl_FACTS[[#This Row],[Quantity]]&lt;=50,"41–50","51+")))))</f>
        <v>11–20</v>
      </c>
    </row>
    <row r="115" spans="1:22">
      <c r="A115">
        <v>114</v>
      </c>
      <c r="B115">
        <v>10290</v>
      </c>
      <c r="C115">
        <v>49</v>
      </c>
      <c r="D115" s="19">
        <v>15</v>
      </c>
      <c r="E115" s="20">
        <f>_xlfn.XLOOKUP(tbl_FACTS[[#This Row],[OrderID]],Πίνακας64[OrderID],Πίνακας64[OrderDate])</f>
        <v>35304</v>
      </c>
      <c r="F115">
        <f>_xlfn.XLOOKUP(tbl_FACTS[[#This Row],[OrderID]],Πίνακας64[OrderID],Πίνακας64[CustomerID])</f>
        <v>15</v>
      </c>
      <c r="G115" t="str">
        <f>_xlfn.XLOOKUP(tbl_FACTS[[#This Row],[CustomerID]],Πίνακας1[CustomerID],Πίνακας1[CustomerName])</f>
        <v>Comercio Mineiro</v>
      </c>
      <c r="H115" t="str">
        <f>_xlfn.XLOOKUP(tbl_FACTS[[#This Row],[CustomerID]],Πίνακας1[CustomerID],Πίνακας1[Country])</f>
        <v>Brazil</v>
      </c>
      <c r="I115">
        <f>_xlfn.XLOOKUP(tbl_FACTS[[#This Row],[OrderID]],Πίνακας64[OrderID],Πίνακας64[EmployeeID])</f>
        <v>8</v>
      </c>
      <c r="J115">
        <f>_xlfn.XLOOKUP(tbl_FACTS[[#This Row],[OrderID]],Πίνακας64[OrderID],Πίνακας64[ShipperID])</f>
        <v>1</v>
      </c>
      <c r="K115" t="str">
        <f>_xlfn.XLOOKUP(tbl_FACTS[[#This Row],[ShipperID]],Πίνακας8[ShipperID],Πίνακας8[ShipperName])</f>
        <v>Speedy Express</v>
      </c>
      <c r="L115" t="str">
        <f>_xlfn.XLOOKUP(tbl_FACTS[[#This Row],[ProductID]],Πίνακας7[ProductID],Πίνακας7[ProductName])</f>
        <v>Maxilaku</v>
      </c>
      <c r="M115">
        <f>_xlfn.XLOOKUP(tbl_FACTS[[#This Row],[ProductID]],Πίνακας7[ProductID],Πίνακας7[CategoryID])</f>
        <v>3</v>
      </c>
      <c r="N115" t="str">
        <f>_xlfn.XLOOKUP(tbl_FACTS[[#This Row],[CategoryID]],Πίνακας4[CategoryID],Πίνακας4[CategoryName])</f>
        <v>Confections</v>
      </c>
      <c r="O115">
        <f>_xlfn.XLOOKUP(tbl_FACTS[[#This Row],[ProductID]],Πίνακας7[ProductID],Πίνακας7[SupplierID])</f>
        <v>23</v>
      </c>
      <c r="P115" t="str">
        <f>_xlfn.XLOOKUP(tbl_FACTS[[#This Row],[SupplierID]],Πίνακας9[SupplierID],Πίνακας9[SupplierName])</f>
        <v>Karkki Oy</v>
      </c>
      <c r="Q115" s="21">
        <f>_xlfn.XLOOKUP(tbl_FACTS[[#This Row],[ProductID]],Πίνακας7[ProductID],Πίνακας7[Price])</f>
        <v>20</v>
      </c>
      <c r="R115" s="21">
        <f>tbl_FACTS[[#This Row],[Quantity]]*tbl_FACTS[[#This Row],[Price]]</f>
        <v>300</v>
      </c>
      <c r="S115" s="19">
        <f>IF(COUNTIFS(tbl_FACTS[OrderID],tbl_FACTS[[#This Row],[OrderID]],tbl_FACTS[OrderDetailID],"&lt;"&amp;tbl_FACTS[[#This Row],[OrderDetailID]])=0,1,0)</f>
        <v>0</v>
      </c>
      <c r="T115" s="19">
        <f>YEAR(tbl_FACTS[[#This Row],[OrderDate]])</f>
        <v>1996</v>
      </c>
      <c r="U115" s="22">
        <f>DATE(YEAR(tbl_FACTS[[#This Row],[OrderDate]]),MONTH(tbl_FACTS[[#This Row],[OrderDate]]),1)</f>
        <v>35278</v>
      </c>
      <c r="V115" s="22" t="str">
        <f>IF(tbl_FACTS[[#This Row],[Quantity]]&lt;=10,"0–10",IF(tbl_FACTS[[#This Row],[Quantity]]&lt;=20,"11–20",IF(tbl_FACTS[[#This Row],[Quantity]]&lt;=30,"21–30",IF(tbl_FACTS[[#This Row],[Quantity]]&lt;=40,"31–40",IF(tbl_FACTS[[#This Row],[Quantity]]&lt;=50,"41–50","51+")))))</f>
        <v>11–20</v>
      </c>
    </row>
    <row r="116" spans="1:22">
      <c r="A116">
        <v>115</v>
      </c>
      <c r="B116">
        <v>10290</v>
      </c>
      <c r="C116">
        <v>77</v>
      </c>
      <c r="D116" s="19">
        <v>10</v>
      </c>
      <c r="E116" s="20">
        <f>_xlfn.XLOOKUP(tbl_FACTS[[#This Row],[OrderID]],Πίνακας64[OrderID],Πίνακας64[OrderDate])</f>
        <v>35304</v>
      </c>
      <c r="F116">
        <f>_xlfn.XLOOKUP(tbl_FACTS[[#This Row],[OrderID]],Πίνακας64[OrderID],Πίνακας64[CustomerID])</f>
        <v>15</v>
      </c>
      <c r="G116" t="str">
        <f>_xlfn.XLOOKUP(tbl_FACTS[[#This Row],[CustomerID]],Πίνακας1[CustomerID],Πίνακας1[CustomerName])</f>
        <v>Comercio Mineiro</v>
      </c>
      <c r="H116" t="str">
        <f>_xlfn.XLOOKUP(tbl_FACTS[[#This Row],[CustomerID]],Πίνακας1[CustomerID],Πίνακας1[Country])</f>
        <v>Brazil</v>
      </c>
      <c r="I116">
        <f>_xlfn.XLOOKUP(tbl_FACTS[[#This Row],[OrderID]],Πίνακας64[OrderID],Πίνακας64[EmployeeID])</f>
        <v>8</v>
      </c>
      <c r="J116">
        <f>_xlfn.XLOOKUP(tbl_FACTS[[#This Row],[OrderID]],Πίνακας64[OrderID],Πίνακας64[ShipperID])</f>
        <v>1</v>
      </c>
      <c r="K116" t="str">
        <f>_xlfn.XLOOKUP(tbl_FACTS[[#This Row],[ShipperID]],Πίνακας8[ShipperID],Πίνακας8[ShipperName])</f>
        <v>Speedy Express</v>
      </c>
      <c r="L116" t="str">
        <f>_xlfn.XLOOKUP(tbl_FACTS[[#This Row],[ProductID]],Πίνακας7[ProductID],Πίνακας7[ProductName])</f>
        <v>Original Frankfurter grune So├ƒe</v>
      </c>
      <c r="M116">
        <f>_xlfn.XLOOKUP(tbl_FACTS[[#This Row],[ProductID]],Πίνακας7[ProductID],Πίνακας7[CategoryID])</f>
        <v>2</v>
      </c>
      <c r="N116" t="str">
        <f>_xlfn.XLOOKUP(tbl_FACTS[[#This Row],[CategoryID]],Πίνακας4[CategoryID],Πίνακας4[CategoryName])</f>
        <v>Condiments</v>
      </c>
      <c r="O116">
        <f>_xlfn.XLOOKUP(tbl_FACTS[[#This Row],[ProductID]],Πίνακας7[ProductID],Πίνακας7[SupplierID])</f>
        <v>12</v>
      </c>
      <c r="P116" t="str">
        <f>_xlfn.XLOOKUP(tbl_FACTS[[#This Row],[SupplierID]],Πίνακας9[SupplierID],Πίνακας9[SupplierName])</f>
        <v>Plutzer Lebensmittelgro├ƒmarkte AG</v>
      </c>
      <c r="Q116" s="21">
        <f>_xlfn.XLOOKUP(tbl_FACTS[[#This Row],[ProductID]],Πίνακας7[ProductID],Πίνακας7[Price])</f>
        <v>13</v>
      </c>
      <c r="R116" s="21">
        <f>tbl_FACTS[[#This Row],[Quantity]]*tbl_FACTS[[#This Row],[Price]]</f>
        <v>130</v>
      </c>
      <c r="S116" s="19">
        <f>IF(COUNTIFS(tbl_FACTS[OrderID],tbl_FACTS[[#This Row],[OrderID]],tbl_FACTS[OrderDetailID],"&lt;"&amp;tbl_FACTS[[#This Row],[OrderDetailID]])=0,1,0)</f>
        <v>0</v>
      </c>
      <c r="T116" s="19">
        <f>YEAR(tbl_FACTS[[#This Row],[OrderDate]])</f>
        <v>1996</v>
      </c>
      <c r="U116" s="22">
        <f>DATE(YEAR(tbl_FACTS[[#This Row],[OrderDate]]),MONTH(tbl_FACTS[[#This Row],[OrderDate]]),1)</f>
        <v>35278</v>
      </c>
      <c r="V116" s="22" t="str">
        <f>IF(tbl_FACTS[[#This Row],[Quantity]]&lt;=10,"0–10",IF(tbl_FACTS[[#This Row],[Quantity]]&lt;=20,"11–20",IF(tbl_FACTS[[#This Row],[Quantity]]&lt;=30,"21–30",IF(tbl_FACTS[[#This Row],[Quantity]]&lt;=40,"31–40",IF(tbl_FACTS[[#This Row],[Quantity]]&lt;=50,"41–50","51+")))))</f>
        <v>0–10</v>
      </c>
    </row>
    <row r="117" spans="1:22">
      <c r="A117">
        <v>116</v>
      </c>
      <c r="B117">
        <v>10291</v>
      </c>
      <c r="C117">
        <v>13</v>
      </c>
      <c r="D117" s="19">
        <v>20</v>
      </c>
      <c r="E117" s="20">
        <f>_xlfn.XLOOKUP(tbl_FACTS[[#This Row],[OrderID]],Πίνακας64[OrderID],Πίνακας64[OrderDate])</f>
        <v>35304</v>
      </c>
      <c r="F117">
        <f>_xlfn.XLOOKUP(tbl_FACTS[[#This Row],[OrderID]],Πίνακας64[OrderID],Πίνακας64[CustomerID])</f>
        <v>61</v>
      </c>
      <c r="G117" t="str">
        <f>_xlfn.XLOOKUP(tbl_FACTS[[#This Row],[CustomerID]],Πίνακας1[CustomerID],Πίνακας1[CustomerName])</f>
        <v>Que Delicia</v>
      </c>
      <c r="H117" t="str">
        <f>_xlfn.XLOOKUP(tbl_FACTS[[#This Row],[CustomerID]],Πίνακας1[CustomerID],Πίνακας1[Country])</f>
        <v>Brazil</v>
      </c>
      <c r="I117">
        <f>_xlfn.XLOOKUP(tbl_FACTS[[#This Row],[OrderID]],Πίνακας64[OrderID],Πίνακας64[EmployeeID])</f>
        <v>6</v>
      </c>
      <c r="J117">
        <f>_xlfn.XLOOKUP(tbl_FACTS[[#This Row],[OrderID]],Πίνακας64[OrderID],Πίνακας64[ShipperID])</f>
        <v>2</v>
      </c>
      <c r="K117" t="str">
        <f>_xlfn.XLOOKUP(tbl_FACTS[[#This Row],[ShipperID]],Πίνακας8[ShipperID],Πίνακας8[ShipperName])</f>
        <v>United Package</v>
      </c>
      <c r="L117" t="str">
        <f>_xlfn.XLOOKUP(tbl_FACTS[[#This Row],[ProductID]],Πίνακας7[ProductID],Πίνακας7[ProductName])</f>
        <v>Konbu</v>
      </c>
      <c r="M117">
        <f>_xlfn.XLOOKUP(tbl_FACTS[[#This Row],[ProductID]],Πίνακας7[ProductID],Πίνακας7[CategoryID])</f>
        <v>8</v>
      </c>
      <c r="N117" t="str">
        <f>_xlfn.XLOOKUP(tbl_FACTS[[#This Row],[CategoryID]],Πίνακας4[CategoryID],Πίνακας4[CategoryName])</f>
        <v>Seafood</v>
      </c>
      <c r="O117">
        <f>_xlfn.XLOOKUP(tbl_FACTS[[#This Row],[ProductID]],Πίνακας7[ProductID],Πίνακας7[SupplierID])</f>
        <v>6</v>
      </c>
      <c r="P117" t="str">
        <f>_xlfn.XLOOKUP(tbl_FACTS[[#This Row],[SupplierID]],Πίνακας9[SupplierID],Πίνακας9[SupplierName])</f>
        <v>Mayumi's</v>
      </c>
      <c r="Q117" s="21">
        <f>_xlfn.XLOOKUP(tbl_FACTS[[#This Row],[ProductID]],Πίνακας7[ProductID],Πίνακας7[Price])</f>
        <v>6</v>
      </c>
      <c r="R117" s="21">
        <f>tbl_FACTS[[#This Row],[Quantity]]*tbl_FACTS[[#This Row],[Price]]</f>
        <v>120</v>
      </c>
      <c r="S117" s="19">
        <f>IF(COUNTIFS(tbl_FACTS[OrderID],tbl_FACTS[[#This Row],[OrderID]],tbl_FACTS[OrderDetailID],"&lt;"&amp;tbl_FACTS[[#This Row],[OrderDetailID]])=0,1,0)</f>
        <v>1</v>
      </c>
      <c r="T117" s="19">
        <f>YEAR(tbl_FACTS[[#This Row],[OrderDate]])</f>
        <v>1996</v>
      </c>
      <c r="U117" s="22">
        <f>DATE(YEAR(tbl_FACTS[[#This Row],[OrderDate]]),MONTH(tbl_FACTS[[#This Row],[OrderDate]]),1)</f>
        <v>35278</v>
      </c>
      <c r="V117" s="22" t="str">
        <f>IF(tbl_FACTS[[#This Row],[Quantity]]&lt;=10,"0–10",IF(tbl_FACTS[[#This Row],[Quantity]]&lt;=20,"11–20",IF(tbl_FACTS[[#This Row],[Quantity]]&lt;=30,"21–30",IF(tbl_FACTS[[#This Row],[Quantity]]&lt;=40,"31–40",IF(tbl_FACTS[[#This Row],[Quantity]]&lt;=50,"41–50","51+")))))</f>
        <v>11–20</v>
      </c>
    </row>
    <row r="118" spans="1:22">
      <c r="A118">
        <v>117</v>
      </c>
      <c r="B118">
        <v>10291</v>
      </c>
      <c r="C118">
        <v>44</v>
      </c>
      <c r="D118" s="19">
        <v>24</v>
      </c>
      <c r="E118" s="20">
        <f>_xlfn.XLOOKUP(tbl_FACTS[[#This Row],[OrderID]],Πίνακας64[OrderID],Πίνακας64[OrderDate])</f>
        <v>35304</v>
      </c>
      <c r="F118">
        <f>_xlfn.XLOOKUP(tbl_FACTS[[#This Row],[OrderID]],Πίνακας64[OrderID],Πίνακας64[CustomerID])</f>
        <v>61</v>
      </c>
      <c r="G118" t="str">
        <f>_xlfn.XLOOKUP(tbl_FACTS[[#This Row],[CustomerID]],Πίνακας1[CustomerID],Πίνακας1[CustomerName])</f>
        <v>Que Delicia</v>
      </c>
      <c r="H118" t="str">
        <f>_xlfn.XLOOKUP(tbl_FACTS[[#This Row],[CustomerID]],Πίνακας1[CustomerID],Πίνακας1[Country])</f>
        <v>Brazil</v>
      </c>
      <c r="I118">
        <f>_xlfn.XLOOKUP(tbl_FACTS[[#This Row],[OrderID]],Πίνακας64[OrderID],Πίνακας64[EmployeeID])</f>
        <v>6</v>
      </c>
      <c r="J118">
        <f>_xlfn.XLOOKUP(tbl_FACTS[[#This Row],[OrderID]],Πίνακας64[OrderID],Πίνακας64[ShipperID])</f>
        <v>2</v>
      </c>
      <c r="K118" t="str">
        <f>_xlfn.XLOOKUP(tbl_FACTS[[#This Row],[ShipperID]],Πίνακας8[ShipperID],Πίνακας8[ShipperName])</f>
        <v>United Package</v>
      </c>
      <c r="L118" t="str">
        <f>_xlfn.XLOOKUP(tbl_FACTS[[#This Row],[ProductID]],Πίνακας7[ProductID],Πίνακας7[ProductName])</f>
        <v>Gula Malacca</v>
      </c>
      <c r="M118">
        <f>_xlfn.XLOOKUP(tbl_FACTS[[#This Row],[ProductID]],Πίνακας7[ProductID],Πίνακας7[CategoryID])</f>
        <v>2</v>
      </c>
      <c r="N118" t="str">
        <f>_xlfn.XLOOKUP(tbl_FACTS[[#This Row],[CategoryID]],Πίνακας4[CategoryID],Πίνακας4[CategoryName])</f>
        <v>Condiments</v>
      </c>
      <c r="O118">
        <f>_xlfn.XLOOKUP(tbl_FACTS[[#This Row],[ProductID]],Πίνακας7[ProductID],Πίνακας7[SupplierID])</f>
        <v>20</v>
      </c>
      <c r="P118" t="str">
        <f>_xlfn.XLOOKUP(tbl_FACTS[[#This Row],[SupplierID]],Πίνακας9[SupplierID],Πίνακας9[SupplierName])</f>
        <v>Leka Trading</v>
      </c>
      <c r="Q118" s="21">
        <f>_xlfn.XLOOKUP(tbl_FACTS[[#This Row],[ProductID]],Πίνακας7[ProductID],Πίνακας7[Price])</f>
        <v>19</v>
      </c>
      <c r="R118" s="21">
        <f>tbl_FACTS[[#This Row],[Quantity]]*tbl_FACTS[[#This Row],[Price]]</f>
        <v>456</v>
      </c>
      <c r="S118" s="19">
        <f>IF(COUNTIFS(tbl_FACTS[OrderID],tbl_FACTS[[#This Row],[OrderID]],tbl_FACTS[OrderDetailID],"&lt;"&amp;tbl_FACTS[[#This Row],[OrderDetailID]])=0,1,0)</f>
        <v>0</v>
      </c>
      <c r="T118" s="19">
        <f>YEAR(tbl_FACTS[[#This Row],[OrderDate]])</f>
        <v>1996</v>
      </c>
      <c r="U118" s="22">
        <f>DATE(YEAR(tbl_FACTS[[#This Row],[OrderDate]]),MONTH(tbl_FACTS[[#This Row],[OrderDate]]),1)</f>
        <v>35278</v>
      </c>
      <c r="V118" s="22" t="str">
        <f>IF(tbl_FACTS[[#This Row],[Quantity]]&lt;=10,"0–10",IF(tbl_FACTS[[#This Row],[Quantity]]&lt;=20,"11–20",IF(tbl_FACTS[[#This Row],[Quantity]]&lt;=30,"21–30",IF(tbl_FACTS[[#This Row],[Quantity]]&lt;=40,"31–40",IF(tbl_FACTS[[#This Row],[Quantity]]&lt;=50,"41–50","51+")))))</f>
        <v>21–30</v>
      </c>
    </row>
    <row r="119" spans="1:22">
      <c r="A119">
        <v>118</v>
      </c>
      <c r="B119">
        <v>10291</v>
      </c>
      <c r="C119">
        <v>51</v>
      </c>
      <c r="D119" s="19">
        <v>2</v>
      </c>
      <c r="E119" s="20">
        <f>_xlfn.XLOOKUP(tbl_FACTS[[#This Row],[OrderID]],Πίνακας64[OrderID],Πίνακας64[OrderDate])</f>
        <v>35304</v>
      </c>
      <c r="F119">
        <f>_xlfn.XLOOKUP(tbl_FACTS[[#This Row],[OrderID]],Πίνακας64[OrderID],Πίνακας64[CustomerID])</f>
        <v>61</v>
      </c>
      <c r="G119" t="str">
        <f>_xlfn.XLOOKUP(tbl_FACTS[[#This Row],[CustomerID]],Πίνακας1[CustomerID],Πίνακας1[CustomerName])</f>
        <v>Que Delicia</v>
      </c>
      <c r="H119" t="str">
        <f>_xlfn.XLOOKUP(tbl_FACTS[[#This Row],[CustomerID]],Πίνακας1[CustomerID],Πίνακας1[Country])</f>
        <v>Brazil</v>
      </c>
      <c r="I119">
        <f>_xlfn.XLOOKUP(tbl_FACTS[[#This Row],[OrderID]],Πίνακας64[OrderID],Πίνακας64[EmployeeID])</f>
        <v>6</v>
      </c>
      <c r="J119">
        <f>_xlfn.XLOOKUP(tbl_FACTS[[#This Row],[OrderID]],Πίνακας64[OrderID],Πίνακας64[ShipperID])</f>
        <v>2</v>
      </c>
      <c r="K119" t="str">
        <f>_xlfn.XLOOKUP(tbl_FACTS[[#This Row],[ShipperID]],Πίνακας8[ShipperID],Πίνακας8[ShipperName])</f>
        <v>United Package</v>
      </c>
      <c r="L119" t="str">
        <f>_xlfn.XLOOKUP(tbl_FACTS[[#This Row],[ProductID]],Πίνακας7[ProductID],Πίνακας7[ProductName])</f>
        <v>Manjimup Dried Apples</v>
      </c>
      <c r="M119">
        <f>_xlfn.XLOOKUP(tbl_FACTS[[#This Row],[ProductID]],Πίνακας7[ProductID],Πίνακας7[CategoryID])</f>
        <v>7</v>
      </c>
      <c r="N119" t="str">
        <f>_xlfn.XLOOKUP(tbl_FACTS[[#This Row],[CategoryID]],Πίνακας4[CategoryID],Πίνακας4[CategoryName])</f>
        <v>Produce</v>
      </c>
      <c r="O119">
        <f>_xlfn.XLOOKUP(tbl_FACTS[[#This Row],[ProductID]],Πίνακας7[ProductID],Πίνακας7[SupplierID])</f>
        <v>24</v>
      </c>
      <c r="P119" t="str">
        <f>_xlfn.XLOOKUP(tbl_FACTS[[#This Row],[SupplierID]],Πίνακας9[SupplierID],Πίνακας9[SupplierName])</f>
        <v>G'day, Mate</v>
      </c>
      <c r="Q119" s="21">
        <f>_xlfn.XLOOKUP(tbl_FACTS[[#This Row],[ProductID]],Πίνακας7[ProductID],Πίνακας7[Price])</f>
        <v>53</v>
      </c>
      <c r="R119" s="21">
        <f>tbl_FACTS[[#This Row],[Quantity]]*tbl_FACTS[[#This Row],[Price]]</f>
        <v>106</v>
      </c>
      <c r="S119" s="19">
        <f>IF(COUNTIFS(tbl_FACTS[OrderID],tbl_FACTS[[#This Row],[OrderID]],tbl_FACTS[OrderDetailID],"&lt;"&amp;tbl_FACTS[[#This Row],[OrderDetailID]])=0,1,0)</f>
        <v>0</v>
      </c>
      <c r="T119" s="19">
        <f>YEAR(tbl_FACTS[[#This Row],[OrderDate]])</f>
        <v>1996</v>
      </c>
      <c r="U119" s="22">
        <f>DATE(YEAR(tbl_FACTS[[#This Row],[OrderDate]]),MONTH(tbl_FACTS[[#This Row],[OrderDate]]),1)</f>
        <v>35278</v>
      </c>
      <c r="V119" s="22" t="str">
        <f>IF(tbl_FACTS[[#This Row],[Quantity]]&lt;=10,"0–10",IF(tbl_FACTS[[#This Row],[Quantity]]&lt;=20,"11–20",IF(tbl_FACTS[[#This Row],[Quantity]]&lt;=30,"21–30",IF(tbl_FACTS[[#This Row],[Quantity]]&lt;=40,"31–40",IF(tbl_FACTS[[#This Row],[Quantity]]&lt;=50,"41–50","51+")))))</f>
        <v>0–10</v>
      </c>
    </row>
    <row r="120" spans="1:22">
      <c r="A120">
        <v>119</v>
      </c>
      <c r="B120">
        <v>10292</v>
      </c>
      <c r="C120">
        <v>20</v>
      </c>
      <c r="D120" s="19">
        <v>20</v>
      </c>
      <c r="E120" s="20">
        <f>_xlfn.XLOOKUP(tbl_FACTS[[#This Row],[OrderID]],Πίνακας64[OrderID],Πίνακας64[OrderDate])</f>
        <v>35305</v>
      </c>
      <c r="F120">
        <f>_xlfn.XLOOKUP(tbl_FACTS[[#This Row],[OrderID]],Πίνακας64[OrderID],Πίνακας64[CustomerID])</f>
        <v>81</v>
      </c>
      <c r="G120" t="str">
        <f>_xlfn.XLOOKUP(tbl_FACTS[[#This Row],[CustomerID]],Πίνακας1[CustomerID],Πίνακας1[CustomerName])</f>
        <v>Tradicao Hipermercados</v>
      </c>
      <c r="H120" t="str">
        <f>_xlfn.XLOOKUP(tbl_FACTS[[#This Row],[CustomerID]],Πίνακας1[CustomerID],Πίνακας1[Country])</f>
        <v>Brazil</v>
      </c>
      <c r="I120">
        <f>_xlfn.XLOOKUP(tbl_FACTS[[#This Row],[OrderID]],Πίνακας64[OrderID],Πίνακας64[EmployeeID])</f>
        <v>1</v>
      </c>
      <c r="J120">
        <f>_xlfn.XLOOKUP(tbl_FACTS[[#This Row],[OrderID]],Πίνακας64[OrderID],Πίνακας64[ShipperID])</f>
        <v>2</v>
      </c>
      <c r="K120" t="str">
        <f>_xlfn.XLOOKUP(tbl_FACTS[[#This Row],[ShipperID]],Πίνακας8[ShipperID],Πίνακας8[ShipperName])</f>
        <v>United Package</v>
      </c>
      <c r="L120" t="str">
        <f>_xlfn.XLOOKUP(tbl_FACTS[[#This Row],[ProductID]],Πίνακας7[ProductID],Πίνακας7[ProductName])</f>
        <v>Sir Rodney's Marmalade</v>
      </c>
      <c r="M120">
        <f>_xlfn.XLOOKUP(tbl_FACTS[[#This Row],[ProductID]],Πίνακας7[ProductID],Πίνακας7[CategoryID])</f>
        <v>3</v>
      </c>
      <c r="N120" t="str">
        <f>_xlfn.XLOOKUP(tbl_FACTS[[#This Row],[CategoryID]],Πίνακας4[CategoryID],Πίνακας4[CategoryName])</f>
        <v>Confections</v>
      </c>
      <c r="O120">
        <f>_xlfn.XLOOKUP(tbl_FACTS[[#This Row],[ProductID]],Πίνακας7[ProductID],Πίνακας7[SupplierID])</f>
        <v>8</v>
      </c>
      <c r="P120" t="str">
        <f>_xlfn.XLOOKUP(tbl_FACTS[[#This Row],[SupplierID]],Πίνακας9[SupplierID],Πίνακας9[SupplierName])</f>
        <v>Specialty Biscuits, Ltd.</v>
      </c>
      <c r="Q120" s="21">
        <f>_xlfn.XLOOKUP(tbl_FACTS[[#This Row],[ProductID]],Πίνακας7[ProductID],Πίνακας7[Price])</f>
        <v>81</v>
      </c>
      <c r="R120" s="21">
        <f>tbl_FACTS[[#This Row],[Quantity]]*tbl_FACTS[[#This Row],[Price]]</f>
        <v>1620</v>
      </c>
      <c r="S120" s="19">
        <f>IF(COUNTIFS(tbl_FACTS[OrderID],tbl_FACTS[[#This Row],[OrderID]],tbl_FACTS[OrderDetailID],"&lt;"&amp;tbl_FACTS[[#This Row],[OrderDetailID]])=0,1,0)</f>
        <v>1</v>
      </c>
      <c r="T120" s="19">
        <f>YEAR(tbl_FACTS[[#This Row],[OrderDate]])</f>
        <v>1996</v>
      </c>
      <c r="U120" s="22">
        <f>DATE(YEAR(tbl_FACTS[[#This Row],[OrderDate]]),MONTH(tbl_FACTS[[#This Row],[OrderDate]]),1)</f>
        <v>35278</v>
      </c>
      <c r="V120" s="22" t="str">
        <f>IF(tbl_FACTS[[#This Row],[Quantity]]&lt;=10,"0–10",IF(tbl_FACTS[[#This Row],[Quantity]]&lt;=20,"11–20",IF(tbl_FACTS[[#This Row],[Quantity]]&lt;=30,"21–30",IF(tbl_FACTS[[#This Row],[Quantity]]&lt;=40,"31–40",IF(tbl_FACTS[[#This Row],[Quantity]]&lt;=50,"41–50","51+")))))</f>
        <v>11–20</v>
      </c>
    </row>
    <row r="121" spans="1:22">
      <c r="A121">
        <v>120</v>
      </c>
      <c r="B121">
        <v>10293</v>
      </c>
      <c r="C121">
        <v>18</v>
      </c>
      <c r="D121" s="19">
        <v>12</v>
      </c>
      <c r="E121" s="20">
        <f>_xlfn.XLOOKUP(tbl_FACTS[[#This Row],[OrderID]],Πίνακας64[OrderID],Πίνακας64[OrderDate])</f>
        <v>35306</v>
      </c>
      <c r="F121">
        <f>_xlfn.XLOOKUP(tbl_FACTS[[#This Row],[OrderID]],Πίνακας64[OrderID],Πίνακας64[CustomerID])</f>
        <v>80</v>
      </c>
      <c r="G121" t="str">
        <f>_xlfn.XLOOKUP(tbl_FACTS[[#This Row],[CustomerID]],Πίνακας1[CustomerID],Πίνακας1[CustomerName])</f>
        <v>Tortuga Restaurante</v>
      </c>
      <c r="H121" t="str">
        <f>_xlfn.XLOOKUP(tbl_FACTS[[#This Row],[CustomerID]],Πίνακας1[CustomerID],Πίνακας1[Country])</f>
        <v>Mexico</v>
      </c>
      <c r="I121">
        <f>_xlfn.XLOOKUP(tbl_FACTS[[#This Row],[OrderID]],Πίνακας64[OrderID],Πίνακας64[EmployeeID])</f>
        <v>1</v>
      </c>
      <c r="J121">
        <f>_xlfn.XLOOKUP(tbl_FACTS[[#This Row],[OrderID]],Πίνακας64[OrderID],Πίνακας64[ShipperID])</f>
        <v>3</v>
      </c>
      <c r="K121" t="str">
        <f>_xlfn.XLOOKUP(tbl_FACTS[[#This Row],[ShipperID]],Πίνακας8[ShipperID],Πίνακας8[ShipperName])</f>
        <v>Federal Shipping</v>
      </c>
      <c r="L121" t="str">
        <f>_xlfn.XLOOKUP(tbl_FACTS[[#This Row],[ProductID]],Πίνακας7[ProductID],Πίνακας7[ProductName])</f>
        <v>Carnarvon Tigers</v>
      </c>
      <c r="M121">
        <f>_xlfn.XLOOKUP(tbl_FACTS[[#This Row],[ProductID]],Πίνακας7[ProductID],Πίνακας7[CategoryID])</f>
        <v>8</v>
      </c>
      <c r="N121" t="str">
        <f>_xlfn.XLOOKUP(tbl_FACTS[[#This Row],[CategoryID]],Πίνακας4[CategoryID],Πίνακας4[CategoryName])</f>
        <v>Seafood</v>
      </c>
      <c r="O121">
        <f>_xlfn.XLOOKUP(tbl_FACTS[[#This Row],[ProductID]],Πίνακας7[ProductID],Πίνακας7[SupplierID])</f>
        <v>7</v>
      </c>
      <c r="P121" t="str">
        <f>_xlfn.XLOOKUP(tbl_FACTS[[#This Row],[SupplierID]],Πίνακας9[SupplierID],Πίνακας9[SupplierName])</f>
        <v>Pavlova, Ltd.</v>
      </c>
      <c r="Q121" s="21">
        <f>_xlfn.XLOOKUP(tbl_FACTS[[#This Row],[ProductID]],Πίνακας7[ProductID],Πίνακας7[Price])</f>
        <v>63</v>
      </c>
      <c r="R121" s="21">
        <f>tbl_FACTS[[#This Row],[Quantity]]*tbl_FACTS[[#This Row],[Price]]</f>
        <v>756</v>
      </c>
      <c r="S121" s="19">
        <f>IF(COUNTIFS(tbl_FACTS[OrderID],tbl_FACTS[[#This Row],[OrderID]],tbl_FACTS[OrderDetailID],"&lt;"&amp;tbl_FACTS[[#This Row],[OrderDetailID]])=0,1,0)</f>
        <v>1</v>
      </c>
      <c r="T121" s="19">
        <f>YEAR(tbl_FACTS[[#This Row],[OrderDate]])</f>
        <v>1996</v>
      </c>
      <c r="U121" s="22">
        <f>DATE(YEAR(tbl_FACTS[[#This Row],[OrderDate]]),MONTH(tbl_FACTS[[#This Row],[OrderDate]]),1)</f>
        <v>35278</v>
      </c>
      <c r="V121" s="22" t="str">
        <f>IF(tbl_FACTS[[#This Row],[Quantity]]&lt;=10,"0–10",IF(tbl_FACTS[[#This Row],[Quantity]]&lt;=20,"11–20",IF(tbl_FACTS[[#This Row],[Quantity]]&lt;=30,"21–30",IF(tbl_FACTS[[#This Row],[Quantity]]&lt;=40,"31–40",IF(tbl_FACTS[[#This Row],[Quantity]]&lt;=50,"41–50","51+")))))</f>
        <v>11–20</v>
      </c>
    </row>
    <row r="122" spans="1:22">
      <c r="A122">
        <v>121</v>
      </c>
      <c r="B122">
        <v>10293</v>
      </c>
      <c r="C122">
        <v>24</v>
      </c>
      <c r="D122" s="19">
        <v>10</v>
      </c>
      <c r="E122" s="20">
        <f>_xlfn.XLOOKUP(tbl_FACTS[[#This Row],[OrderID]],Πίνακας64[OrderID],Πίνακας64[OrderDate])</f>
        <v>35306</v>
      </c>
      <c r="F122">
        <f>_xlfn.XLOOKUP(tbl_FACTS[[#This Row],[OrderID]],Πίνακας64[OrderID],Πίνακας64[CustomerID])</f>
        <v>80</v>
      </c>
      <c r="G122" t="str">
        <f>_xlfn.XLOOKUP(tbl_FACTS[[#This Row],[CustomerID]],Πίνακας1[CustomerID],Πίνακας1[CustomerName])</f>
        <v>Tortuga Restaurante</v>
      </c>
      <c r="H122" t="str">
        <f>_xlfn.XLOOKUP(tbl_FACTS[[#This Row],[CustomerID]],Πίνακας1[CustomerID],Πίνακας1[Country])</f>
        <v>Mexico</v>
      </c>
      <c r="I122">
        <f>_xlfn.XLOOKUP(tbl_FACTS[[#This Row],[OrderID]],Πίνακας64[OrderID],Πίνακας64[EmployeeID])</f>
        <v>1</v>
      </c>
      <c r="J122">
        <f>_xlfn.XLOOKUP(tbl_FACTS[[#This Row],[OrderID]],Πίνακας64[OrderID],Πίνακας64[ShipperID])</f>
        <v>3</v>
      </c>
      <c r="K122" t="str">
        <f>_xlfn.XLOOKUP(tbl_FACTS[[#This Row],[ShipperID]],Πίνακας8[ShipperID],Πίνακας8[ShipperName])</f>
        <v>Federal Shipping</v>
      </c>
      <c r="L122" t="str">
        <f>_xlfn.XLOOKUP(tbl_FACTS[[#This Row],[ProductID]],Πίνακας7[ProductID],Πίνακας7[ProductName])</f>
        <v>Guarana Fantastica</v>
      </c>
      <c r="M122">
        <f>_xlfn.XLOOKUP(tbl_FACTS[[#This Row],[ProductID]],Πίνακας7[ProductID],Πίνακας7[CategoryID])</f>
        <v>1</v>
      </c>
      <c r="N122" t="str">
        <f>_xlfn.XLOOKUP(tbl_FACTS[[#This Row],[CategoryID]],Πίνακας4[CategoryID],Πίνακας4[CategoryName])</f>
        <v>Beverages</v>
      </c>
      <c r="O122">
        <f>_xlfn.XLOOKUP(tbl_FACTS[[#This Row],[ProductID]],Πίνακας7[ProductID],Πίνακας7[SupplierID])</f>
        <v>10</v>
      </c>
      <c r="P122" t="str">
        <f>_xlfn.XLOOKUP(tbl_FACTS[[#This Row],[SupplierID]],Πίνακας9[SupplierID],Πίνακας9[SupplierName])</f>
        <v>Refrescos Americanas LTDA</v>
      </c>
      <c r="Q122" s="21">
        <f>_xlfn.XLOOKUP(tbl_FACTS[[#This Row],[ProductID]],Πίνακας7[ProductID],Πίνακας7[Price])</f>
        <v>5</v>
      </c>
      <c r="R122" s="21">
        <f>tbl_FACTS[[#This Row],[Quantity]]*tbl_FACTS[[#This Row],[Price]]</f>
        <v>50</v>
      </c>
      <c r="S122" s="19">
        <f>IF(COUNTIFS(tbl_FACTS[OrderID],tbl_FACTS[[#This Row],[OrderID]],tbl_FACTS[OrderDetailID],"&lt;"&amp;tbl_FACTS[[#This Row],[OrderDetailID]])=0,1,0)</f>
        <v>0</v>
      </c>
      <c r="T122" s="19">
        <f>YEAR(tbl_FACTS[[#This Row],[OrderDate]])</f>
        <v>1996</v>
      </c>
      <c r="U122" s="22">
        <f>DATE(YEAR(tbl_FACTS[[#This Row],[OrderDate]]),MONTH(tbl_FACTS[[#This Row],[OrderDate]]),1)</f>
        <v>35278</v>
      </c>
      <c r="V122" s="22" t="str">
        <f>IF(tbl_FACTS[[#This Row],[Quantity]]&lt;=10,"0–10",IF(tbl_FACTS[[#This Row],[Quantity]]&lt;=20,"11–20",IF(tbl_FACTS[[#This Row],[Quantity]]&lt;=30,"21–30",IF(tbl_FACTS[[#This Row],[Quantity]]&lt;=40,"31–40",IF(tbl_FACTS[[#This Row],[Quantity]]&lt;=50,"41–50","51+")))))</f>
        <v>0–10</v>
      </c>
    </row>
    <row r="123" spans="1:22">
      <c r="A123">
        <v>122</v>
      </c>
      <c r="B123">
        <v>10293</v>
      </c>
      <c r="C123">
        <v>63</v>
      </c>
      <c r="D123" s="19">
        <v>5</v>
      </c>
      <c r="E123" s="20">
        <f>_xlfn.XLOOKUP(tbl_FACTS[[#This Row],[OrderID]],Πίνακας64[OrderID],Πίνακας64[OrderDate])</f>
        <v>35306</v>
      </c>
      <c r="F123">
        <f>_xlfn.XLOOKUP(tbl_FACTS[[#This Row],[OrderID]],Πίνακας64[OrderID],Πίνακας64[CustomerID])</f>
        <v>80</v>
      </c>
      <c r="G123" t="str">
        <f>_xlfn.XLOOKUP(tbl_FACTS[[#This Row],[CustomerID]],Πίνακας1[CustomerID],Πίνακας1[CustomerName])</f>
        <v>Tortuga Restaurante</v>
      </c>
      <c r="H123" t="str">
        <f>_xlfn.XLOOKUP(tbl_FACTS[[#This Row],[CustomerID]],Πίνακας1[CustomerID],Πίνακας1[Country])</f>
        <v>Mexico</v>
      </c>
      <c r="I123">
        <f>_xlfn.XLOOKUP(tbl_FACTS[[#This Row],[OrderID]],Πίνακας64[OrderID],Πίνακας64[EmployeeID])</f>
        <v>1</v>
      </c>
      <c r="J123">
        <f>_xlfn.XLOOKUP(tbl_FACTS[[#This Row],[OrderID]],Πίνακας64[OrderID],Πίνακας64[ShipperID])</f>
        <v>3</v>
      </c>
      <c r="K123" t="str">
        <f>_xlfn.XLOOKUP(tbl_FACTS[[#This Row],[ShipperID]],Πίνακας8[ShipperID],Πίνακας8[ShipperName])</f>
        <v>Federal Shipping</v>
      </c>
      <c r="L123" t="str">
        <f>_xlfn.XLOOKUP(tbl_FACTS[[#This Row],[ProductID]],Πίνακας7[ProductID],Πίνακας7[ProductName])</f>
        <v>Vegie-spread</v>
      </c>
      <c r="M123">
        <f>_xlfn.XLOOKUP(tbl_FACTS[[#This Row],[ProductID]],Πίνακας7[ProductID],Πίνακας7[CategoryID])</f>
        <v>2</v>
      </c>
      <c r="N123" t="str">
        <f>_xlfn.XLOOKUP(tbl_FACTS[[#This Row],[CategoryID]],Πίνακας4[CategoryID],Πίνακας4[CategoryName])</f>
        <v>Condiments</v>
      </c>
      <c r="O123">
        <f>_xlfn.XLOOKUP(tbl_FACTS[[#This Row],[ProductID]],Πίνακας7[ProductID],Πίνακας7[SupplierID])</f>
        <v>7</v>
      </c>
      <c r="P123" t="str">
        <f>_xlfn.XLOOKUP(tbl_FACTS[[#This Row],[SupplierID]],Πίνακας9[SupplierID],Πίνακας9[SupplierName])</f>
        <v>Pavlova, Ltd.</v>
      </c>
      <c r="Q123" s="21">
        <f>_xlfn.XLOOKUP(tbl_FACTS[[#This Row],[ProductID]],Πίνακας7[ProductID],Πίνακας7[Price])</f>
        <v>44</v>
      </c>
      <c r="R123" s="21">
        <f>tbl_FACTS[[#This Row],[Quantity]]*tbl_FACTS[[#This Row],[Price]]</f>
        <v>220</v>
      </c>
      <c r="S123" s="19">
        <f>IF(COUNTIFS(tbl_FACTS[OrderID],tbl_FACTS[[#This Row],[OrderID]],tbl_FACTS[OrderDetailID],"&lt;"&amp;tbl_FACTS[[#This Row],[OrderDetailID]])=0,1,0)</f>
        <v>0</v>
      </c>
      <c r="T123" s="19">
        <f>YEAR(tbl_FACTS[[#This Row],[OrderDate]])</f>
        <v>1996</v>
      </c>
      <c r="U123" s="22">
        <f>DATE(YEAR(tbl_FACTS[[#This Row],[OrderDate]]),MONTH(tbl_FACTS[[#This Row],[OrderDate]]),1)</f>
        <v>35278</v>
      </c>
      <c r="V123" s="22" t="str">
        <f>IF(tbl_FACTS[[#This Row],[Quantity]]&lt;=10,"0–10",IF(tbl_FACTS[[#This Row],[Quantity]]&lt;=20,"11–20",IF(tbl_FACTS[[#This Row],[Quantity]]&lt;=30,"21–30",IF(tbl_FACTS[[#This Row],[Quantity]]&lt;=40,"31–40",IF(tbl_FACTS[[#This Row],[Quantity]]&lt;=50,"41–50","51+")))))</f>
        <v>0–10</v>
      </c>
    </row>
    <row r="124" spans="1:22">
      <c r="A124">
        <v>123</v>
      </c>
      <c r="B124">
        <v>10293</v>
      </c>
      <c r="C124">
        <v>75</v>
      </c>
      <c r="D124" s="19">
        <v>6</v>
      </c>
      <c r="E124" s="20">
        <f>_xlfn.XLOOKUP(tbl_FACTS[[#This Row],[OrderID]],Πίνακας64[OrderID],Πίνακας64[OrderDate])</f>
        <v>35306</v>
      </c>
      <c r="F124">
        <f>_xlfn.XLOOKUP(tbl_FACTS[[#This Row],[OrderID]],Πίνακας64[OrderID],Πίνακας64[CustomerID])</f>
        <v>80</v>
      </c>
      <c r="G124" t="str">
        <f>_xlfn.XLOOKUP(tbl_FACTS[[#This Row],[CustomerID]],Πίνακας1[CustomerID],Πίνακας1[CustomerName])</f>
        <v>Tortuga Restaurante</v>
      </c>
      <c r="H124" t="str">
        <f>_xlfn.XLOOKUP(tbl_FACTS[[#This Row],[CustomerID]],Πίνακας1[CustomerID],Πίνακας1[Country])</f>
        <v>Mexico</v>
      </c>
      <c r="I124">
        <f>_xlfn.XLOOKUP(tbl_FACTS[[#This Row],[OrderID]],Πίνακας64[OrderID],Πίνακας64[EmployeeID])</f>
        <v>1</v>
      </c>
      <c r="J124">
        <f>_xlfn.XLOOKUP(tbl_FACTS[[#This Row],[OrderID]],Πίνακας64[OrderID],Πίνακας64[ShipperID])</f>
        <v>3</v>
      </c>
      <c r="K124" t="str">
        <f>_xlfn.XLOOKUP(tbl_FACTS[[#This Row],[ShipperID]],Πίνακας8[ShipperID],Πίνακας8[ShipperName])</f>
        <v>Federal Shipping</v>
      </c>
      <c r="L124" t="str">
        <f>_xlfn.XLOOKUP(tbl_FACTS[[#This Row],[ProductID]],Πίνακας7[ProductID],Πίνακας7[ProductName])</f>
        <v>Rhonbrau Klosterbier</v>
      </c>
      <c r="M124">
        <f>_xlfn.XLOOKUP(tbl_FACTS[[#This Row],[ProductID]],Πίνακας7[ProductID],Πίνακας7[CategoryID])</f>
        <v>1</v>
      </c>
      <c r="N124" t="str">
        <f>_xlfn.XLOOKUP(tbl_FACTS[[#This Row],[CategoryID]],Πίνακας4[CategoryID],Πίνακας4[CategoryName])</f>
        <v>Beverages</v>
      </c>
      <c r="O124">
        <f>_xlfn.XLOOKUP(tbl_FACTS[[#This Row],[ProductID]],Πίνακας7[ProductID],Πίνακας7[SupplierID])</f>
        <v>12</v>
      </c>
      <c r="P124" t="str">
        <f>_xlfn.XLOOKUP(tbl_FACTS[[#This Row],[SupplierID]],Πίνακας9[SupplierID],Πίνακας9[SupplierName])</f>
        <v>Plutzer Lebensmittelgro├ƒmarkte AG</v>
      </c>
      <c r="Q124" s="21">
        <f>_xlfn.XLOOKUP(tbl_FACTS[[#This Row],[ProductID]],Πίνακας7[ProductID],Πίνακας7[Price])</f>
        <v>8</v>
      </c>
      <c r="R124" s="21">
        <f>tbl_FACTS[[#This Row],[Quantity]]*tbl_FACTS[[#This Row],[Price]]</f>
        <v>48</v>
      </c>
      <c r="S124" s="19">
        <f>IF(COUNTIFS(tbl_FACTS[OrderID],tbl_FACTS[[#This Row],[OrderID]],tbl_FACTS[OrderDetailID],"&lt;"&amp;tbl_FACTS[[#This Row],[OrderDetailID]])=0,1,0)</f>
        <v>0</v>
      </c>
      <c r="T124" s="19">
        <f>YEAR(tbl_FACTS[[#This Row],[OrderDate]])</f>
        <v>1996</v>
      </c>
      <c r="U124" s="22">
        <f>DATE(YEAR(tbl_FACTS[[#This Row],[OrderDate]]),MONTH(tbl_FACTS[[#This Row],[OrderDate]]),1)</f>
        <v>35278</v>
      </c>
      <c r="V124" s="22" t="str">
        <f>IF(tbl_FACTS[[#This Row],[Quantity]]&lt;=10,"0–10",IF(tbl_FACTS[[#This Row],[Quantity]]&lt;=20,"11–20",IF(tbl_FACTS[[#This Row],[Quantity]]&lt;=30,"21–30",IF(tbl_FACTS[[#This Row],[Quantity]]&lt;=40,"31–40",IF(tbl_FACTS[[#This Row],[Quantity]]&lt;=50,"41–50","51+")))))</f>
        <v>0–10</v>
      </c>
    </row>
    <row r="125" spans="1:22">
      <c r="A125">
        <v>124</v>
      </c>
      <c r="B125">
        <v>10294</v>
      </c>
      <c r="C125">
        <v>1</v>
      </c>
      <c r="D125" s="19">
        <v>18</v>
      </c>
      <c r="E125" s="20">
        <f>_xlfn.XLOOKUP(tbl_FACTS[[#This Row],[OrderID]],Πίνακας64[OrderID],Πίνακας64[OrderDate])</f>
        <v>35307</v>
      </c>
      <c r="F125">
        <f>_xlfn.XLOOKUP(tbl_FACTS[[#This Row],[OrderID]],Πίνακας64[OrderID],Πίνακας64[CustomerID])</f>
        <v>65</v>
      </c>
      <c r="G125" t="str">
        <f>_xlfn.XLOOKUP(tbl_FACTS[[#This Row],[CustomerID]],Πίνακας1[CustomerID],Πίνακας1[CustomerName])</f>
        <v>Rattlesnake Canyon Grocery</v>
      </c>
      <c r="H125" t="str">
        <f>_xlfn.XLOOKUP(tbl_FACTS[[#This Row],[CustomerID]],Πίνακας1[CustomerID],Πίνακας1[Country])</f>
        <v>USA</v>
      </c>
      <c r="I125">
        <f>_xlfn.XLOOKUP(tbl_FACTS[[#This Row],[OrderID]],Πίνακας64[OrderID],Πίνακας64[EmployeeID])</f>
        <v>4</v>
      </c>
      <c r="J125">
        <f>_xlfn.XLOOKUP(tbl_FACTS[[#This Row],[OrderID]],Πίνακας64[OrderID],Πίνακας64[ShipperID])</f>
        <v>2</v>
      </c>
      <c r="K125" t="str">
        <f>_xlfn.XLOOKUP(tbl_FACTS[[#This Row],[ShipperID]],Πίνακας8[ShipperID],Πίνακας8[ShipperName])</f>
        <v>United Package</v>
      </c>
      <c r="L125" t="str">
        <f>_xlfn.XLOOKUP(tbl_FACTS[[#This Row],[ProductID]],Πίνακας7[ProductID],Πίνακας7[ProductName])</f>
        <v>Chais</v>
      </c>
      <c r="M125">
        <f>_xlfn.XLOOKUP(tbl_FACTS[[#This Row],[ProductID]],Πίνακας7[ProductID],Πίνακας7[CategoryID])</f>
        <v>1</v>
      </c>
      <c r="N125" t="str">
        <f>_xlfn.XLOOKUP(tbl_FACTS[[#This Row],[CategoryID]],Πίνακας4[CategoryID],Πίνακας4[CategoryName])</f>
        <v>Beverages</v>
      </c>
      <c r="O125">
        <f>_xlfn.XLOOKUP(tbl_FACTS[[#This Row],[ProductID]],Πίνακας7[ProductID],Πίνακας7[SupplierID])</f>
        <v>1</v>
      </c>
      <c r="P125" t="str">
        <f>_xlfn.XLOOKUP(tbl_FACTS[[#This Row],[SupplierID]],Πίνακας9[SupplierID],Πίνακας9[SupplierName])</f>
        <v>Exotic Liquid</v>
      </c>
      <c r="Q125" s="21">
        <f>_xlfn.XLOOKUP(tbl_FACTS[[#This Row],[ProductID]],Πίνακας7[ProductID],Πίνακας7[Price])</f>
        <v>18</v>
      </c>
      <c r="R125" s="21">
        <f>tbl_FACTS[[#This Row],[Quantity]]*tbl_FACTS[[#This Row],[Price]]</f>
        <v>324</v>
      </c>
      <c r="S125" s="19">
        <f>IF(COUNTIFS(tbl_FACTS[OrderID],tbl_FACTS[[#This Row],[OrderID]],tbl_FACTS[OrderDetailID],"&lt;"&amp;tbl_FACTS[[#This Row],[OrderDetailID]])=0,1,0)</f>
        <v>1</v>
      </c>
      <c r="T125" s="19">
        <f>YEAR(tbl_FACTS[[#This Row],[OrderDate]])</f>
        <v>1996</v>
      </c>
      <c r="U125" s="22">
        <f>DATE(YEAR(tbl_FACTS[[#This Row],[OrderDate]]),MONTH(tbl_FACTS[[#This Row],[OrderDate]]),1)</f>
        <v>35278</v>
      </c>
      <c r="V125" s="22" t="str">
        <f>IF(tbl_FACTS[[#This Row],[Quantity]]&lt;=10,"0–10",IF(tbl_FACTS[[#This Row],[Quantity]]&lt;=20,"11–20",IF(tbl_FACTS[[#This Row],[Quantity]]&lt;=30,"21–30",IF(tbl_FACTS[[#This Row],[Quantity]]&lt;=40,"31–40",IF(tbl_FACTS[[#This Row],[Quantity]]&lt;=50,"41–50","51+")))))</f>
        <v>11–20</v>
      </c>
    </row>
    <row r="126" spans="1:22">
      <c r="A126">
        <v>125</v>
      </c>
      <c r="B126">
        <v>10294</v>
      </c>
      <c r="C126">
        <v>17</v>
      </c>
      <c r="D126" s="19">
        <v>15</v>
      </c>
      <c r="E126" s="20">
        <f>_xlfn.XLOOKUP(tbl_FACTS[[#This Row],[OrderID]],Πίνακας64[OrderID],Πίνακας64[OrderDate])</f>
        <v>35307</v>
      </c>
      <c r="F126">
        <f>_xlfn.XLOOKUP(tbl_FACTS[[#This Row],[OrderID]],Πίνακας64[OrderID],Πίνακας64[CustomerID])</f>
        <v>65</v>
      </c>
      <c r="G126" t="str">
        <f>_xlfn.XLOOKUP(tbl_FACTS[[#This Row],[CustomerID]],Πίνακας1[CustomerID],Πίνακας1[CustomerName])</f>
        <v>Rattlesnake Canyon Grocery</v>
      </c>
      <c r="H126" t="str">
        <f>_xlfn.XLOOKUP(tbl_FACTS[[#This Row],[CustomerID]],Πίνακας1[CustomerID],Πίνακας1[Country])</f>
        <v>USA</v>
      </c>
      <c r="I126">
        <f>_xlfn.XLOOKUP(tbl_FACTS[[#This Row],[OrderID]],Πίνακας64[OrderID],Πίνακας64[EmployeeID])</f>
        <v>4</v>
      </c>
      <c r="J126">
        <f>_xlfn.XLOOKUP(tbl_FACTS[[#This Row],[OrderID]],Πίνακας64[OrderID],Πίνακας64[ShipperID])</f>
        <v>2</v>
      </c>
      <c r="K126" t="str">
        <f>_xlfn.XLOOKUP(tbl_FACTS[[#This Row],[ShipperID]],Πίνακας8[ShipperID],Πίνακας8[ShipperName])</f>
        <v>United Package</v>
      </c>
      <c r="L126" t="str">
        <f>_xlfn.XLOOKUP(tbl_FACTS[[#This Row],[ProductID]],Πίνακας7[ProductID],Πίνακας7[ProductName])</f>
        <v>Alice Mutton</v>
      </c>
      <c r="M126">
        <f>_xlfn.XLOOKUP(tbl_FACTS[[#This Row],[ProductID]],Πίνακας7[ProductID],Πίνακας7[CategoryID])</f>
        <v>6</v>
      </c>
      <c r="N126" t="str">
        <f>_xlfn.XLOOKUP(tbl_FACTS[[#This Row],[CategoryID]],Πίνακας4[CategoryID],Πίνακας4[CategoryName])</f>
        <v>Meat/Poultry</v>
      </c>
      <c r="O126">
        <f>_xlfn.XLOOKUP(tbl_FACTS[[#This Row],[ProductID]],Πίνακας7[ProductID],Πίνακας7[SupplierID])</f>
        <v>7</v>
      </c>
      <c r="P126" t="str">
        <f>_xlfn.XLOOKUP(tbl_FACTS[[#This Row],[SupplierID]],Πίνακας9[SupplierID],Πίνακας9[SupplierName])</f>
        <v>Pavlova, Ltd.</v>
      </c>
      <c r="Q126" s="21">
        <f>_xlfn.XLOOKUP(tbl_FACTS[[#This Row],[ProductID]],Πίνακας7[ProductID],Πίνακας7[Price])</f>
        <v>39</v>
      </c>
      <c r="R126" s="21">
        <f>tbl_FACTS[[#This Row],[Quantity]]*tbl_FACTS[[#This Row],[Price]]</f>
        <v>585</v>
      </c>
      <c r="S126" s="19">
        <f>IF(COUNTIFS(tbl_FACTS[OrderID],tbl_FACTS[[#This Row],[OrderID]],tbl_FACTS[OrderDetailID],"&lt;"&amp;tbl_FACTS[[#This Row],[OrderDetailID]])=0,1,0)</f>
        <v>0</v>
      </c>
      <c r="T126" s="19">
        <f>YEAR(tbl_FACTS[[#This Row],[OrderDate]])</f>
        <v>1996</v>
      </c>
      <c r="U126" s="22">
        <f>DATE(YEAR(tbl_FACTS[[#This Row],[OrderDate]]),MONTH(tbl_FACTS[[#This Row],[OrderDate]]),1)</f>
        <v>35278</v>
      </c>
      <c r="V126" s="22" t="str">
        <f>IF(tbl_FACTS[[#This Row],[Quantity]]&lt;=10,"0–10",IF(tbl_FACTS[[#This Row],[Quantity]]&lt;=20,"11–20",IF(tbl_FACTS[[#This Row],[Quantity]]&lt;=30,"21–30",IF(tbl_FACTS[[#This Row],[Quantity]]&lt;=40,"31–40",IF(tbl_FACTS[[#This Row],[Quantity]]&lt;=50,"41–50","51+")))))</f>
        <v>11–20</v>
      </c>
    </row>
    <row r="127" spans="1:22">
      <c r="A127">
        <v>126</v>
      </c>
      <c r="B127">
        <v>10294</v>
      </c>
      <c r="C127">
        <v>43</v>
      </c>
      <c r="D127" s="19">
        <v>15</v>
      </c>
      <c r="E127" s="20">
        <f>_xlfn.XLOOKUP(tbl_FACTS[[#This Row],[OrderID]],Πίνακας64[OrderID],Πίνακας64[OrderDate])</f>
        <v>35307</v>
      </c>
      <c r="F127">
        <f>_xlfn.XLOOKUP(tbl_FACTS[[#This Row],[OrderID]],Πίνακας64[OrderID],Πίνακας64[CustomerID])</f>
        <v>65</v>
      </c>
      <c r="G127" t="str">
        <f>_xlfn.XLOOKUP(tbl_FACTS[[#This Row],[CustomerID]],Πίνακας1[CustomerID],Πίνακας1[CustomerName])</f>
        <v>Rattlesnake Canyon Grocery</v>
      </c>
      <c r="H127" t="str">
        <f>_xlfn.XLOOKUP(tbl_FACTS[[#This Row],[CustomerID]],Πίνακας1[CustomerID],Πίνακας1[Country])</f>
        <v>USA</v>
      </c>
      <c r="I127">
        <f>_xlfn.XLOOKUP(tbl_FACTS[[#This Row],[OrderID]],Πίνακας64[OrderID],Πίνακας64[EmployeeID])</f>
        <v>4</v>
      </c>
      <c r="J127">
        <f>_xlfn.XLOOKUP(tbl_FACTS[[#This Row],[OrderID]],Πίνακας64[OrderID],Πίνακας64[ShipperID])</f>
        <v>2</v>
      </c>
      <c r="K127" t="str">
        <f>_xlfn.XLOOKUP(tbl_FACTS[[#This Row],[ShipperID]],Πίνακας8[ShipperID],Πίνακας8[ShipperName])</f>
        <v>United Package</v>
      </c>
      <c r="L127" t="str">
        <f>_xlfn.XLOOKUP(tbl_FACTS[[#This Row],[ProductID]],Πίνακας7[ProductID],Πίνακας7[ProductName])</f>
        <v>Ipoh Coffee</v>
      </c>
      <c r="M127">
        <f>_xlfn.XLOOKUP(tbl_FACTS[[#This Row],[ProductID]],Πίνακας7[ProductID],Πίνακας7[CategoryID])</f>
        <v>1</v>
      </c>
      <c r="N127" t="str">
        <f>_xlfn.XLOOKUP(tbl_FACTS[[#This Row],[CategoryID]],Πίνακας4[CategoryID],Πίνακας4[CategoryName])</f>
        <v>Beverages</v>
      </c>
      <c r="O127">
        <f>_xlfn.XLOOKUP(tbl_FACTS[[#This Row],[ProductID]],Πίνακας7[ProductID],Πίνακας7[SupplierID])</f>
        <v>20</v>
      </c>
      <c r="P127" t="str">
        <f>_xlfn.XLOOKUP(tbl_FACTS[[#This Row],[SupplierID]],Πίνακας9[SupplierID],Πίνακας9[SupplierName])</f>
        <v>Leka Trading</v>
      </c>
      <c r="Q127" s="21">
        <f>_xlfn.XLOOKUP(tbl_FACTS[[#This Row],[ProductID]],Πίνακας7[ProductID],Πίνακας7[Price])</f>
        <v>46</v>
      </c>
      <c r="R127" s="21">
        <f>tbl_FACTS[[#This Row],[Quantity]]*tbl_FACTS[[#This Row],[Price]]</f>
        <v>690</v>
      </c>
      <c r="S127" s="19">
        <f>IF(COUNTIFS(tbl_FACTS[OrderID],tbl_FACTS[[#This Row],[OrderID]],tbl_FACTS[OrderDetailID],"&lt;"&amp;tbl_FACTS[[#This Row],[OrderDetailID]])=0,1,0)</f>
        <v>0</v>
      </c>
      <c r="T127" s="19">
        <f>YEAR(tbl_FACTS[[#This Row],[OrderDate]])</f>
        <v>1996</v>
      </c>
      <c r="U127" s="22">
        <f>DATE(YEAR(tbl_FACTS[[#This Row],[OrderDate]]),MONTH(tbl_FACTS[[#This Row],[OrderDate]]),1)</f>
        <v>35278</v>
      </c>
      <c r="V127" s="22" t="str">
        <f>IF(tbl_FACTS[[#This Row],[Quantity]]&lt;=10,"0–10",IF(tbl_FACTS[[#This Row],[Quantity]]&lt;=20,"11–20",IF(tbl_FACTS[[#This Row],[Quantity]]&lt;=30,"21–30",IF(tbl_FACTS[[#This Row],[Quantity]]&lt;=40,"31–40",IF(tbl_FACTS[[#This Row],[Quantity]]&lt;=50,"41–50","51+")))))</f>
        <v>11–20</v>
      </c>
    </row>
    <row r="128" spans="1:22">
      <c r="A128">
        <v>127</v>
      </c>
      <c r="B128">
        <v>10294</v>
      </c>
      <c r="C128">
        <v>60</v>
      </c>
      <c r="D128" s="19">
        <v>21</v>
      </c>
      <c r="E128" s="20">
        <f>_xlfn.XLOOKUP(tbl_FACTS[[#This Row],[OrderID]],Πίνακας64[OrderID],Πίνακας64[OrderDate])</f>
        <v>35307</v>
      </c>
      <c r="F128">
        <f>_xlfn.XLOOKUP(tbl_FACTS[[#This Row],[OrderID]],Πίνακας64[OrderID],Πίνακας64[CustomerID])</f>
        <v>65</v>
      </c>
      <c r="G128" t="str">
        <f>_xlfn.XLOOKUP(tbl_FACTS[[#This Row],[CustomerID]],Πίνακας1[CustomerID],Πίνακας1[CustomerName])</f>
        <v>Rattlesnake Canyon Grocery</v>
      </c>
      <c r="H128" t="str">
        <f>_xlfn.XLOOKUP(tbl_FACTS[[#This Row],[CustomerID]],Πίνακας1[CustomerID],Πίνακας1[Country])</f>
        <v>USA</v>
      </c>
      <c r="I128">
        <f>_xlfn.XLOOKUP(tbl_FACTS[[#This Row],[OrderID]],Πίνακας64[OrderID],Πίνακας64[EmployeeID])</f>
        <v>4</v>
      </c>
      <c r="J128">
        <f>_xlfn.XLOOKUP(tbl_FACTS[[#This Row],[OrderID]],Πίνακας64[OrderID],Πίνακας64[ShipperID])</f>
        <v>2</v>
      </c>
      <c r="K128" t="str">
        <f>_xlfn.XLOOKUP(tbl_FACTS[[#This Row],[ShipperID]],Πίνακας8[ShipperID],Πίνακας8[ShipperName])</f>
        <v>United Package</v>
      </c>
      <c r="L128" t="str">
        <f>_xlfn.XLOOKUP(tbl_FACTS[[#This Row],[ProductID]],Πίνακας7[ProductID],Πίνακας7[ProductName])</f>
        <v>Camembert Pierrot</v>
      </c>
      <c r="M128">
        <f>_xlfn.XLOOKUP(tbl_FACTS[[#This Row],[ProductID]],Πίνακας7[ProductID],Πίνακας7[CategoryID])</f>
        <v>4</v>
      </c>
      <c r="N128" t="str">
        <f>_xlfn.XLOOKUP(tbl_FACTS[[#This Row],[CategoryID]],Πίνακας4[CategoryID],Πίνακας4[CategoryName])</f>
        <v>Dairy Products</v>
      </c>
      <c r="O128">
        <f>_xlfn.XLOOKUP(tbl_FACTS[[#This Row],[ProductID]],Πίνακας7[ProductID],Πίνακας7[SupplierID])</f>
        <v>28</v>
      </c>
      <c r="P128" t="str">
        <f>_xlfn.XLOOKUP(tbl_FACTS[[#This Row],[SupplierID]],Πίνακας9[SupplierID],Πίνακας9[SupplierName])</f>
        <v>Gai paturage</v>
      </c>
      <c r="Q128" s="21">
        <f>_xlfn.XLOOKUP(tbl_FACTS[[#This Row],[ProductID]],Πίνακας7[ProductID],Πίνακας7[Price])</f>
        <v>34</v>
      </c>
      <c r="R128" s="21">
        <f>tbl_FACTS[[#This Row],[Quantity]]*tbl_FACTS[[#This Row],[Price]]</f>
        <v>714</v>
      </c>
      <c r="S128" s="19">
        <f>IF(COUNTIFS(tbl_FACTS[OrderID],tbl_FACTS[[#This Row],[OrderID]],tbl_FACTS[OrderDetailID],"&lt;"&amp;tbl_FACTS[[#This Row],[OrderDetailID]])=0,1,0)</f>
        <v>0</v>
      </c>
      <c r="T128" s="19">
        <f>YEAR(tbl_FACTS[[#This Row],[OrderDate]])</f>
        <v>1996</v>
      </c>
      <c r="U128" s="22">
        <f>DATE(YEAR(tbl_FACTS[[#This Row],[OrderDate]]),MONTH(tbl_FACTS[[#This Row],[OrderDate]]),1)</f>
        <v>35278</v>
      </c>
      <c r="V128" s="22" t="str">
        <f>IF(tbl_FACTS[[#This Row],[Quantity]]&lt;=10,"0–10",IF(tbl_FACTS[[#This Row],[Quantity]]&lt;=20,"11–20",IF(tbl_FACTS[[#This Row],[Quantity]]&lt;=30,"21–30",IF(tbl_FACTS[[#This Row],[Quantity]]&lt;=40,"31–40",IF(tbl_FACTS[[#This Row],[Quantity]]&lt;=50,"41–50","51+")))))</f>
        <v>21–30</v>
      </c>
    </row>
    <row r="129" spans="1:22">
      <c r="A129">
        <v>128</v>
      </c>
      <c r="B129">
        <v>10294</v>
      </c>
      <c r="C129">
        <v>75</v>
      </c>
      <c r="D129" s="19">
        <v>6</v>
      </c>
      <c r="E129" s="20">
        <f>_xlfn.XLOOKUP(tbl_FACTS[[#This Row],[OrderID]],Πίνακας64[OrderID],Πίνακας64[OrderDate])</f>
        <v>35307</v>
      </c>
      <c r="F129">
        <f>_xlfn.XLOOKUP(tbl_FACTS[[#This Row],[OrderID]],Πίνακας64[OrderID],Πίνακας64[CustomerID])</f>
        <v>65</v>
      </c>
      <c r="G129" t="str">
        <f>_xlfn.XLOOKUP(tbl_FACTS[[#This Row],[CustomerID]],Πίνακας1[CustomerID],Πίνακας1[CustomerName])</f>
        <v>Rattlesnake Canyon Grocery</v>
      </c>
      <c r="H129" t="str">
        <f>_xlfn.XLOOKUP(tbl_FACTS[[#This Row],[CustomerID]],Πίνακας1[CustomerID],Πίνακας1[Country])</f>
        <v>USA</v>
      </c>
      <c r="I129">
        <f>_xlfn.XLOOKUP(tbl_FACTS[[#This Row],[OrderID]],Πίνακας64[OrderID],Πίνακας64[EmployeeID])</f>
        <v>4</v>
      </c>
      <c r="J129">
        <f>_xlfn.XLOOKUP(tbl_FACTS[[#This Row],[OrderID]],Πίνακας64[OrderID],Πίνακας64[ShipperID])</f>
        <v>2</v>
      </c>
      <c r="K129" t="str">
        <f>_xlfn.XLOOKUP(tbl_FACTS[[#This Row],[ShipperID]],Πίνακας8[ShipperID],Πίνακας8[ShipperName])</f>
        <v>United Package</v>
      </c>
      <c r="L129" t="str">
        <f>_xlfn.XLOOKUP(tbl_FACTS[[#This Row],[ProductID]],Πίνακας7[ProductID],Πίνακας7[ProductName])</f>
        <v>Rhonbrau Klosterbier</v>
      </c>
      <c r="M129">
        <f>_xlfn.XLOOKUP(tbl_FACTS[[#This Row],[ProductID]],Πίνακας7[ProductID],Πίνακας7[CategoryID])</f>
        <v>1</v>
      </c>
      <c r="N129" t="str">
        <f>_xlfn.XLOOKUP(tbl_FACTS[[#This Row],[CategoryID]],Πίνακας4[CategoryID],Πίνακας4[CategoryName])</f>
        <v>Beverages</v>
      </c>
      <c r="O129">
        <f>_xlfn.XLOOKUP(tbl_FACTS[[#This Row],[ProductID]],Πίνακας7[ProductID],Πίνακας7[SupplierID])</f>
        <v>12</v>
      </c>
      <c r="P129" t="str">
        <f>_xlfn.XLOOKUP(tbl_FACTS[[#This Row],[SupplierID]],Πίνακας9[SupplierID],Πίνακας9[SupplierName])</f>
        <v>Plutzer Lebensmittelgro├ƒmarkte AG</v>
      </c>
      <c r="Q129" s="21">
        <f>_xlfn.XLOOKUP(tbl_FACTS[[#This Row],[ProductID]],Πίνακας7[ProductID],Πίνακας7[Price])</f>
        <v>8</v>
      </c>
      <c r="R129" s="21">
        <f>tbl_FACTS[[#This Row],[Quantity]]*tbl_FACTS[[#This Row],[Price]]</f>
        <v>48</v>
      </c>
      <c r="S129" s="19">
        <f>IF(COUNTIFS(tbl_FACTS[OrderID],tbl_FACTS[[#This Row],[OrderID]],tbl_FACTS[OrderDetailID],"&lt;"&amp;tbl_FACTS[[#This Row],[OrderDetailID]])=0,1,0)</f>
        <v>0</v>
      </c>
      <c r="T129" s="19">
        <f>YEAR(tbl_FACTS[[#This Row],[OrderDate]])</f>
        <v>1996</v>
      </c>
      <c r="U129" s="22">
        <f>DATE(YEAR(tbl_FACTS[[#This Row],[OrderDate]]),MONTH(tbl_FACTS[[#This Row],[OrderDate]]),1)</f>
        <v>35278</v>
      </c>
      <c r="V129" s="22" t="str">
        <f>IF(tbl_FACTS[[#This Row],[Quantity]]&lt;=10,"0–10",IF(tbl_FACTS[[#This Row],[Quantity]]&lt;=20,"11–20",IF(tbl_FACTS[[#This Row],[Quantity]]&lt;=30,"21–30",IF(tbl_FACTS[[#This Row],[Quantity]]&lt;=40,"31–40",IF(tbl_FACTS[[#This Row],[Quantity]]&lt;=50,"41–50","51+")))))</f>
        <v>0–10</v>
      </c>
    </row>
    <row r="130" spans="1:22">
      <c r="A130">
        <v>129</v>
      </c>
      <c r="B130">
        <v>10295</v>
      </c>
      <c r="C130">
        <v>56</v>
      </c>
      <c r="D130" s="19">
        <v>4</v>
      </c>
      <c r="E130" s="20">
        <f>_xlfn.XLOOKUP(tbl_FACTS[[#This Row],[OrderID]],Πίνακας64[OrderID],Πίνακας64[OrderDate])</f>
        <v>35310</v>
      </c>
      <c r="F130">
        <f>_xlfn.XLOOKUP(tbl_FACTS[[#This Row],[OrderID]],Πίνακας64[OrderID],Πίνακας64[CustomerID])</f>
        <v>85</v>
      </c>
      <c r="G130" t="str">
        <f>_xlfn.XLOOKUP(tbl_FACTS[[#This Row],[CustomerID]],Πίνακας1[CustomerID],Πίνακας1[CustomerName])</f>
        <v>Vins et alcools Chevalier</v>
      </c>
      <c r="H130" t="str">
        <f>_xlfn.XLOOKUP(tbl_FACTS[[#This Row],[CustomerID]],Πίνακας1[CustomerID],Πίνακας1[Country])</f>
        <v>France</v>
      </c>
      <c r="I130">
        <f>_xlfn.XLOOKUP(tbl_FACTS[[#This Row],[OrderID]],Πίνακας64[OrderID],Πίνακας64[EmployeeID])</f>
        <v>2</v>
      </c>
      <c r="J130">
        <f>_xlfn.XLOOKUP(tbl_FACTS[[#This Row],[OrderID]],Πίνακας64[OrderID],Πίνακας64[ShipperID])</f>
        <v>2</v>
      </c>
      <c r="K130" t="str">
        <f>_xlfn.XLOOKUP(tbl_FACTS[[#This Row],[ShipperID]],Πίνακας8[ShipperID],Πίνακας8[ShipperName])</f>
        <v>United Package</v>
      </c>
      <c r="L130" t="str">
        <f>_xlfn.XLOOKUP(tbl_FACTS[[#This Row],[ProductID]],Πίνακας7[ProductID],Πίνακας7[ProductName])</f>
        <v>Gnocchi di nonna Alice</v>
      </c>
      <c r="M130">
        <f>_xlfn.XLOOKUP(tbl_FACTS[[#This Row],[ProductID]],Πίνακας7[ProductID],Πίνακας7[CategoryID])</f>
        <v>5</v>
      </c>
      <c r="N130" t="str">
        <f>_xlfn.XLOOKUP(tbl_FACTS[[#This Row],[CategoryID]],Πίνακας4[CategoryID],Πίνακας4[CategoryName])</f>
        <v>Grains/Cereals</v>
      </c>
      <c r="O130">
        <f>_xlfn.XLOOKUP(tbl_FACTS[[#This Row],[ProductID]],Πίνακας7[ProductID],Πίνακας7[SupplierID])</f>
        <v>26</v>
      </c>
      <c r="P130" t="str">
        <f>_xlfn.XLOOKUP(tbl_FACTS[[#This Row],[SupplierID]],Πίνακας9[SupplierID],Πίνακας9[SupplierName])</f>
        <v>Pasta Buttini s.r.l.</v>
      </c>
      <c r="Q130" s="21">
        <f>_xlfn.XLOOKUP(tbl_FACTS[[#This Row],[ProductID]],Πίνακας7[ProductID],Πίνακας7[Price])</f>
        <v>38</v>
      </c>
      <c r="R130" s="21">
        <f>tbl_FACTS[[#This Row],[Quantity]]*tbl_FACTS[[#This Row],[Price]]</f>
        <v>152</v>
      </c>
      <c r="S130" s="19">
        <f>IF(COUNTIFS(tbl_FACTS[OrderID],tbl_FACTS[[#This Row],[OrderID]],tbl_FACTS[OrderDetailID],"&lt;"&amp;tbl_FACTS[[#This Row],[OrderDetailID]])=0,1,0)</f>
        <v>1</v>
      </c>
      <c r="T130" s="19">
        <f>YEAR(tbl_FACTS[[#This Row],[OrderDate]])</f>
        <v>1996</v>
      </c>
      <c r="U130" s="22">
        <f>DATE(YEAR(tbl_FACTS[[#This Row],[OrderDate]]),MONTH(tbl_FACTS[[#This Row],[OrderDate]]),1)</f>
        <v>35309</v>
      </c>
      <c r="V130" s="22" t="str">
        <f>IF(tbl_FACTS[[#This Row],[Quantity]]&lt;=10,"0–10",IF(tbl_FACTS[[#This Row],[Quantity]]&lt;=20,"11–20",IF(tbl_FACTS[[#This Row],[Quantity]]&lt;=30,"21–30",IF(tbl_FACTS[[#This Row],[Quantity]]&lt;=40,"31–40",IF(tbl_FACTS[[#This Row],[Quantity]]&lt;=50,"41–50","51+")))))</f>
        <v>0–10</v>
      </c>
    </row>
    <row r="131" spans="1:22">
      <c r="A131">
        <v>130</v>
      </c>
      <c r="B131">
        <v>10296</v>
      </c>
      <c r="C131">
        <v>11</v>
      </c>
      <c r="D131" s="19">
        <v>12</v>
      </c>
      <c r="E131" s="20">
        <f>_xlfn.XLOOKUP(tbl_FACTS[[#This Row],[OrderID]],Πίνακας64[OrderID],Πίνακας64[OrderDate])</f>
        <v>35311</v>
      </c>
      <c r="F131">
        <f>_xlfn.XLOOKUP(tbl_FACTS[[#This Row],[OrderID]],Πίνακας64[OrderID],Πίνακας64[CustomerID])</f>
        <v>46</v>
      </c>
      <c r="G131" t="str">
        <f>_xlfn.XLOOKUP(tbl_FACTS[[#This Row],[CustomerID]],Πίνακας1[CustomerID],Πίνακας1[CustomerName])</f>
        <v>LILA-Supermercado</v>
      </c>
      <c r="H131" t="str">
        <f>_xlfn.XLOOKUP(tbl_FACTS[[#This Row],[CustomerID]],Πίνακας1[CustomerID],Πίνακας1[Country])</f>
        <v>Venezuela</v>
      </c>
      <c r="I131">
        <f>_xlfn.XLOOKUP(tbl_FACTS[[#This Row],[OrderID]],Πίνακας64[OrderID],Πίνακας64[EmployeeID])</f>
        <v>6</v>
      </c>
      <c r="J131">
        <f>_xlfn.XLOOKUP(tbl_FACTS[[#This Row],[OrderID]],Πίνακας64[OrderID],Πίνακας64[ShipperID])</f>
        <v>1</v>
      </c>
      <c r="K131" t="str">
        <f>_xlfn.XLOOKUP(tbl_FACTS[[#This Row],[ShipperID]],Πίνακας8[ShipperID],Πίνακας8[ShipperName])</f>
        <v>Speedy Express</v>
      </c>
      <c r="L131" t="str">
        <f>_xlfn.XLOOKUP(tbl_FACTS[[#This Row],[ProductID]],Πίνακας7[ProductID],Πίνακας7[ProductName])</f>
        <v>Queso Cabrales</v>
      </c>
      <c r="M131">
        <f>_xlfn.XLOOKUP(tbl_FACTS[[#This Row],[ProductID]],Πίνακας7[ProductID],Πίνακας7[CategoryID])</f>
        <v>4</v>
      </c>
      <c r="N131" t="str">
        <f>_xlfn.XLOOKUP(tbl_FACTS[[#This Row],[CategoryID]],Πίνακας4[CategoryID],Πίνακας4[CategoryName])</f>
        <v>Dairy Products</v>
      </c>
      <c r="O131">
        <f>_xlfn.XLOOKUP(tbl_FACTS[[#This Row],[ProductID]],Πίνακας7[ProductID],Πίνακας7[SupplierID])</f>
        <v>5</v>
      </c>
      <c r="P131" t="str">
        <f>_xlfn.XLOOKUP(tbl_FACTS[[#This Row],[SupplierID]],Πίνακας9[SupplierID],Πίνακας9[SupplierName])</f>
        <v>Cooperativa de Quesos 'Las Cabras'</v>
      </c>
      <c r="Q131" s="21">
        <f>_xlfn.XLOOKUP(tbl_FACTS[[#This Row],[ProductID]],Πίνακας7[ProductID],Πίνακας7[Price])</f>
        <v>21</v>
      </c>
      <c r="R131" s="21">
        <f>tbl_FACTS[[#This Row],[Quantity]]*tbl_FACTS[[#This Row],[Price]]</f>
        <v>252</v>
      </c>
      <c r="S131" s="19">
        <f>IF(COUNTIFS(tbl_FACTS[OrderID],tbl_FACTS[[#This Row],[OrderID]],tbl_FACTS[OrderDetailID],"&lt;"&amp;tbl_FACTS[[#This Row],[OrderDetailID]])=0,1,0)</f>
        <v>1</v>
      </c>
      <c r="T131" s="19">
        <f>YEAR(tbl_FACTS[[#This Row],[OrderDate]])</f>
        <v>1996</v>
      </c>
      <c r="U131" s="22">
        <f>DATE(YEAR(tbl_FACTS[[#This Row],[OrderDate]]),MONTH(tbl_FACTS[[#This Row],[OrderDate]]),1)</f>
        <v>35309</v>
      </c>
      <c r="V131" s="22" t="str">
        <f>IF(tbl_FACTS[[#This Row],[Quantity]]&lt;=10,"0–10",IF(tbl_FACTS[[#This Row],[Quantity]]&lt;=20,"11–20",IF(tbl_FACTS[[#This Row],[Quantity]]&lt;=30,"21–30",IF(tbl_FACTS[[#This Row],[Quantity]]&lt;=40,"31–40",IF(tbl_FACTS[[#This Row],[Quantity]]&lt;=50,"41–50","51+")))))</f>
        <v>11–20</v>
      </c>
    </row>
    <row r="132" spans="1:22">
      <c r="A132">
        <v>131</v>
      </c>
      <c r="B132">
        <v>10296</v>
      </c>
      <c r="C132">
        <v>16</v>
      </c>
      <c r="D132" s="19">
        <v>30</v>
      </c>
      <c r="E132" s="20">
        <f>_xlfn.XLOOKUP(tbl_FACTS[[#This Row],[OrderID]],Πίνακας64[OrderID],Πίνακας64[OrderDate])</f>
        <v>35311</v>
      </c>
      <c r="F132">
        <f>_xlfn.XLOOKUP(tbl_FACTS[[#This Row],[OrderID]],Πίνακας64[OrderID],Πίνακας64[CustomerID])</f>
        <v>46</v>
      </c>
      <c r="G132" t="str">
        <f>_xlfn.XLOOKUP(tbl_FACTS[[#This Row],[CustomerID]],Πίνακας1[CustomerID],Πίνακας1[CustomerName])</f>
        <v>LILA-Supermercado</v>
      </c>
      <c r="H132" t="str">
        <f>_xlfn.XLOOKUP(tbl_FACTS[[#This Row],[CustomerID]],Πίνακας1[CustomerID],Πίνακας1[Country])</f>
        <v>Venezuela</v>
      </c>
      <c r="I132">
        <f>_xlfn.XLOOKUP(tbl_FACTS[[#This Row],[OrderID]],Πίνακας64[OrderID],Πίνακας64[EmployeeID])</f>
        <v>6</v>
      </c>
      <c r="J132">
        <f>_xlfn.XLOOKUP(tbl_FACTS[[#This Row],[OrderID]],Πίνακας64[OrderID],Πίνακας64[ShipperID])</f>
        <v>1</v>
      </c>
      <c r="K132" t="str">
        <f>_xlfn.XLOOKUP(tbl_FACTS[[#This Row],[ShipperID]],Πίνακας8[ShipperID],Πίνακας8[ShipperName])</f>
        <v>Speedy Express</v>
      </c>
      <c r="L132" t="str">
        <f>_xlfn.XLOOKUP(tbl_FACTS[[#This Row],[ProductID]],Πίνακας7[ProductID],Πίνακας7[ProductName])</f>
        <v>Pavlova</v>
      </c>
      <c r="M132">
        <f>_xlfn.XLOOKUP(tbl_FACTS[[#This Row],[ProductID]],Πίνακας7[ProductID],Πίνακας7[CategoryID])</f>
        <v>3</v>
      </c>
      <c r="N132" t="str">
        <f>_xlfn.XLOOKUP(tbl_FACTS[[#This Row],[CategoryID]],Πίνακας4[CategoryID],Πίνακας4[CategoryName])</f>
        <v>Confections</v>
      </c>
      <c r="O132">
        <f>_xlfn.XLOOKUP(tbl_FACTS[[#This Row],[ProductID]],Πίνακας7[ProductID],Πίνακας7[SupplierID])</f>
        <v>7</v>
      </c>
      <c r="P132" t="str">
        <f>_xlfn.XLOOKUP(tbl_FACTS[[#This Row],[SupplierID]],Πίνακας9[SupplierID],Πίνακας9[SupplierName])</f>
        <v>Pavlova, Ltd.</v>
      </c>
      <c r="Q132" s="21">
        <f>_xlfn.XLOOKUP(tbl_FACTS[[#This Row],[ProductID]],Πίνακας7[ProductID],Πίνακας7[Price])</f>
        <v>17</v>
      </c>
      <c r="R132" s="21">
        <f>tbl_FACTS[[#This Row],[Quantity]]*tbl_FACTS[[#This Row],[Price]]</f>
        <v>510</v>
      </c>
      <c r="S132" s="19">
        <f>IF(COUNTIFS(tbl_FACTS[OrderID],tbl_FACTS[[#This Row],[OrderID]],tbl_FACTS[OrderDetailID],"&lt;"&amp;tbl_FACTS[[#This Row],[OrderDetailID]])=0,1,0)</f>
        <v>0</v>
      </c>
      <c r="T132" s="19">
        <f>YEAR(tbl_FACTS[[#This Row],[OrderDate]])</f>
        <v>1996</v>
      </c>
      <c r="U132" s="22">
        <f>DATE(YEAR(tbl_FACTS[[#This Row],[OrderDate]]),MONTH(tbl_FACTS[[#This Row],[OrderDate]]),1)</f>
        <v>35309</v>
      </c>
      <c r="V132" s="22" t="str">
        <f>IF(tbl_FACTS[[#This Row],[Quantity]]&lt;=10,"0–10",IF(tbl_FACTS[[#This Row],[Quantity]]&lt;=20,"11–20",IF(tbl_FACTS[[#This Row],[Quantity]]&lt;=30,"21–30",IF(tbl_FACTS[[#This Row],[Quantity]]&lt;=40,"31–40",IF(tbl_FACTS[[#This Row],[Quantity]]&lt;=50,"41–50","51+")))))</f>
        <v>21–30</v>
      </c>
    </row>
    <row r="133" spans="1:22">
      <c r="A133">
        <v>132</v>
      </c>
      <c r="B133">
        <v>10296</v>
      </c>
      <c r="C133">
        <v>69</v>
      </c>
      <c r="D133" s="19">
        <v>15</v>
      </c>
      <c r="E133" s="20">
        <f>_xlfn.XLOOKUP(tbl_FACTS[[#This Row],[OrderID]],Πίνακας64[OrderID],Πίνακας64[OrderDate])</f>
        <v>35311</v>
      </c>
      <c r="F133">
        <f>_xlfn.XLOOKUP(tbl_FACTS[[#This Row],[OrderID]],Πίνακας64[OrderID],Πίνακας64[CustomerID])</f>
        <v>46</v>
      </c>
      <c r="G133" t="str">
        <f>_xlfn.XLOOKUP(tbl_FACTS[[#This Row],[CustomerID]],Πίνακας1[CustomerID],Πίνακας1[CustomerName])</f>
        <v>LILA-Supermercado</v>
      </c>
      <c r="H133" t="str">
        <f>_xlfn.XLOOKUP(tbl_FACTS[[#This Row],[CustomerID]],Πίνακας1[CustomerID],Πίνακας1[Country])</f>
        <v>Venezuela</v>
      </c>
      <c r="I133">
        <f>_xlfn.XLOOKUP(tbl_FACTS[[#This Row],[OrderID]],Πίνακας64[OrderID],Πίνακας64[EmployeeID])</f>
        <v>6</v>
      </c>
      <c r="J133">
        <f>_xlfn.XLOOKUP(tbl_FACTS[[#This Row],[OrderID]],Πίνακας64[OrderID],Πίνακας64[ShipperID])</f>
        <v>1</v>
      </c>
      <c r="K133" t="str">
        <f>_xlfn.XLOOKUP(tbl_FACTS[[#This Row],[ShipperID]],Πίνακας8[ShipperID],Πίνακας8[ShipperName])</f>
        <v>Speedy Express</v>
      </c>
      <c r="L133" t="str">
        <f>_xlfn.XLOOKUP(tbl_FACTS[[#This Row],[ProductID]],Πίνακας7[ProductID],Πίνακας7[ProductName])</f>
        <v>Gudbrandsdalsost</v>
      </c>
      <c r="M133">
        <f>_xlfn.XLOOKUP(tbl_FACTS[[#This Row],[ProductID]],Πίνακας7[ProductID],Πίνακας7[CategoryID])</f>
        <v>4</v>
      </c>
      <c r="N133" t="str">
        <f>_xlfn.XLOOKUP(tbl_FACTS[[#This Row],[CategoryID]],Πίνακας4[CategoryID],Πίνακας4[CategoryName])</f>
        <v>Dairy Products</v>
      </c>
      <c r="O133">
        <f>_xlfn.XLOOKUP(tbl_FACTS[[#This Row],[ProductID]],Πίνακας7[ProductID],Πίνακας7[SupplierID])</f>
        <v>15</v>
      </c>
      <c r="P133" t="str">
        <f>_xlfn.XLOOKUP(tbl_FACTS[[#This Row],[SupplierID]],Πίνακας9[SupplierID],Πίνακας9[SupplierName])</f>
        <v>Norske Meierier</v>
      </c>
      <c r="Q133" s="21">
        <f>_xlfn.XLOOKUP(tbl_FACTS[[#This Row],[ProductID]],Πίνακας7[ProductID],Πίνακας7[Price])</f>
        <v>36</v>
      </c>
      <c r="R133" s="21">
        <f>tbl_FACTS[[#This Row],[Quantity]]*tbl_FACTS[[#This Row],[Price]]</f>
        <v>540</v>
      </c>
      <c r="S133" s="19">
        <f>IF(COUNTIFS(tbl_FACTS[OrderID],tbl_FACTS[[#This Row],[OrderID]],tbl_FACTS[OrderDetailID],"&lt;"&amp;tbl_FACTS[[#This Row],[OrderDetailID]])=0,1,0)</f>
        <v>0</v>
      </c>
      <c r="T133" s="19">
        <f>YEAR(tbl_FACTS[[#This Row],[OrderDate]])</f>
        <v>1996</v>
      </c>
      <c r="U133" s="22">
        <f>DATE(YEAR(tbl_FACTS[[#This Row],[OrderDate]]),MONTH(tbl_FACTS[[#This Row],[OrderDate]]),1)</f>
        <v>35309</v>
      </c>
      <c r="V133" s="22" t="str">
        <f>IF(tbl_FACTS[[#This Row],[Quantity]]&lt;=10,"0–10",IF(tbl_FACTS[[#This Row],[Quantity]]&lt;=20,"11–20",IF(tbl_FACTS[[#This Row],[Quantity]]&lt;=30,"21–30",IF(tbl_FACTS[[#This Row],[Quantity]]&lt;=40,"31–40",IF(tbl_FACTS[[#This Row],[Quantity]]&lt;=50,"41–50","51+")))))</f>
        <v>11–20</v>
      </c>
    </row>
    <row r="134" spans="1:22">
      <c r="A134">
        <v>133</v>
      </c>
      <c r="B134">
        <v>10297</v>
      </c>
      <c r="C134">
        <v>39</v>
      </c>
      <c r="D134" s="19">
        <v>60</v>
      </c>
      <c r="E134" s="20">
        <f>_xlfn.XLOOKUP(tbl_FACTS[[#This Row],[OrderID]],Πίνακας64[OrderID],Πίνακας64[OrderDate])</f>
        <v>35312</v>
      </c>
      <c r="F134">
        <f>_xlfn.XLOOKUP(tbl_FACTS[[#This Row],[OrderID]],Πίνακας64[OrderID],Πίνακας64[CustomerID])</f>
        <v>7</v>
      </c>
      <c r="G134" t="str">
        <f>_xlfn.XLOOKUP(tbl_FACTS[[#This Row],[CustomerID]],Πίνακας1[CustomerID],Πίνακας1[CustomerName])</f>
        <v>Blondel pere et fils</v>
      </c>
      <c r="H134" t="str">
        <f>_xlfn.XLOOKUP(tbl_FACTS[[#This Row],[CustomerID]],Πίνακας1[CustomerID],Πίνακας1[Country])</f>
        <v>France</v>
      </c>
      <c r="I134">
        <f>_xlfn.XLOOKUP(tbl_FACTS[[#This Row],[OrderID]],Πίνακας64[OrderID],Πίνακας64[EmployeeID])</f>
        <v>5</v>
      </c>
      <c r="J134">
        <f>_xlfn.XLOOKUP(tbl_FACTS[[#This Row],[OrderID]],Πίνακας64[OrderID],Πίνακας64[ShipperID])</f>
        <v>2</v>
      </c>
      <c r="K134" t="str">
        <f>_xlfn.XLOOKUP(tbl_FACTS[[#This Row],[ShipperID]],Πίνακας8[ShipperID],Πίνακας8[ShipperName])</f>
        <v>United Package</v>
      </c>
      <c r="L134" t="str">
        <f>_xlfn.XLOOKUP(tbl_FACTS[[#This Row],[ProductID]],Πίνακας7[ProductID],Πίνακας7[ProductName])</f>
        <v>Chartreuse verte</v>
      </c>
      <c r="M134">
        <f>_xlfn.XLOOKUP(tbl_FACTS[[#This Row],[ProductID]],Πίνακας7[ProductID],Πίνακας7[CategoryID])</f>
        <v>1</v>
      </c>
      <c r="N134" t="str">
        <f>_xlfn.XLOOKUP(tbl_FACTS[[#This Row],[CategoryID]],Πίνακας4[CategoryID],Πίνακας4[CategoryName])</f>
        <v>Beverages</v>
      </c>
      <c r="O134">
        <f>_xlfn.XLOOKUP(tbl_FACTS[[#This Row],[ProductID]],Πίνακας7[ProductID],Πίνακας7[SupplierID])</f>
        <v>18</v>
      </c>
      <c r="P134" t="str">
        <f>_xlfn.XLOOKUP(tbl_FACTS[[#This Row],[SupplierID]],Πίνακας9[SupplierID],Πίνακας9[SupplierName])</f>
        <v>Aux joyeux ecclesiastiques</v>
      </c>
      <c r="Q134" s="21">
        <f>_xlfn.XLOOKUP(tbl_FACTS[[#This Row],[ProductID]],Πίνακας7[ProductID],Πίνακας7[Price])</f>
        <v>18</v>
      </c>
      <c r="R134" s="21">
        <f>tbl_FACTS[[#This Row],[Quantity]]*tbl_FACTS[[#This Row],[Price]]</f>
        <v>1080</v>
      </c>
      <c r="S134" s="19">
        <f>IF(COUNTIFS(tbl_FACTS[OrderID],tbl_FACTS[[#This Row],[OrderID]],tbl_FACTS[OrderDetailID],"&lt;"&amp;tbl_FACTS[[#This Row],[OrderDetailID]])=0,1,0)</f>
        <v>1</v>
      </c>
      <c r="T134" s="19">
        <f>YEAR(tbl_FACTS[[#This Row],[OrderDate]])</f>
        <v>1996</v>
      </c>
      <c r="U134" s="22">
        <f>DATE(YEAR(tbl_FACTS[[#This Row],[OrderDate]]),MONTH(tbl_FACTS[[#This Row],[OrderDate]]),1)</f>
        <v>35309</v>
      </c>
      <c r="V134" s="22" t="str">
        <f>IF(tbl_FACTS[[#This Row],[Quantity]]&lt;=10,"0–10",IF(tbl_FACTS[[#This Row],[Quantity]]&lt;=20,"11–20",IF(tbl_FACTS[[#This Row],[Quantity]]&lt;=30,"21–30",IF(tbl_FACTS[[#This Row],[Quantity]]&lt;=40,"31–40",IF(tbl_FACTS[[#This Row],[Quantity]]&lt;=50,"41–50","51+")))))</f>
        <v>51+</v>
      </c>
    </row>
    <row r="135" spans="1:22">
      <c r="A135">
        <v>134</v>
      </c>
      <c r="B135">
        <v>10297</v>
      </c>
      <c r="C135">
        <v>72</v>
      </c>
      <c r="D135" s="19">
        <v>20</v>
      </c>
      <c r="E135" s="20">
        <f>_xlfn.XLOOKUP(tbl_FACTS[[#This Row],[OrderID]],Πίνακας64[OrderID],Πίνακας64[OrderDate])</f>
        <v>35312</v>
      </c>
      <c r="F135">
        <f>_xlfn.XLOOKUP(tbl_FACTS[[#This Row],[OrderID]],Πίνακας64[OrderID],Πίνακας64[CustomerID])</f>
        <v>7</v>
      </c>
      <c r="G135" t="str">
        <f>_xlfn.XLOOKUP(tbl_FACTS[[#This Row],[CustomerID]],Πίνακας1[CustomerID],Πίνακας1[CustomerName])</f>
        <v>Blondel pere et fils</v>
      </c>
      <c r="H135" t="str">
        <f>_xlfn.XLOOKUP(tbl_FACTS[[#This Row],[CustomerID]],Πίνακας1[CustomerID],Πίνακας1[Country])</f>
        <v>France</v>
      </c>
      <c r="I135">
        <f>_xlfn.XLOOKUP(tbl_FACTS[[#This Row],[OrderID]],Πίνακας64[OrderID],Πίνακας64[EmployeeID])</f>
        <v>5</v>
      </c>
      <c r="J135">
        <f>_xlfn.XLOOKUP(tbl_FACTS[[#This Row],[OrderID]],Πίνακας64[OrderID],Πίνακας64[ShipperID])</f>
        <v>2</v>
      </c>
      <c r="K135" t="str">
        <f>_xlfn.XLOOKUP(tbl_FACTS[[#This Row],[ShipperID]],Πίνακας8[ShipperID],Πίνακας8[ShipperName])</f>
        <v>United Package</v>
      </c>
      <c r="L135" t="str">
        <f>_xlfn.XLOOKUP(tbl_FACTS[[#This Row],[ProductID]],Πίνακας7[ProductID],Πίνακας7[ProductName])</f>
        <v>Mozzarella di Giovanni</v>
      </c>
      <c r="M135">
        <f>_xlfn.XLOOKUP(tbl_FACTS[[#This Row],[ProductID]],Πίνακας7[ProductID],Πίνακας7[CategoryID])</f>
        <v>4</v>
      </c>
      <c r="N135" t="str">
        <f>_xlfn.XLOOKUP(tbl_FACTS[[#This Row],[CategoryID]],Πίνακας4[CategoryID],Πίνακας4[CategoryName])</f>
        <v>Dairy Products</v>
      </c>
      <c r="O135">
        <f>_xlfn.XLOOKUP(tbl_FACTS[[#This Row],[ProductID]],Πίνακας7[ProductID],Πίνακας7[SupplierID])</f>
        <v>14</v>
      </c>
      <c r="P135" t="str">
        <f>_xlfn.XLOOKUP(tbl_FACTS[[#This Row],[SupplierID]],Πίνακας9[SupplierID],Πίνακας9[SupplierName])</f>
        <v>Formaggi Fortini s.r.l.</v>
      </c>
      <c r="Q135" s="21">
        <f>_xlfn.XLOOKUP(tbl_FACTS[[#This Row],[ProductID]],Πίνακας7[ProductID],Πίνακας7[Price])</f>
        <v>35</v>
      </c>
      <c r="R135" s="21">
        <f>tbl_FACTS[[#This Row],[Quantity]]*tbl_FACTS[[#This Row],[Price]]</f>
        <v>700</v>
      </c>
      <c r="S135" s="19">
        <f>IF(COUNTIFS(tbl_FACTS[OrderID],tbl_FACTS[[#This Row],[OrderID]],tbl_FACTS[OrderDetailID],"&lt;"&amp;tbl_FACTS[[#This Row],[OrderDetailID]])=0,1,0)</f>
        <v>0</v>
      </c>
      <c r="T135" s="19">
        <f>YEAR(tbl_FACTS[[#This Row],[OrderDate]])</f>
        <v>1996</v>
      </c>
      <c r="U135" s="22">
        <f>DATE(YEAR(tbl_FACTS[[#This Row],[OrderDate]]),MONTH(tbl_FACTS[[#This Row],[OrderDate]]),1)</f>
        <v>35309</v>
      </c>
      <c r="V135" s="22" t="str">
        <f>IF(tbl_FACTS[[#This Row],[Quantity]]&lt;=10,"0–10",IF(tbl_FACTS[[#This Row],[Quantity]]&lt;=20,"11–20",IF(tbl_FACTS[[#This Row],[Quantity]]&lt;=30,"21–30",IF(tbl_FACTS[[#This Row],[Quantity]]&lt;=40,"31–40",IF(tbl_FACTS[[#This Row],[Quantity]]&lt;=50,"41–50","51+")))))</f>
        <v>11–20</v>
      </c>
    </row>
    <row r="136" spans="1:22">
      <c r="A136">
        <v>135</v>
      </c>
      <c r="B136">
        <v>10298</v>
      </c>
      <c r="C136">
        <v>2</v>
      </c>
      <c r="D136" s="19">
        <v>40</v>
      </c>
      <c r="E136" s="20">
        <f>_xlfn.XLOOKUP(tbl_FACTS[[#This Row],[OrderID]],Πίνακας64[OrderID],Πίνακας64[OrderDate])</f>
        <v>35313</v>
      </c>
      <c r="F136">
        <f>_xlfn.XLOOKUP(tbl_FACTS[[#This Row],[OrderID]],Πίνακας64[OrderID],Πίνακας64[CustomerID])</f>
        <v>37</v>
      </c>
      <c r="G136" t="str">
        <f>_xlfn.XLOOKUP(tbl_FACTS[[#This Row],[CustomerID]],Πίνακας1[CustomerID],Πίνακας1[CustomerName])</f>
        <v>Hungry Owl All-Night Grocers</v>
      </c>
      <c r="H136" t="str">
        <f>_xlfn.XLOOKUP(tbl_FACTS[[#This Row],[CustomerID]],Πίνακας1[CustomerID],Πίνακας1[Country])</f>
        <v>Ireland</v>
      </c>
      <c r="I136">
        <f>_xlfn.XLOOKUP(tbl_FACTS[[#This Row],[OrderID]],Πίνακας64[OrderID],Πίνακας64[EmployeeID])</f>
        <v>6</v>
      </c>
      <c r="J136">
        <f>_xlfn.XLOOKUP(tbl_FACTS[[#This Row],[OrderID]],Πίνακας64[OrderID],Πίνακας64[ShipperID])</f>
        <v>2</v>
      </c>
      <c r="K136" t="str">
        <f>_xlfn.XLOOKUP(tbl_FACTS[[#This Row],[ShipperID]],Πίνακας8[ShipperID],Πίνακας8[ShipperName])</f>
        <v>United Package</v>
      </c>
      <c r="L136" t="str">
        <f>_xlfn.XLOOKUP(tbl_FACTS[[#This Row],[ProductID]],Πίνακας7[ProductID],Πίνακας7[ProductName])</f>
        <v>Chang</v>
      </c>
      <c r="M136">
        <f>_xlfn.XLOOKUP(tbl_FACTS[[#This Row],[ProductID]],Πίνακας7[ProductID],Πίνακας7[CategoryID])</f>
        <v>1</v>
      </c>
      <c r="N136" t="str">
        <f>_xlfn.XLOOKUP(tbl_FACTS[[#This Row],[CategoryID]],Πίνακας4[CategoryID],Πίνακας4[CategoryName])</f>
        <v>Beverages</v>
      </c>
      <c r="O136">
        <f>_xlfn.XLOOKUP(tbl_FACTS[[#This Row],[ProductID]],Πίνακας7[ProductID],Πίνακας7[SupplierID])</f>
        <v>1</v>
      </c>
      <c r="P136" t="str">
        <f>_xlfn.XLOOKUP(tbl_FACTS[[#This Row],[SupplierID]],Πίνακας9[SupplierID],Πίνακας9[SupplierName])</f>
        <v>Exotic Liquid</v>
      </c>
      <c r="Q136" s="21">
        <f>_xlfn.XLOOKUP(tbl_FACTS[[#This Row],[ProductID]],Πίνακας7[ProductID],Πίνακας7[Price])</f>
        <v>19</v>
      </c>
      <c r="R136" s="21">
        <f>tbl_FACTS[[#This Row],[Quantity]]*tbl_FACTS[[#This Row],[Price]]</f>
        <v>760</v>
      </c>
      <c r="S136" s="19">
        <f>IF(COUNTIFS(tbl_FACTS[OrderID],tbl_FACTS[[#This Row],[OrderID]],tbl_FACTS[OrderDetailID],"&lt;"&amp;tbl_FACTS[[#This Row],[OrderDetailID]])=0,1,0)</f>
        <v>1</v>
      </c>
      <c r="T136" s="19">
        <f>YEAR(tbl_FACTS[[#This Row],[OrderDate]])</f>
        <v>1996</v>
      </c>
      <c r="U136" s="22">
        <f>DATE(YEAR(tbl_FACTS[[#This Row],[OrderDate]]),MONTH(tbl_FACTS[[#This Row],[OrderDate]]),1)</f>
        <v>35309</v>
      </c>
      <c r="V136" s="22" t="str">
        <f>IF(tbl_FACTS[[#This Row],[Quantity]]&lt;=10,"0–10",IF(tbl_FACTS[[#This Row],[Quantity]]&lt;=20,"11–20",IF(tbl_FACTS[[#This Row],[Quantity]]&lt;=30,"21–30",IF(tbl_FACTS[[#This Row],[Quantity]]&lt;=40,"31–40",IF(tbl_FACTS[[#This Row],[Quantity]]&lt;=50,"41–50","51+")))))</f>
        <v>31–40</v>
      </c>
    </row>
    <row r="137" spans="1:22">
      <c r="A137">
        <v>136</v>
      </c>
      <c r="B137">
        <v>10298</v>
      </c>
      <c r="C137">
        <v>36</v>
      </c>
      <c r="D137" s="19">
        <v>40</v>
      </c>
      <c r="E137" s="20">
        <f>_xlfn.XLOOKUP(tbl_FACTS[[#This Row],[OrderID]],Πίνακας64[OrderID],Πίνακας64[OrderDate])</f>
        <v>35313</v>
      </c>
      <c r="F137">
        <f>_xlfn.XLOOKUP(tbl_FACTS[[#This Row],[OrderID]],Πίνακας64[OrderID],Πίνακας64[CustomerID])</f>
        <v>37</v>
      </c>
      <c r="G137" t="str">
        <f>_xlfn.XLOOKUP(tbl_FACTS[[#This Row],[CustomerID]],Πίνακας1[CustomerID],Πίνακας1[CustomerName])</f>
        <v>Hungry Owl All-Night Grocers</v>
      </c>
      <c r="H137" t="str">
        <f>_xlfn.XLOOKUP(tbl_FACTS[[#This Row],[CustomerID]],Πίνακας1[CustomerID],Πίνακας1[Country])</f>
        <v>Ireland</v>
      </c>
      <c r="I137">
        <f>_xlfn.XLOOKUP(tbl_FACTS[[#This Row],[OrderID]],Πίνακας64[OrderID],Πίνακας64[EmployeeID])</f>
        <v>6</v>
      </c>
      <c r="J137">
        <f>_xlfn.XLOOKUP(tbl_FACTS[[#This Row],[OrderID]],Πίνακας64[OrderID],Πίνακας64[ShipperID])</f>
        <v>2</v>
      </c>
      <c r="K137" t="str">
        <f>_xlfn.XLOOKUP(tbl_FACTS[[#This Row],[ShipperID]],Πίνακας8[ShipperID],Πίνακας8[ShipperName])</f>
        <v>United Package</v>
      </c>
      <c r="L137" t="str">
        <f>_xlfn.XLOOKUP(tbl_FACTS[[#This Row],[ProductID]],Πίνακας7[ProductID],Πίνακας7[ProductName])</f>
        <v>Inlagd Sill</v>
      </c>
      <c r="M137">
        <f>_xlfn.XLOOKUP(tbl_FACTS[[#This Row],[ProductID]],Πίνακας7[ProductID],Πίνακας7[CategoryID])</f>
        <v>8</v>
      </c>
      <c r="N137" t="str">
        <f>_xlfn.XLOOKUP(tbl_FACTS[[#This Row],[CategoryID]],Πίνακας4[CategoryID],Πίνακας4[CategoryName])</f>
        <v>Seafood</v>
      </c>
      <c r="O137">
        <f>_xlfn.XLOOKUP(tbl_FACTS[[#This Row],[ProductID]],Πίνακας7[ProductID],Πίνακας7[SupplierID])</f>
        <v>17</v>
      </c>
      <c r="P137" t="str">
        <f>_xlfn.XLOOKUP(tbl_FACTS[[#This Row],[SupplierID]],Πίνακας9[SupplierID],Πίνακας9[SupplierName])</f>
        <v>Svensk Sjofoda AB</v>
      </c>
      <c r="Q137" s="21">
        <f>_xlfn.XLOOKUP(tbl_FACTS[[#This Row],[ProductID]],Πίνακας7[ProductID],Πίνακας7[Price])</f>
        <v>19</v>
      </c>
      <c r="R137" s="21">
        <f>tbl_FACTS[[#This Row],[Quantity]]*tbl_FACTS[[#This Row],[Price]]</f>
        <v>760</v>
      </c>
      <c r="S137" s="19">
        <f>IF(COUNTIFS(tbl_FACTS[OrderID],tbl_FACTS[[#This Row],[OrderID]],tbl_FACTS[OrderDetailID],"&lt;"&amp;tbl_FACTS[[#This Row],[OrderDetailID]])=0,1,0)</f>
        <v>0</v>
      </c>
      <c r="T137" s="19">
        <f>YEAR(tbl_FACTS[[#This Row],[OrderDate]])</f>
        <v>1996</v>
      </c>
      <c r="U137" s="22">
        <f>DATE(YEAR(tbl_FACTS[[#This Row],[OrderDate]]),MONTH(tbl_FACTS[[#This Row],[OrderDate]]),1)</f>
        <v>35309</v>
      </c>
      <c r="V137" s="22" t="str">
        <f>IF(tbl_FACTS[[#This Row],[Quantity]]&lt;=10,"0–10",IF(tbl_FACTS[[#This Row],[Quantity]]&lt;=20,"11–20",IF(tbl_FACTS[[#This Row],[Quantity]]&lt;=30,"21–30",IF(tbl_FACTS[[#This Row],[Quantity]]&lt;=40,"31–40",IF(tbl_FACTS[[#This Row],[Quantity]]&lt;=50,"41–50","51+")))))</f>
        <v>31–40</v>
      </c>
    </row>
    <row r="138" spans="1:22">
      <c r="A138">
        <v>137</v>
      </c>
      <c r="B138">
        <v>10298</v>
      </c>
      <c r="C138">
        <v>59</v>
      </c>
      <c r="D138" s="19">
        <v>30</v>
      </c>
      <c r="E138" s="20">
        <f>_xlfn.XLOOKUP(tbl_FACTS[[#This Row],[OrderID]],Πίνακας64[OrderID],Πίνακας64[OrderDate])</f>
        <v>35313</v>
      </c>
      <c r="F138">
        <f>_xlfn.XLOOKUP(tbl_FACTS[[#This Row],[OrderID]],Πίνακας64[OrderID],Πίνακας64[CustomerID])</f>
        <v>37</v>
      </c>
      <c r="G138" t="str">
        <f>_xlfn.XLOOKUP(tbl_FACTS[[#This Row],[CustomerID]],Πίνακας1[CustomerID],Πίνακας1[CustomerName])</f>
        <v>Hungry Owl All-Night Grocers</v>
      </c>
      <c r="H138" t="str">
        <f>_xlfn.XLOOKUP(tbl_FACTS[[#This Row],[CustomerID]],Πίνακας1[CustomerID],Πίνακας1[Country])</f>
        <v>Ireland</v>
      </c>
      <c r="I138">
        <f>_xlfn.XLOOKUP(tbl_FACTS[[#This Row],[OrderID]],Πίνακας64[OrderID],Πίνακας64[EmployeeID])</f>
        <v>6</v>
      </c>
      <c r="J138">
        <f>_xlfn.XLOOKUP(tbl_FACTS[[#This Row],[OrderID]],Πίνακας64[OrderID],Πίνακας64[ShipperID])</f>
        <v>2</v>
      </c>
      <c r="K138" t="str">
        <f>_xlfn.XLOOKUP(tbl_FACTS[[#This Row],[ShipperID]],Πίνακας8[ShipperID],Πίνακας8[ShipperName])</f>
        <v>United Package</v>
      </c>
      <c r="L138" t="str">
        <f>_xlfn.XLOOKUP(tbl_FACTS[[#This Row],[ProductID]],Πίνακας7[ProductID],Πίνακας7[ProductName])</f>
        <v>Raclette Courdavault</v>
      </c>
      <c r="M138">
        <f>_xlfn.XLOOKUP(tbl_FACTS[[#This Row],[ProductID]],Πίνακας7[ProductID],Πίνακας7[CategoryID])</f>
        <v>4</v>
      </c>
      <c r="N138" t="str">
        <f>_xlfn.XLOOKUP(tbl_FACTS[[#This Row],[CategoryID]],Πίνακας4[CategoryID],Πίνακας4[CategoryName])</f>
        <v>Dairy Products</v>
      </c>
      <c r="O138">
        <f>_xlfn.XLOOKUP(tbl_FACTS[[#This Row],[ProductID]],Πίνακας7[ProductID],Πίνακας7[SupplierID])</f>
        <v>28</v>
      </c>
      <c r="P138" t="str">
        <f>_xlfn.XLOOKUP(tbl_FACTS[[#This Row],[SupplierID]],Πίνακας9[SupplierID],Πίνακας9[SupplierName])</f>
        <v>Gai paturage</v>
      </c>
      <c r="Q138" s="21">
        <f>_xlfn.XLOOKUP(tbl_FACTS[[#This Row],[ProductID]],Πίνακας7[ProductID],Πίνακας7[Price])</f>
        <v>55</v>
      </c>
      <c r="R138" s="21">
        <f>tbl_FACTS[[#This Row],[Quantity]]*tbl_FACTS[[#This Row],[Price]]</f>
        <v>1650</v>
      </c>
      <c r="S138" s="19">
        <f>IF(COUNTIFS(tbl_FACTS[OrderID],tbl_FACTS[[#This Row],[OrderID]],tbl_FACTS[OrderDetailID],"&lt;"&amp;tbl_FACTS[[#This Row],[OrderDetailID]])=0,1,0)</f>
        <v>0</v>
      </c>
      <c r="T138" s="19">
        <f>YEAR(tbl_FACTS[[#This Row],[OrderDate]])</f>
        <v>1996</v>
      </c>
      <c r="U138" s="22">
        <f>DATE(YEAR(tbl_FACTS[[#This Row],[OrderDate]]),MONTH(tbl_FACTS[[#This Row],[OrderDate]]),1)</f>
        <v>35309</v>
      </c>
      <c r="V138" s="22" t="str">
        <f>IF(tbl_FACTS[[#This Row],[Quantity]]&lt;=10,"0–10",IF(tbl_FACTS[[#This Row],[Quantity]]&lt;=20,"11–20",IF(tbl_FACTS[[#This Row],[Quantity]]&lt;=30,"21–30",IF(tbl_FACTS[[#This Row],[Quantity]]&lt;=40,"31–40",IF(tbl_FACTS[[#This Row],[Quantity]]&lt;=50,"41–50","51+")))))</f>
        <v>21–30</v>
      </c>
    </row>
    <row r="139" spans="1:22">
      <c r="A139">
        <v>138</v>
      </c>
      <c r="B139">
        <v>10298</v>
      </c>
      <c r="C139">
        <v>62</v>
      </c>
      <c r="D139" s="19">
        <v>15</v>
      </c>
      <c r="E139" s="20">
        <f>_xlfn.XLOOKUP(tbl_FACTS[[#This Row],[OrderID]],Πίνακας64[OrderID],Πίνακας64[OrderDate])</f>
        <v>35313</v>
      </c>
      <c r="F139">
        <f>_xlfn.XLOOKUP(tbl_FACTS[[#This Row],[OrderID]],Πίνακας64[OrderID],Πίνακας64[CustomerID])</f>
        <v>37</v>
      </c>
      <c r="G139" t="str">
        <f>_xlfn.XLOOKUP(tbl_FACTS[[#This Row],[CustomerID]],Πίνακας1[CustomerID],Πίνακας1[CustomerName])</f>
        <v>Hungry Owl All-Night Grocers</v>
      </c>
      <c r="H139" t="str">
        <f>_xlfn.XLOOKUP(tbl_FACTS[[#This Row],[CustomerID]],Πίνακας1[CustomerID],Πίνακας1[Country])</f>
        <v>Ireland</v>
      </c>
      <c r="I139">
        <f>_xlfn.XLOOKUP(tbl_FACTS[[#This Row],[OrderID]],Πίνακας64[OrderID],Πίνακας64[EmployeeID])</f>
        <v>6</v>
      </c>
      <c r="J139">
        <f>_xlfn.XLOOKUP(tbl_FACTS[[#This Row],[OrderID]],Πίνακας64[OrderID],Πίνακας64[ShipperID])</f>
        <v>2</v>
      </c>
      <c r="K139" t="str">
        <f>_xlfn.XLOOKUP(tbl_FACTS[[#This Row],[ShipperID]],Πίνακας8[ShipperID],Πίνακας8[ShipperName])</f>
        <v>United Package</v>
      </c>
      <c r="L139" t="str">
        <f>_xlfn.XLOOKUP(tbl_FACTS[[#This Row],[ProductID]],Πίνακας7[ProductID],Πίνακας7[ProductName])</f>
        <v>Tarte au sucre</v>
      </c>
      <c r="M139">
        <f>_xlfn.XLOOKUP(tbl_FACTS[[#This Row],[ProductID]],Πίνακας7[ProductID],Πίνακας7[CategoryID])</f>
        <v>3</v>
      </c>
      <c r="N139" t="str">
        <f>_xlfn.XLOOKUP(tbl_FACTS[[#This Row],[CategoryID]],Πίνακας4[CategoryID],Πίνακας4[CategoryName])</f>
        <v>Confections</v>
      </c>
      <c r="O139">
        <f>_xlfn.XLOOKUP(tbl_FACTS[[#This Row],[ProductID]],Πίνακας7[ProductID],Πίνακας7[SupplierID])</f>
        <v>29</v>
      </c>
      <c r="P139" t="str">
        <f>_xlfn.XLOOKUP(tbl_FACTS[[#This Row],[SupplierID]],Πίνακας9[SupplierID],Πίνακας9[SupplierName])</f>
        <v>Forets d'erables</v>
      </c>
      <c r="Q139" s="21">
        <f>_xlfn.XLOOKUP(tbl_FACTS[[#This Row],[ProductID]],Πίνακας7[ProductID],Πίνακας7[Price])</f>
        <v>49</v>
      </c>
      <c r="R139" s="21">
        <f>tbl_FACTS[[#This Row],[Quantity]]*tbl_FACTS[[#This Row],[Price]]</f>
        <v>735</v>
      </c>
      <c r="S139" s="19">
        <f>IF(COUNTIFS(tbl_FACTS[OrderID],tbl_FACTS[[#This Row],[OrderID]],tbl_FACTS[OrderDetailID],"&lt;"&amp;tbl_FACTS[[#This Row],[OrderDetailID]])=0,1,0)</f>
        <v>0</v>
      </c>
      <c r="T139" s="19">
        <f>YEAR(tbl_FACTS[[#This Row],[OrderDate]])</f>
        <v>1996</v>
      </c>
      <c r="U139" s="22">
        <f>DATE(YEAR(tbl_FACTS[[#This Row],[OrderDate]]),MONTH(tbl_FACTS[[#This Row],[OrderDate]]),1)</f>
        <v>35309</v>
      </c>
      <c r="V139" s="22" t="str">
        <f>IF(tbl_FACTS[[#This Row],[Quantity]]&lt;=10,"0–10",IF(tbl_FACTS[[#This Row],[Quantity]]&lt;=20,"11–20",IF(tbl_FACTS[[#This Row],[Quantity]]&lt;=30,"21–30",IF(tbl_FACTS[[#This Row],[Quantity]]&lt;=40,"31–40",IF(tbl_FACTS[[#This Row],[Quantity]]&lt;=50,"41–50","51+")))))</f>
        <v>11–20</v>
      </c>
    </row>
    <row r="140" spans="1:22">
      <c r="A140">
        <v>139</v>
      </c>
      <c r="B140">
        <v>10299</v>
      </c>
      <c r="C140">
        <v>19</v>
      </c>
      <c r="D140" s="19">
        <v>15</v>
      </c>
      <c r="E140" s="20">
        <f>_xlfn.XLOOKUP(tbl_FACTS[[#This Row],[OrderID]],Πίνακας64[OrderID],Πίνακας64[OrderDate])</f>
        <v>35314</v>
      </c>
      <c r="F140">
        <f>_xlfn.XLOOKUP(tbl_FACTS[[#This Row],[OrderID]],Πίνακας64[OrderID],Πίνακας64[CustomerID])</f>
        <v>67</v>
      </c>
      <c r="G140" t="str">
        <f>_xlfn.XLOOKUP(tbl_FACTS[[#This Row],[CustomerID]],Πίνακας1[CustomerID],Πίνακας1[CustomerName])</f>
        <v>Ricardo Adocicados</v>
      </c>
      <c r="H140" t="str">
        <f>_xlfn.XLOOKUP(tbl_FACTS[[#This Row],[CustomerID]],Πίνακας1[CustomerID],Πίνακας1[Country])</f>
        <v>Brazil</v>
      </c>
      <c r="I140">
        <f>_xlfn.XLOOKUP(tbl_FACTS[[#This Row],[OrderID]],Πίνακας64[OrderID],Πίνακας64[EmployeeID])</f>
        <v>4</v>
      </c>
      <c r="J140">
        <f>_xlfn.XLOOKUP(tbl_FACTS[[#This Row],[OrderID]],Πίνακας64[OrderID],Πίνακας64[ShipperID])</f>
        <v>2</v>
      </c>
      <c r="K140" t="str">
        <f>_xlfn.XLOOKUP(tbl_FACTS[[#This Row],[ShipperID]],Πίνακας8[ShipperID],Πίνακας8[ShipperName])</f>
        <v>United Package</v>
      </c>
      <c r="L140" t="str">
        <f>_xlfn.XLOOKUP(tbl_FACTS[[#This Row],[ProductID]],Πίνακας7[ProductID],Πίνακας7[ProductName])</f>
        <v>Teatime Chocolate Biscuits</v>
      </c>
      <c r="M140">
        <f>_xlfn.XLOOKUP(tbl_FACTS[[#This Row],[ProductID]],Πίνακας7[ProductID],Πίνακας7[CategoryID])</f>
        <v>3</v>
      </c>
      <c r="N140" t="str">
        <f>_xlfn.XLOOKUP(tbl_FACTS[[#This Row],[CategoryID]],Πίνακας4[CategoryID],Πίνακας4[CategoryName])</f>
        <v>Confections</v>
      </c>
      <c r="O140">
        <f>_xlfn.XLOOKUP(tbl_FACTS[[#This Row],[ProductID]],Πίνακας7[ProductID],Πίνακας7[SupplierID])</f>
        <v>8</v>
      </c>
      <c r="P140" t="str">
        <f>_xlfn.XLOOKUP(tbl_FACTS[[#This Row],[SupplierID]],Πίνακας9[SupplierID],Πίνακας9[SupplierName])</f>
        <v>Specialty Biscuits, Ltd.</v>
      </c>
      <c r="Q140" s="21">
        <f>_xlfn.XLOOKUP(tbl_FACTS[[#This Row],[ProductID]],Πίνακας7[ProductID],Πίνακας7[Price])</f>
        <v>9</v>
      </c>
      <c r="R140" s="21">
        <f>tbl_FACTS[[#This Row],[Quantity]]*tbl_FACTS[[#This Row],[Price]]</f>
        <v>135</v>
      </c>
      <c r="S140" s="19">
        <f>IF(COUNTIFS(tbl_FACTS[OrderID],tbl_FACTS[[#This Row],[OrderID]],tbl_FACTS[OrderDetailID],"&lt;"&amp;tbl_FACTS[[#This Row],[OrderDetailID]])=0,1,0)</f>
        <v>1</v>
      </c>
      <c r="T140" s="19">
        <f>YEAR(tbl_FACTS[[#This Row],[OrderDate]])</f>
        <v>1996</v>
      </c>
      <c r="U140" s="22">
        <f>DATE(YEAR(tbl_FACTS[[#This Row],[OrderDate]]),MONTH(tbl_FACTS[[#This Row],[OrderDate]]),1)</f>
        <v>35309</v>
      </c>
      <c r="V140" s="22" t="str">
        <f>IF(tbl_FACTS[[#This Row],[Quantity]]&lt;=10,"0–10",IF(tbl_FACTS[[#This Row],[Quantity]]&lt;=20,"11–20",IF(tbl_FACTS[[#This Row],[Quantity]]&lt;=30,"21–30",IF(tbl_FACTS[[#This Row],[Quantity]]&lt;=40,"31–40",IF(tbl_FACTS[[#This Row],[Quantity]]&lt;=50,"41–50","51+")))))</f>
        <v>11–20</v>
      </c>
    </row>
    <row r="141" spans="1:22">
      <c r="A141">
        <v>140</v>
      </c>
      <c r="B141">
        <v>10299</v>
      </c>
      <c r="C141">
        <v>70</v>
      </c>
      <c r="D141" s="19">
        <v>20</v>
      </c>
      <c r="E141" s="20">
        <f>_xlfn.XLOOKUP(tbl_FACTS[[#This Row],[OrderID]],Πίνακας64[OrderID],Πίνακας64[OrderDate])</f>
        <v>35314</v>
      </c>
      <c r="F141">
        <f>_xlfn.XLOOKUP(tbl_FACTS[[#This Row],[OrderID]],Πίνακας64[OrderID],Πίνακας64[CustomerID])</f>
        <v>67</v>
      </c>
      <c r="G141" t="str">
        <f>_xlfn.XLOOKUP(tbl_FACTS[[#This Row],[CustomerID]],Πίνακας1[CustomerID],Πίνακας1[CustomerName])</f>
        <v>Ricardo Adocicados</v>
      </c>
      <c r="H141" t="str">
        <f>_xlfn.XLOOKUP(tbl_FACTS[[#This Row],[CustomerID]],Πίνακας1[CustomerID],Πίνακας1[Country])</f>
        <v>Brazil</v>
      </c>
      <c r="I141">
        <f>_xlfn.XLOOKUP(tbl_FACTS[[#This Row],[OrderID]],Πίνακας64[OrderID],Πίνακας64[EmployeeID])</f>
        <v>4</v>
      </c>
      <c r="J141">
        <f>_xlfn.XLOOKUP(tbl_FACTS[[#This Row],[OrderID]],Πίνακας64[OrderID],Πίνακας64[ShipperID])</f>
        <v>2</v>
      </c>
      <c r="K141" t="str">
        <f>_xlfn.XLOOKUP(tbl_FACTS[[#This Row],[ShipperID]],Πίνακας8[ShipperID],Πίνακας8[ShipperName])</f>
        <v>United Package</v>
      </c>
      <c r="L141" t="str">
        <f>_xlfn.XLOOKUP(tbl_FACTS[[#This Row],[ProductID]],Πίνακας7[ProductID],Πίνακας7[ProductName])</f>
        <v>Outback Lager</v>
      </c>
      <c r="M141">
        <f>_xlfn.XLOOKUP(tbl_FACTS[[#This Row],[ProductID]],Πίνακας7[ProductID],Πίνακας7[CategoryID])</f>
        <v>1</v>
      </c>
      <c r="N141" t="str">
        <f>_xlfn.XLOOKUP(tbl_FACTS[[#This Row],[CategoryID]],Πίνακας4[CategoryID],Πίνακας4[CategoryName])</f>
        <v>Beverages</v>
      </c>
      <c r="O141">
        <f>_xlfn.XLOOKUP(tbl_FACTS[[#This Row],[ProductID]],Πίνακας7[ProductID],Πίνακας7[SupplierID])</f>
        <v>7</v>
      </c>
      <c r="P141" t="str">
        <f>_xlfn.XLOOKUP(tbl_FACTS[[#This Row],[SupplierID]],Πίνακας9[SupplierID],Πίνακας9[SupplierName])</f>
        <v>Pavlova, Ltd.</v>
      </c>
      <c r="Q141" s="21">
        <f>_xlfn.XLOOKUP(tbl_FACTS[[#This Row],[ProductID]],Πίνακας7[ProductID],Πίνακας7[Price])</f>
        <v>15</v>
      </c>
      <c r="R141" s="21">
        <f>tbl_FACTS[[#This Row],[Quantity]]*tbl_FACTS[[#This Row],[Price]]</f>
        <v>300</v>
      </c>
      <c r="S141" s="19">
        <f>IF(COUNTIFS(tbl_FACTS[OrderID],tbl_FACTS[[#This Row],[OrderID]],tbl_FACTS[OrderDetailID],"&lt;"&amp;tbl_FACTS[[#This Row],[OrderDetailID]])=0,1,0)</f>
        <v>0</v>
      </c>
      <c r="T141" s="19">
        <f>YEAR(tbl_FACTS[[#This Row],[OrderDate]])</f>
        <v>1996</v>
      </c>
      <c r="U141" s="22">
        <f>DATE(YEAR(tbl_FACTS[[#This Row],[OrderDate]]),MONTH(tbl_FACTS[[#This Row],[OrderDate]]),1)</f>
        <v>35309</v>
      </c>
      <c r="V141" s="22" t="str">
        <f>IF(tbl_FACTS[[#This Row],[Quantity]]&lt;=10,"0–10",IF(tbl_FACTS[[#This Row],[Quantity]]&lt;=20,"11–20",IF(tbl_FACTS[[#This Row],[Quantity]]&lt;=30,"21–30",IF(tbl_FACTS[[#This Row],[Quantity]]&lt;=40,"31–40",IF(tbl_FACTS[[#This Row],[Quantity]]&lt;=50,"41–50","51+")))))</f>
        <v>11–20</v>
      </c>
    </row>
    <row r="142" spans="1:22">
      <c r="A142">
        <v>141</v>
      </c>
      <c r="B142">
        <v>10300</v>
      </c>
      <c r="C142">
        <v>66</v>
      </c>
      <c r="D142" s="19">
        <v>30</v>
      </c>
      <c r="E142" s="20">
        <f>_xlfn.XLOOKUP(tbl_FACTS[[#This Row],[OrderID]],Πίνακας64[OrderID],Πίνακας64[OrderDate])</f>
        <v>35317</v>
      </c>
      <c r="F142">
        <f>_xlfn.XLOOKUP(tbl_FACTS[[#This Row],[OrderID]],Πίνακας64[OrderID],Πίνακας64[CustomerID])</f>
        <v>49</v>
      </c>
      <c r="G142" t="str">
        <f>_xlfn.XLOOKUP(tbl_FACTS[[#This Row],[CustomerID]],Πίνακας1[CustomerID],Πίνακας1[CustomerName])</f>
        <v>Magazzini Alimentari Riuniti</v>
      </c>
      <c r="H142" t="str">
        <f>_xlfn.XLOOKUP(tbl_FACTS[[#This Row],[CustomerID]],Πίνακας1[CustomerID],Πίνακας1[Country])</f>
        <v>Italy</v>
      </c>
      <c r="I142">
        <f>_xlfn.XLOOKUP(tbl_FACTS[[#This Row],[OrderID]],Πίνακας64[OrderID],Πίνακας64[EmployeeID])</f>
        <v>2</v>
      </c>
      <c r="J142">
        <f>_xlfn.XLOOKUP(tbl_FACTS[[#This Row],[OrderID]],Πίνακας64[OrderID],Πίνακας64[ShipperID])</f>
        <v>2</v>
      </c>
      <c r="K142" t="str">
        <f>_xlfn.XLOOKUP(tbl_FACTS[[#This Row],[ShipperID]],Πίνακας8[ShipperID],Πίνακας8[ShipperName])</f>
        <v>United Package</v>
      </c>
      <c r="L142" t="str">
        <f>_xlfn.XLOOKUP(tbl_FACTS[[#This Row],[ProductID]],Πίνακας7[ProductID],Πίνακας7[ProductName])</f>
        <v>Louisiana Hot Spiced Okra</v>
      </c>
      <c r="M142">
        <f>_xlfn.XLOOKUP(tbl_FACTS[[#This Row],[ProductID]],Πίνακας7[ProductID],Πίνακας7[CategoryID])</f>
        <v>2</v>
      </c>
      <c r="N142" t="str">
        <f>_xlfn.XLOOKUP(tbl_FACTS[[#This Row],[CategoryID]],Πίνακας4[CategoryID],Πίνακας4[CategoryName])</f>
        <v>Condiments</v>
      </c>
      <c r="O142">
        <f>_xlfn.XLOOKUP(tbl_FACTS[[#This Row],[ProductID]],Πίνακας7[ProductID],Πίνακας7[SupplierID])</f>
        <v>2</v>
      </c>
      <c r="P142" t="str">
        <f>_xlfn.XLOOKUP(tbl_FACTS[[#This Row],[SupplierID]],Πίνακας9[SupplierID],Πίνακας9[SupplierName])</f>
        <v>New Orleans Cajun Delights</v>
      </c>
      <c r="Q142" s="21">
        <f>_xlfn.XLOOKUP(tbl_FACTS[[#This Row],[ProductID]],Πίνακας7[ProductID],Πίνακας7[Price])</f>
        <v>17</v>
      </c>
      <c r="R142" s="21">
        <f>tbl_FACTS[[#This Row],[Quantity]]*tbl_FACTS[[#This Row],[Price]]</f>
        <v>510</v>
      </c>
      <c r="S142" s="19">
        <f>IF(COUNTIFS(tbl_FACTS[OrderID],tbl_FACTS[[#This Row],[OrderID]],tbl_FACTS[OrderDetailID],"&lt;"&amp;tbl_FACTS[[#This Row],[OrderDetailID]])=0,1,0)</f>
        <v>1</v>
      </c>
      <c r="T142" s="19">
        <f>YEAR(tbl_FACTS[[#This Row],[OrderDate]])</f>
        <v>1996</v>
      </c>
      <c r="U142" s="22">
        <f>DATE(YEAR(tbl_FACTS[[#This Row],[OrderDate]]),MONTH(tbl_FACTS[[#This Row],[OrderDate]]),1)</f>
        <v>35309</v>
      </c>
      <c r="V142" s="22" t="str">
        <f>IF(tbl_FACTS[[#This Row],[Quantity]]&lt;=10,"0–10",IF(tbl_FACTS[[#This Row],[Quantity]]&lt;=20,"11–20",IF(tbl_FACTS[[#This Row],[Quantity]]&lt;=30,"21–30",IF(tbl_FACTS[[#This Row],[Quantity]]&lt;=40,"31–40",IF(tbl_FACTS[[#This Row],[Quantity]]&lt;=50,"41–50","51+")))))</f>
        <v>21–30</v>
      </c>
    </row>
    <row r="143" spans="1:22">
      <c r="A143">
        <v>142</v>
      </c>
      <c r="B143">
        <v>10300</v>
      </c>
      <c r="C143">
        <v>68</v>
      </c>
      <c r="D143" s="19">
        <v>20</v>
      </c>
      <c r="E143" s="20">
        <f>_xlfn.XLOOKUP(tbl_FACTS[[#This Row],[OrderID]],Πίνακας64[OrderID],Πίνακας64[OrderDate])</f>
        <v>35317</v>
      </c>
      <c r="F143">
        <f>_xlfn.XLOOKUP(tbl_FACTS[[#This Row],[OrderID]],Πίνακας64[OrderID],Πίνακας64[CustomerID])</f>
        <v>49</v>
      </c>
      <c r="G143" t="str">
        <f>_xlfn.XLOOKUP(tbl_FACTS[[#This Row],[CustomerID]],Πίνακας1[CustomerID],Πίνακας1[CustomerName])</f>
        <v>Magazzini Alimentari Riuniti</v>
      </c>
      <c r="H143" t="str">
        <f>_xlfn.XLOOKUP(tbl_FACTS[[#This Row],[CustomerID]],Πίνακας1[CustomerID],Πίνακας1[Country])</f>
        <v>Italy</v>
      </c>
      <c r="I143">
        <f>_xlfn.XLOOKUP(tbl_FACTS[[#This Row],[OrderID]],Πίνακας64[OrderID],Πίνακας64[EmployeeID])</f>
        <v>2</v>
      </c>
      <c r="J143">
        <f>_xlfn.XLOOKUP(tbl_FACTS[[#This Row],[OrderID]],Πίνακας64[OrderID],Πίνακας64[ShipperID])</f>
        <v>2</v>
      </c>
      <c r="K143" t="str">
        <f>_xlfn.XLOOKUP(tbl_FACTS[[#This Row],[ShipperID]],Πίνακας8[ShipperID],Πίνακας8[ShipperName])</f>
        <v>United Package</v>
      </c>
      <c r="L143" t="str">
        <f>_xlfn.XLOOKUP(tbl_FACTS[[#This Row],[ProductID]],Πίνακας7[ProductID],Πίνακας7[ProductName])</f>
        <v>Scottish Longbreads</v>
      </c>
      <c r="M143">
        <f>_xlfn.XLOOKUP(tbl_FACTS[[#This Row],[ProductID]],Πίνακας7[ProductID],Πίνακας7[CategoryID])</f>
        <v>3</v>
      </c>
      <c r="N143" t="str">
        <f>_xlfn.XLOOKUP(tbl_FACTS[[#This Row],[CategoryID]],Πίνακας4[CategoryID],Πίνακας4[CategoryName])</f>
        <v>Confections</v>
      </c>
      <c r="O143">
        <f>_xlfn.XLOOKUP(tbl_FACTS[[#This Row],[ProductID]],Πίνακας7[ProductID],Πίνακας7[SupplierID])</f>
        <v>8</v>
      </c>
      <c r="P143" t="str">
        <f>_xlfn.XLOOKUP(tbl_FACTS[[#This Row],[SupplierID]],Πίνακας9[SupplierID],Πίνακας9[SupplierName])</f>
        <v>Specialty Biscuits, Ltd.</v>
      </c>
      <c r="Q143" s="21">
        <f>_xlfn.XLOOKUP(tbl_FACTS[[#This Row],[ProductID]],Πίνακας7[ProductID],Πίνακας7[Price])</f>
        <v>13</v>
      </c>
      <c r="R143" s="21">
        <f>tbl_FACTS[[#This Row],[Quantity]]*tbl_FACTS[[#This Row],[Price]]</f>
        <v>260</v>
      </c>
      <c r="S143" s="19">
        <f>IF(COUNTIFS(tbl_FACTS[OrderID],tbl_FACTS[[#This Row],[OrderID]],tbl_FACTS[OrderDetailID],"&lt;"&amp;tbl_FACTS[[#This Row],[OrderDetailID]])=0,1,0)</f>
        <v>0</v>
      </c>
      <c r="T143" s="19">
        <f>YEAR(tbl_FACTS[[#This Row],[OrderDate]])</f>
        <v>1996</v>
      </c>
      <c r="U143" s="22">
        <f>DATE(YEAR(tbl_FACTS[[#This Row],[OrderDate]]),MONTH(tbl_FACTS[[#This Row],[OrderDate]]),1)</f>
        <v>35309</v>
      </c>
      <c r="V143" s="22" t="str">
        <f>IF(tbl_FACTS[[#This Row],[Quantity]]&lt;=10,"0–10",IF(tbl_FACTS[[#This Row],[Quantity]]&lt;=20,"11–20",IF(tbl_FACTS[[#This Row],[Quantity]]&lt;=30,"21–30",IF(tbl_FACTS[[#This Row],[Quantity]]&lt;=40,"31–40",IF(tbl_FACTS[[#This Row],[Quantity]]&lt;=50,"41–50","51+")))))</f>
        <v>11–20</v>
      </c>
    </row>
    <row r="144" spans="1:22">
      <c r="A144">
        <v>143</v>
      </c>
      <c r="B144">
        <v>10301</v>
      </c>
      <c r="C144">
        <v>40</v>
      </c>
      <c r="D144" s="19">
        <v>10</v>
      </c>
      <c r="E144" s="20">
        <f>_xlfn.XLOOKUP(tbl_FACTS[[#This Row],[OrderID]],Πίνακας64[OrderID],Πίνακας64[OrderDate])</f>
        <v>35317</v>
      </c>
      <c r="F144">
        <f>_xlfn.XLOOKUP(tbl_FACTS[[#This Row],[OrderID]],Πίνακας64[OrderID],Πίνακας64[CustomerID])</f>
        <v>86</v>
      </c>
      <c r="G144" t="str">
        <f>_xlfn.XLOOKUP(tbl_FACTS[[#This Row],[CustomerID]],Πίνακας1[CustomerID],Πίνακας1[CustomerName])</f>
        <v>Die Wandernde Kuh</v>
      </c>
      <c r="H144" t="str">
        <f>_xlfn.XLOOKUP(tbl_FACTS[[#This Row],[CustomerID]],Πίνακας1[CustomerID],Πίνακας1[Country])</f>
        <v>Germany</v>
      </c>
      <c r="I144">
        <f>_xlfn.XLOOKUP(tbl_FACTS[[#This Row],[OrderID]],Πίνακας64[OrderID],Πίνακας64[EmployeeID])</f>
        <v>8</v>
      </c>
      <c r="J144">
        <f>_xlfn.XLOOKUP(tbl_FACTS[[#This Row],[OrderID]],Πίνακας64[OrderID],Πίνακας64[ShipperID])</f>
        <v>2</v>
      </c>
      <c r="K144" t="str">
        <f>_xlfn.XLOOKUP(tbl_FACTS[[#This Row],[ShipperID]],Πίνακας8[ShipperID],Πίνακας8[ShipperName])</f>
        <v>United Package</v>
      </c>
      <c r="L144" t="str">
        <f>_xlfn.XLOOKUP(tbl_FACTS[[#This Row],[ProductID]],Πίνακας7[ProductID],Πίνακας7[ProductName])</f>
        <v>Boston Crab Meat</v>
      </c>
      <c r="M144">
        <f>_xlfn.XLOOKUP(tbl_FACTS[[#This Row],[ProductID]],Πίνακας7[ProductID],Πίνακας7[CategoryID])</f>
        <v>8</v>
      </c>
      <c r="N144" t="str">
        <f>_xlfn.XLOOKUP(tbl_FACTS[[#This Row],[CategoryID]],Πίνακας4[CategoryID],Πίνακας4[CategoryName])</f>
        <v>Seafood</v>
      </c>
      <c r="O144">
        <f>_xlfn.XLOOKUP(tbl_FACTS[[#This Row],[ProductID]],Πίνακας7[ProductID],Πίνακας7[SupplierID])</f>
        <v>19</v>
      </c>
      <c r="P144" t="str">
        <f>_xlfn.XLOOKUP(tbl_FACTS[[#This Row],[SupplierID]],Πίνακας9[SupplierID],Πίνακας9[SupplierName])</f>
        <v>New England Seafood Cannery</v>
      </c>
      <c r="Q144" s="21">
        <f>_xlfn.XLOOKUP(tbl_FACTS[[#This Row],[ProductID]],Πίνακας7[ProductID],Πίνακας7[Price])</f>
        <v>18</v>
      </c>
      <c r="R144" s="21">
        <f>tbl_FACTS[[#This Row],[Quantity]]*tbl_FACTS[[#This Row],[Price]]</f>
        <v>180</v>
      </c>
      <c r="S144" s="19">
        <f>IF(COUNTIFS(tbl_FACTS[OrderID],tbl_FACTS[[#This Row],[OrderID]],tbl_FACTS[OrderDetailID],"&lt;"&amp;tbl_FACTS[[#This Row],[OrderDetailID]])=0,1,0)</f>
        <v>1</v>
      </c>
      <c r="T144" s="19">
        <f>YEAR(tbl_FACTS[[#This Row],[OrderDate]])</f>
        <v>1996</v>
      </c>
      <c r="U144" s="22">
        <f>DATE(YEAR(tbl_FACTS[[#This Row],[OrderDate]]),MONTH(tbl_FACTS[[#This Row],[OrderDate]]),1)</f>
        <v>35309</v>
      </c>
      <c r="V144" s="22" t="str">
        <f>IF(tbl_FACTS[[#This Row],[Quantity]]&lt;=10,"0–10",IF(tbl_FACTS[[#This Row],[Quantity]]&lt;=20,"11–20",IF(tbl_FACTS[[#This Row],[Quantity]]&lt;=30,"21–30",IF(tbl_FACTS[[#This Row],[Quantity]]&lt;=40,"31–40",IF(tbl_FACTS[[#This Row],[Quantity]]&lt;=50,"41–50","51+")))))</f>
        <v>0–10</v>
      </c>
    </row>
    <row r="145" spans="1:22">
      <c r="A145">
        <v>144</v>
      </c>
      <c r="B145">
        <v>10301</v>
      </c>
      <c r="C145">
        <v>56</v>
      </c>
      <c r="D145" s="19">
        <v>20</v>
      </c>
      <c r="E145" s="20">
        <f>_xlfn.XLOOKUP(tbl_FACTS[[#This Row],[OrderID]],Πίνακας64[OrderID],Πίνακας64[OrderDate])</f>
        <v>35317</v>
      </c>
      <c r="F145">
        <f>_xlfn.XLOOKUP(tbl_FACTS[[#This Row],[OrderID]],Πίνακας64[OrderID],Πίνακας64[CustomerID])</f>
        <v>86</v>
      </c>
      <c r="G145" t="str">
        <f>_xlfn.XLOOKUP(tbl_FACTS[[#This Row],[CustomerID]],Πίνακας1[CustomerID],Πίνακας1[CustomerName])</f>
        <v>Die Wandernde Kuh</v>
      </c>
      <c r="H145" t="str">
        <f>_xlfn.XLOOKUP(tbl_FACTS[[#This Row],[CustomerID]],Πίνακας1[CustomerID],Πίνακας1[Country])</f>
        <v>Germany</v>
      </c>
      <c r="I145">
        <f>_xlfn.XLOOKUP(tbl_FACTS[[#This Row],[OrderID]],Πίνακας64[OrderID],Πίνακας64[EmployeeID])</f>
        <v>8</v>
      </c>
      <c r="J145">
        <f>_xlfn.XLOOKUP(tbl_FACTS[[#This Row],[OrderID]],Πίνακας64[OrderID],Πίνακας64[ShipperID])</f>
        <v>2</v>
      </c>
      <c r="K145" t="str">
        <f>_xlfn.XLOOKUP(tbl_FACTS[[#This Row],[ShipperID]],Πίνακας8[ShipperID],Πίνακας8[ShipperName])</f>
        <v>United Package</v>
      </c>
      <c r="L145" t="str">
        <f>_xlfn.XLOOKUP(tbl_FACTS[[#This Row],[ProductID]],Πίνακας7[ProductID],Πίνακας7[ProductName])</f>
        <v>Gnocchi di nonna Alice</v>
      </c>
      <c r="M145">
        <f>_xlfn.XLOOKUP(tbl_FACTS[[#This Row],[ProductID]],Πίνακας7[ProductID],Πίνακας7[CategoryID])</f>
        <v>5</v>
      </c>
      <c r="N145" t="str">
        <f>_xlfn.XLOOKUP(tbl_FACTS[[#This Row],[CategoryID]],Πίνακας4[CategoryID],Πίνακας4[CategoryName])</f>
        <v>Grains/Cereals</v>
      </c>
      <c r="O145">
        <f>_xlfn.XLOOKUP(tbl_FACTS[[#This Row],[ProductID]],Πίνακας7[ProductID],Πίνακας7[SupplierID])</f>
        <v>26</v>
      </c>
      <c r="P145" t="str">
        <f>_xlfn.XLOOKUP(tbl_FACTS[[#This Row],[SupplierID]],Πίνακας9[SupplierID],Πίνακας9[SupplierName])</f>
        <v>Pasta Buttini s.r.l.</v>
      </c>
      <c r="Q145" s="21">
        <f>_xlfn.XLOOKUP(tbl_FACTS[[#This Row],[ProductID]],Πίνακας7[ProductID],Πίνακας7[Price])</f>
        <v>38</v>
      </c>
      <c r="R145" s="21">
        <f>tbl_FACTS[[#This Row],[Quantity]]*tbl_FACTS[[#This Row],[Price]]</f>
        <v>760</v>
      </c>
      <c r="S145" s="19">
        <f>IF(COUNTIFS(tbl_FACTS[OrderID],tbl_FACTS[[#This Row],[OrderID]],tbl_FACTS[OrderDetailID],"&lt;"&amp;tbl_FACTS[[#This Row],[OrderDetailID]])=0,1,0)</f>
        <v>0</v>
      </c>
      <c r="T145" s="19">
        <f>YEAR(tbl_FACTS[[#This Row],[OrderDate]])</f>
        <v>1996</v>
      </c>
      <c r="U145" s="22">
        <f>DATE(YEAR(tbl_FACTS[[#This Row],[OrderDate]]),MONTH(tbl_FACTS[[#This Row],[OrderDate]]),1)</f>
        <v>35309</v>
      </c>
      <c r="V145" s="22" t="str">
        <f>IF(tbl_FACTS[[#This Row],[Quantity]]&lt;=10,"0–10",IF(tbl_FACTS[[#This Row],[Quantity]]&lt;=20,"11–20",IF(tbl_FACTS[[#This Row],[Quantity]]&lt;=30,"21–30",IF(tbl_FACTS[[#This Row],[Quantity]]&lt;=40,"31–40",IF(tbl_FACTS[[#This Row],[Quantity]]&lt;=50,"41–50","51+")))))</f>
        <v>11–20</v>
      </c>
    </row>
    <row r="146" spans="1:22">
      <c r="A146">
        <v>145</v>
      </c>
      <c r="B146">
        <v>10302</v>
      </c>
      <c r="C146">
        <v>17</v>
      </c>
      <c r="D146" s="19">
        <v>40</v>
      </c>
      <c r="E146" s="20">
        <f>_xlfn.XLOOKUP(tbl_FACTS[[#This Row],[OrderID]],Πίνακας64[OrderID],Πίνακας64[OrderDate])</f>
        <v>35318</v>
      </c>
      <c r="F146">
        <f>_xlfn.XLOOKUP(tbl_FACTS[[#This Row],[OrderID]],Πίνακας64[OrderID],Πίνακας64[CustomerID])</f>
        <v>76</v>
      </c>
      <c r="G146" t="str">
        <f>_xlfn.XLOOKUP(tbl_FACTS[[#This Row],[CustomerID]],Πίνακας1[CustomerID],Πίνακας1[CustomerName])</f>
        <v>Supremes delices</v>
      </c>
      <c r="H146" t="str">
        <f>_xlfn.XLOOKUP(tbl_FACTS[[#This Row],[CustomerID]],Πίνακας1[CustomerID],Πίνακας1[Country])</f>
        <v>Belgium</v>
      </c>
      <c r="I146">
        <f>_xlfn.XLOOKUP(tbl_FACTS[[#This Row],[OrderID]],Πίνακας64[OrderID],Πίνακας64[EmployeeID])</f>
        <v>4</v>
      </c>
      <c r="J146">
        <f>_xlfn.XLOOKUP(tbl_FACTS[[#This Row],[OrderID]],Πίνακας64[OrderID],Πίνακας64[ShipperID])</f>
        <v>2</v>
      </c>
      <c r="K146" t="str">
        <f>_xlfn.XLOOKUP(tbl_FACTS[[#This Row],[ShipperID]],Πίνακας8[ShipperID],Πίνακας8[ShipperName])</f>
        <v>United Package</v>
      </c>
      <c r="L146" t="str">
        <f>_xlfn.XLOOKUP(tbl_FACTS[[#This Row],[ProductID]],Πίνακας7[ProductID],Πίνακας7[ProductName])</f>
        <v>Alice Mutton</v>
      </c>
      <c r="M146">
        <f>_xlfn.XLOOKUP(tbl_FACTS[[#This Row],[ProductID]],Πίνακας7[ProductID],Πίνακας7[CategoryID])</f>
        <v>6</v>
      </c>
      <c r="N146" t="str">
        <f>_xlfn.XLOOKUP(tbl_FACTS[[#This Row],[CategoryID]],Πίνακας4[CategoryID],Πίνακας4[CategoryName])</f>
        <v>Meat/Poultry</v>
      </c>
      <c r="O146">
        <f>_xlfn.XLOOKUP(tbl_FACTS[[#This Row],[ProductID]],Πίνακας7[ProductID],Πίνακας7[SupplierID])</f>
        <v>7</v>
      </c>
      <c r="P146" t="str">
        <f>_xlfn.XLOOKUP(tbl_FACTS[[#This Row],[SupplierID]],Πίνακας9[SupplierID],Πίνακας9[SupplierName])</f>
        <v>Pavlova, Ltd.</v>
      </c>
      <c r="Q146" s="21">
        <f>_xlfn.XLOOKUP(tbl_FACTS[[#This Row],[ProductID]],Πίνακας7[ProductID],Πίνακας7[Price])</f>
        <v>39</v>
      </c>
      <c r="R146" s="21">
        <f>tbl_FACTS[[#This Row],[Quantity]]*tbl_FACTS[[#This Row],[Price]]</f>
        <v>1560</v>
      </c>
      <c r="S146" s="19">
        <f>IF(COUNTIFS(tbl_FACTS[OrderID],tbl_FACTS[[#This Row],[OrderID]],tbl_FACTS[OrderDetailID],"&lt;"&amp;tbl_FACTS[[#This Row],[OrderDetailID]])=0,1,0)</f>
        <v>1</v>
      </c>
      <c r="T146" s="19">
        <f>YEAR(tbl_FACTS[[#This Row],[OrderDate]])</f>
        <v>1996</v>
      </c>
      <c r="U146" s="22">
        <f>DATE(YEAR(tbl_FACTS[[#This Row],[OrderDate]]),MONTH(tbl_FACTS[[#This Row],[OrderDate]]),1)</f>
        <v>35309</v>
      </c>
      <c r="V146" s="22" t="str">
        <f>IF(tbl_FACTS[[#This Row],[Quantity]]&lt;=10,"0–10",IF(tbl_FACTS[[#This Row],[Quantity]]&lt;=20,"11–20",IF(tbl_FACTS[[#This Row],[Quantity]]&lt;=30,"21–30",IF(tbl_FACTS[[#This Row],[Quantity]]&lt;=40,"31–40",IF(tbl_FACTS[[#This Row],[Quantity]]&lt;=50,"41–50","51+")))))</f>
        <v>31–40</v>
      </c>
    </row>
    <row r="147" spans="1:22">
      <c r="A147">
        <v>146</v>
      </c>
      <c r="B147">
        <v>10302</v>
      </c>
      <c r="C147">
        <v>28</v>
      </c>
      <c r="D147" s="19">
        <v>28</v>
      </c>
      <c r="E147" s="20">
        <f>_xlfn.XLOOKUP(tbl_FACTS[[#This Row],[OrderID]],Πίνακας64[OrderID],Πίνακας64[OrderDate])</f>
        <v>35318</v>
      </c>
      <c r="F147">
        <f>_xlfn.XLOOKUP(tbl_FACTS[[#This Row],[OrderID]],Πίνακας64[OrderID],Πίνακας64[CustomerID])</f>
        <v>76</v>
      </c>
      <c r="G147" t="str">
        <f>_xlfn.XLOOKUP(tbl_FACTS[[#This Row],[CustomerID]],Πίνακας1[CustomerID],Πίνακας1[CustomerName])</f>
        <v>Supremes delices</v>
      </c>
      <c r="H147" t="str">
        <f>_xlfn.XLOOKUP(tbl_FACTS[[#This Row],[CustomerID]],Πίνακας1[CustomerID],Πίνακας1[Country])</f>
        <v>Belgium</v>
      </c>
      <c r="I147">
        <f>_xlfn.XLOOKUP(tbl_FACTS[[#This Row],[OrderID]],Πίνακας64[OrderID],Πίνακας64[EmployeeID])</f>
        <v>4</v>
      </c>
      <c r="J147">
        <f>_xlfn.XLOOKUP(tbl_FACTS[[#This Row],[OrderID]],Πίνακας64[OrderID],Πίνακας64[ShipperID])</f>
        <v>2</v>
      </c>
      <c r="K147" t="str">
        <f>_xlfn.XLOOKUP(tbl_FACTS[[#This Row],[ShipperID]],Πίνακας8[ShipperID],Πίνακας8[ShipperName])</f>
        <v>United Package</v>
      </c>
      <c r="L147" t="str">
        <f>_xlfn.XLOOKUP(tbl_FACTS[[#This Row],[ProductID]],Πίνακας7[ProductID],Πίνακας7[ProductName])</f>
        <v>Rossle Sauerkraut</v>
      </c>
      <c r="M147">
        <f>_xlfn.XLOOKUP(tbl_FACTS[[#This Row],[ProductID]],Πίνακας7[ProductID],Πίνακας7[CategoryID])</f>
        <v>7</v>
      </c>
      <c r="N147" t="str">
        <f>_xlfn.XLOOKUP(tbl_FACTS[[#This Row],[CategoryID]],Πίνακας4[CategoryID],Πίνακας4[CategoryName])</f>
        <v>Produce</v>
      </c>
      <c r="O147">
        <f>_xlfn.XLOOKUP(tbl_FACTS[[#This Row],[ProductID]],Πίνακας7[ProductID],Πίνακας7[SupplierID])</f>
        <v>12</v>
      </c>
      <c r="P147" t="str">
        <f>_xlfn.XLOOKUP(tbl_FACTS[[#This Row],[SupplierID]],Πίνακας9[SupplierID],Πίνακας9[SupplierName])</f>
        <v>Plutzer Lebensmittelgro├ƒmarkte AG</v>
      </c>
      <c r="Q147" s="21">
        <f>_xlfn.XLOOKUP(tbl_FACTS[[#This Row],[ProductID]],Πίνακας7[ProductID],Πίνακας7[Price])</f>
        <v>46</v>
      </c>
      <c r="R147" s="21">
        <f>tbl_FACTS[[#This Row],[Quantity]]*tbl_FACTS[[#This Row],[Price]]</f>
        <v>1288</v>
      </c>
      <c r="S147" s="19">
        <f>IF(COUNTIFS(tbl_FACTS[OrderID],tbl_FACTS[[#This Row],[OrderID]],tbl_FACTS[OrderDetailID],"&lt;"&amp;tbl_FACTS[[#This Row],[OrderDetailID]])=0,1,0)</f>
        <v>0</v>
      </c>
      <c r="T147" s="19">
        <f>YEAR(tbl_FACTS[[#This Row],[OrderDate]])</f>
        <v>1996</v>
      </c>
      <c r="U147" s="22">
        <f>DATE(YEAR(tbl_FACTS[[#This Row],[OrderDate]]),MONTH(tbl_FACTS[[#This Row],[OrderDate]]),1)</f>
        <v>35309</v>
      </c>
      <c r="V147" s="22" t="str">
        <f>IF(tbl_FACTS[[#This Row],[Quantity]]&lt;=10,"0–10",IF(tbl_FACTS[[#This Row],[Quantity]]&lt;=20,"11–20",IF(tbl_FACTS[[#This Row],[Quantity]]&lt;=30,"21–30",IF(tbl_FACTS[[#This Row],[Quantity]]&lt;=40,"31–40",IF(tbl_FACTS[[#This Row],[Quantity]]&lt;=50,"41–50","51+")))))</f>
        <v>21–30</v>
      </c>
    </row>
    <row r="148" spans="1:22">
      <c r="A148">
        <v>147</v>
      </c>
      <c r="B148">
        <v>10302</v>
      </c>
      <c r="C148">
        <v>43</v>
      </c>
      <c r="D148" s="19">
        <v>12</v>
      </c>
      <c r="E148" s="20">
        <f>_xlfn.XLOOKUP(tbl_FACTS[[#This Row],[OrderID]],Πίνακας64[OrderID],Πίνακας64[OrderDate])</f>
        <v>35318</v>
      </c>
      <c r="F148">
        <f>_xlfn.XLOOKUP(tbl_FACTS[[#This Row],[OrderID]],Πίνακας64[OrderID],Πίνακας64[CustomerID])</f>
        <v>76</v>
      </c>
      <c r="G148" t="str">
        <f>_xlfn.XLOOKUP(tbl_FACTS[[#This Row],[CustomerID]],Πίνακας1[CustomerID],Πίνακας1[CustomerName])</f>
        <v>Supremes delices</v>
      </c>
      <c r="H148" t="str">
        <f>_xlfn.XLOOKUP(tbl_FACTS[[#This Row],[CustomerID]],Πίνακας1[CustomerID],Πίνακας1[Country])</f>
        <v>Belgium</v>
      </c>
      <c r="I148">
        <f>_xlfn.XLOOKUP(tbl_FACTS[[#This Row],[OrderID]],Πίνακας64[OrderID],Πίνακας64[EmployeeID])</f>
        <v>4</v>
      </c>
      <c r="J148">
        <f>_xlfn.XLOOKUP(tbl_FACTS[[#This Row],[OrderID]],Πίνακας64[OrderID],Πίνακας64[ShipperID])</f>
        <v>2</v>
      </c>
      <c r="K148" t="str">
        <f>_xlfn.XLOOKUP(tbl_FACTS[[#This Row],[ShipperID]],Πίνακας8[ShipperID],Πίνακας8[ShipperName])</f>
        <v>United Package</v>
      </c>
      <c r="L148" t="str">
        <f>_xlfn.XLOOKUP(tbl_FACTS[[#This Row],[ProductID]],Πίνακας7[ProductID],Πίνακας7[ProductName])</f>
        <v>Ipoh Coffee</v>
      </c>
      <c r="M148">
        <f>_xlfn.XLOOKUP(tbl_FACTS[[#This Row],[ProductID]],Πίνακας7[ProductID],Πίνακας7[CategoryID])</f>
        <v>1</v>
      </c>
      <c r="N148" t="str">
        <f>_xlfn.XLOOKUP(tbl_FACTS[[#This Row],[CategoryID]],Πίνακας4[CategoryID],Πίνακας4[CategoryName])</f>
        <v>Beverages</v>
      </c>
      <c r="O148">
        <f>_xlfn.XLOOKUP(tbl_FACTS[[#This Row],[ProductID]],Πίνακας7[ProductID],Πίνακας7[SupplierID])</f>
        <v>20</v>
      </c>
      <c r="P148" t="str">
        <f>_xlfn.XLOOKUP(tbl_FACTS[[#This Row],[SupplierID]],Πίνακας9[SupplierID],Πίνακας9[SupplierName])</f>
        <v>Leka Trading</v>
      </c>
      <c r="Q148" s="21">
        <f>_xlfn.XLOOKUP(tbl_FACTS[[#This Row],[ProductID]],Πίνακας7[ProductID],Πίνακας7[Price])</f>
        <v>46</v>
      </c>
      <c r="R148" s="21">
        <f>tbl_FACTS[[#This Row],[Quantity]]*tbl_FACTS[[#This Row],[Price]]</f>
        <v>552</v>
      </c>
      <c r="S148" s="19">
        <f>IF(COUNTIFS(tbl_FACTS[OrderID],tbl_FACTS[[#This Row],[OrderID]],tbl_FACTS[OrderDetailID],"&lt;"&amp;tbl_FACTS[[#This Row],[OrderDetailID]])=0,1,0)</f>
        <v>0</v>
      </c>
      <c r="T148" s="19">
        <f>YEAR(tbl_FACTS[[#This Row],[OrderDate]])</f>
        <v>1996</v>
      </c>
      <c r="U148" s="22">
        <f>DATE(YEAR(tbl_FACTS[[#This Row],[OrderDate]]),MONTH(tbl_FACTS[[#This Row],[OrderDate]]),1)</f>
        <v>35309</v>
      </c>
      <c r="V148" s="22" t="str">
        <f>IF(tbl_FACTS[[#This Row],[Quantity]]&lt;=10,"0–10",IF(tbl_FACTS[[#This Row],[Quantity]]&lt;=20,"11–20",IF(tbl_FACTS[[#This Row],[Quantity]]&lt;=30,"21–30",IF(tbl_FACTS[[#This Row],[Quantity]]&lt;=40,"31–40",IF(tbl_FACTS[[#This Row],[Quantity]]&lt;=50,"41–50","51+")))))</f>
        <v>11–20</v>
      </c>
    </row>
    <row r="149" spans="1:22">
      <c r="A149">
        <v>148</v>
      </c>
      <c r="B149">
        <v>10303</v>
      </c>
      <c r="C149">
        <v>40</v>
      </c>
      <c r="D149" s="19">
        <v>40</v>
      </c>
      <c r="E149" s="20">
        <f>_xlfn.XLOOKUP(tbl_FACTS[[#This Row],[OrderID]],Πίνακας64[OrderID],Πίνακας64[OrderDate])</f>
        <v>35319</v>
      </c>
      <c r="F149">
        <f>_xlfn.XLOOKUP(tbl_FACTS[[#This Row],[OrderID]],Πίνακας64[OrderID],Πίνακας64[CustomerID])</f>
        <v>30</v>
      </c>
      <c r="G149" t="str">
        <f>_xlfn.XLOOKUP(tbl_FACTS[[#This Row],[CustomerID]],Πίνακας1[CustomerID],Πίνακας1[CustomerName])</f>
        <v>Godos Cocina Tipica</v>
      </c>
      <c r="H149" t="str">
        <f>_xlfn.XLOOKUP(tbl_FACTS[[#This Row],[CustomerID]],Πίνακας1[CustomerID],Πίνακας1[Country])</f>
        <v>Spain</v>
      </c>
      <c r="I149">
        <f>_xlfn.XLOOKUP(tbl_FACTS[[#This Row],[OrderID]],Πίνακας64[OrderID],Πίνακας64[EmployeeID])</f>
        <v>7</v>
      </c>
      <c r="J149">
        <f>_xlfn.XLOOKUP(tbl_FACTS[[#This Row],[OrderID]],Πίνακας64[OrderID],Πίνακας64[ShipperID])</f>
        <v>2</v>
      </c>
      <c r="K149" t="str">
        <f>_xlfn.XLOOKUP(tbl_FACTS[[#This Row],[ShipperID]],Πίνακας8[ShipperID],Πίνακας8[ShipperName])</f>
        <v>United Package</v>
      </c>
      <c r="L149" t="str">
        <f>_xlfn.XLOOKUP(tbl_FACTS[[#This Row],[ProductID]],Πίνακας7[ProductID],Πίνακας7[ProductName])</f>
        <v>Boston Crab Meat</v>
      </c>
      <c r="M149">
        <f>_xlfn.XLOOKUP(tbl_FACTS[[#This Row],[ProductID]],Πίνακας7[ProductID],Πίνακας7[CategoryID])</f>
        <v>8</v>
      </c>
      <c r="N149" t="str">
        <f>_xlfn.XLOOKUP(tbl_FACTS[[#This Row],[CategoryID]],Πίνακας4[CategoryID],Πίνακας4[CategoryName])</f>
        <v>Seafood</v>
      </c>
      <c r="O149">
        <f>_xlfn.XLOOKUP(tbl_FACTS[[#This Row],[ProductID]],Πίνακας7[ProductID],Πίνακας7[SupplierID])</f>
        <v>19</v>
      </c>
      <c r="P149" t="str">
        <f>_xlfn.XLOOKUP(tbl_FACTS[[#This Row],[SupplierID]],Πίνακας9[SupplierID],Πίνακας9[SupplierName])</f>
        <v>New England Seafood Cannery</v>
      </c>
      <c r="Q149" s="21">
        <f>_xlfn.XLOOKUP(tbl_FACTS[[#This Row],[ProductID]],Πίνακας7[ProductID],Πίνακας7[Price])</f>
        <v>18</v>
      </c>
      <c r="R149" s="21">
        <f>tbl_FACTS[[#This Row],[Quantity]]*tbl_FACTS[[#This Row],[Price]]</f>
        <v>720</v>
      </c>
      <c r="S149" s="19">
        <f>IF(COUNTIFS(tbl_FACTS[OrderID],tbl_FACTS[[#This Row],[OrderID]],tbl_FACTS[OrderDetailID],"&lt;"&amp;tbl_FACTS[[#This Row],[OrderDetailID]])=0,1,0)</f>
        <v>1</v>
      </c>
      <c r="T149" s="19">
        <f>YEAR(tbl_FACTS[[#This Row],[OrderDate]])</f>
        <v>1996</v>
      </c>
      <c r="U149" s="22">
        <f>DATE(YEAR(tbl_FACTS[[#This Row],[OrderDate]]),MONTH(tbl_FACTS[[#This Row],[OrderDate]]),1)</f>
        <v>35309</v>
      </c>
      <c r="V149" s="22" t="str">
        <f>IF(tbl_FACTS[[#This Row],[Quantity]]&lt;=10,"0–10",IF(tbl_FACTS[[#This Row],[Quantity]]&lt;=20,"11–20",IF(tbl_FACTS[[#This Row],[Quantity]]&lt;=30,"21–30",IF(tbl_FACTS[[#This Row],[Quantity]]&lt;=40,"31–40",IF(tbl_FACTS[[#This Row],[Quantity]]&lt;=50,"41–50","51+")))))</f>
        <v>31–40</v>
      </c>
    </row>
    <row r="150" spans="1:22">
      <c r="A150">
        <v>149</v>
      </c>
      <c r="B150">
        <v>10303</v>
      </c>
      <c r="C150">
        <v>65</v>
      </c>
      <c r="D150" s="19">
        <v>30</v>
      </c>
      <c r="E150" s="20">
        <f>_xlfn.XLOOKUP(tbl_FACTS[[#This Row],[OrderID]],Πίνακας64[OrderID],Πίνακας64[OrderDate])</f>
        <v>35319</v>
      </c>
      <c r="F150">
        <f>_xlfn.XLOOKUP(tbl_FACTS[[#This Row],[OrderID]],Πίνακας64[OrderID],Πίνακας64[CustomerID])</f>
        <v>30</v>
      </c>
      <c r="G150" t="str">
        <f>_xlfn.XLOOKUP(tbl_FACTS[[#This Row],[CustomerID]],Πίνακας1[CustomerID],Πίνακας1[CustomerName])</f>
        <v>Godos Cocina Tipica</v>
      </c>
      <c r="H150" t="str">
        <f>_xlfn.XLOOKUP(tbl_FACTS[[#This Row],[CustomerID]],Πίνακας1[CustomerID],Πίνακας1[Country])</f>
        <v>Spain</v>
      </c>
      <c r="I150">
        <f>_xlfn.XLOOKUP(tbl_FACTS[[#This Row],[OrderID]],Πίνακας64[OrderID],Πίνακας64[EmployeeID])</f>
        <v>7</v>
      </c>
      <c r="J150">
        <f>_xlfn.XLOOKUP(tbl_FACTS[[#This Row],[OrderID]],Πίνακας64[OrderID],Πίνακας64[ShipperID])</f>
        <v>2</v>
      </c>
      <c r="K150" t="str">
        <f>_xlfn.XLOOKUP(tbl_FACTS[[#This Row],[ShipperID]],Πίνακας8[ShipperID],Πίνακας8[ShipperName])</f>
        <v>United Package</v>
      </c>
      <c r="L150" t="str">
        <f>_xlfn.XLOOKUP(tbl_FACTS[[#This Row],[ProductID]],Πίνακας7[ProductID],Πίνακας7[ProductName])</f>
        <v>Louisiana Fiery Hot Pepper Sauce</v>
      </c>
      <c r="M150">
        <f>_xlfn.XLOOKUP(tbl_FACTS[[#This Row],[ProductID]],Πίνακας7[ProductID],Πίνακας7[CategoryID])</f>
        <v>2</v>
      </c>
      <c r="N150" t="str">
        <f>_xlfn.XLOOKUP(tbl_FACTS[[#This Row],[CategoryID]],Πίνακας4[CategoryID],Πίνακας4[CategoryName])</f>
        <v>Condiments</v>
      </c>
      <c r="O150">
        <f>_xlfn.XLOOKUP(tbl_FACTS[[#This Row],[ProductID]],Πίνακας7[ProductID],Πίνακας7[SupplierID])</f>
        <v>2</v>
      </c>
      <c r="P150" t="str">
        <f>_xlfn.XLOOKUP(tbl_FACTS[[#This Row],[SupplierID]],Πίνακας9[SupplierID],Πίνακας9[SupplierName])</f>
        <v>New Orleans Cajun Delights</v>
      </c>
      <c r="Q150" s="21">
        <f>_xlfn.XLOOKUP(tbl_FACTS[[#This Row],[ProductID]],Πίνακας7[ProductID],Πίνακας7[Price])</f>
        <v>21</v>
      </c>
      <c r="R150" s="21">
        <f>tbl_FACTS[[#This Row],[Quantity]]*tbl_FACTS[[#This Row],[Price]]</f>
        <v>630</v>
      </c>
      <c r="S150" s="19">
        <f>IF(COUNTIFS(tbl_FACTS[OrderID],tbl_FACTS[[#This Row],[OrderID]],tbl_FACTS[OrderDetailID],"&lt;"&amp;tbl_FACTS[[#This Row],[OrderDetailID]])=0,1,0)</f>
        <v>0</v>
      </c>
      <c r="T150" s="19">
        <f>YEAR(tbl_FACTS[[#This Row],[OrderDate]])</f>
        <v>1996</v>
      </c>
      <c r="U150" s="22">
        <f>DATE(YEAR(tbl_FACTS[[#This Row],[OrderDate]]),MONTH(tbl_FACTS[[#This Row],[OrderDate]]),1)</f>
        <v>35309</v>
      </c>
      <c r="V150" s="22" t="str">
        <f>IF(tbl_FACTS[[#This Row],[Quantity]]&lt;=10,"0–10",IF(tbl_FACTS[[#This Row],[Quantity]]&lt;=20,"11–20",IF(tbl_FACTS[[#This Row],[Quantity]]&lt;=30,"21–30",IF(tbl_FACTS[[#This Row],[Quantity]]&lt;=40,"31–40",IF(tbl_FACTS[[#This Row],[Quantity]]&lt;=50,"41–50","51+")))))</f>
        <v>21–30</v>
      </c>
    </row>
    <row r="151" spans="1:22">
      <c r="A151">
        <v>150</v>
      </c>
      <c r="B151">
        <v>10303</v>
      </c>
      <c r="C151">
        <v>68</v>
      </c>
      <c r="D151" s="19">
        <v>15</v>
      </c>
      <c r="E151" s="20">
        <f>_xlfn.XLOOKUP(tbl_FACTS[[#This Row],[OrderID]],Πίνακας64[OrderID],Πίνακας64[OrderDate])</f>
        <v>35319</v>
      </c>
      <c r="F151">
        <f>_xlfn.XLOOKUP(tbl_FACTS[[#This Row],[OrderID]],Πίνακας64[OrderID],Πίνακας64[CustomerID])</f>
        <v>30</v>
      </c>
      <c r="G151" t="str">
        <f>_xlfn.XLOOKUP(tbl_FACTS[[#This Row],[CustomerID]],Πίνακας1[CustomerID],Πίνακας1[CustomerName])</f>
        <v>Godos Cocina Tipica</v>
      </c>
      <c r="H151" t="str">
        <f>_xlfn.XLOOKUP(tbl_FACTS[[#This Row],[CustomerID]],Πίνακας1[CustomerID],Πίνακας1[Country])</f>
        <v>Spain</v>
      </c>
      <c r="I151">
        <f>_xlfn.XLOOKUP(tbl_FACTS[[#This Row],[OrderID]],Πίνακας64[OrderID],Πίνακας64[EmployeeID])</f>
        <v>7</v>
      </c>
      <c r="J151">
        <f>_xlfn.XLOOKUP(tbl_FACTS[[#This Row],[OrderID]],Πίνακας64[OrderID],Πίνακας64[ShipperID])</f>
        <v>2</v>
      </c>
      <c r="K151" t="str">
        <f>_xlfn.XLOOKUP(tbl_FACTS[[#This Row],[ShipperID]],Πίνακας8[ShipperID],Πίνακας8[ShipperName])</f>
        <v>United Package</v>
      </c>
      <c r="L151" t="str">
        <f>_xlfn.XLOOKUP(tbl_FACTS[[#This Row],[ProductID]],Πίνακας7[ProductID],Πίνακας7[ProductName])</f>
        <v>Scottish Longbreads</v>
      </c>
      <c r="M151">
        <f>_xlfn.XLOOKUP(tbl_FACTS[[#This Row],[ProductID]],Πίνακας7[ProductID],Πίνακας7[CategoryID])</f>
        <v>3</v>
      </c>
      <c r="N151" t="str">
        <f>_xlfn.XLOOKUP(tbl_FACTS[[#This Row],[CategoryID]],Πίνακας4[CategoryID],Πίνακας4[CategoryName])</f>
        <v>Confections</v>
      </c>
      <c r="O151">
        <f>_xlfn.XLOOKUP(tbl_FACTS[[#This Row],[ProductID]],Πίνακας7[ProductID],Πίνακας7[SupplierID])</f>
        <v>8</v>
      </c>
      <c r="P151" t="str">
        <f>_xlfn.XLOOKUP(tbl_FACTS[[#This Row],[SupplierID]],Πίνακας9[SupplierID],Πίνακας9[SupplierName])</f>
        <v>Specialty Biscuits, Ltd.</v>
      </c>
      <c r="Q151" s="21">
        <f>_xlfn.XLOOKUP(tbl_FACTS[[#This Row],[ProductID]],Πίνακας7[ProductID],Πίνακας7[Price])</f>
        <v>13</v>
      </c>
      <c r="R151" s="21">
        <f>tbl_FACTS[[#This Row],[Quantity]]*tbl_FACTS[[#This Row],[Price]]</f>
        <v>195</v>
      </c>
      <c r="S151" s="19">
        <f>IF(COUNTIFS(tbl_FACTS[OrderID],tbl_FACTS[[#This Row],[OrderID]],tbl_FACTS[OrderDetailID],"&lt;"&amp;tbl_FACTS[[#This Row],[OrderDetailID]])=0,1,0)</f>
        <v>0</v>
      </c>
      <c r="T151" s="19">
        <f>YEAR(tbl_FACTS[[#This Row],[OrderDate]])</f>
        <v>1996</v>
      </c>
      <c r="U151" s="22">
        <f>DATE(YEAR(tbl_FACTS[[#This Row],[OrderDate]]),MONTH(tbl_FACTS[[#This Row],[OrderDate]]),1)</f>
        <v>35309</v>
      </c>
      <c r="V151" s="22" t="str">
        <f>IF(tbl_FACTS[[#This Row],[Quantity]]&lt;=10,"0–10",IF(tbl_FACTS[[#This Row],[Quantity]]&lt;=20,"11–20",IF(tbl_FACTS[[#This Row],[Quantity]]&lt;=30,"21–30",IF(tbl_FACTS[[#This Row],[Quantity]]&lt;=40,"31–40",IF(tbl_FACTS[[#This Row],[Quantity]]&lt;=50,"41–50","51+")))))</f>
        <v>11–20</v>
      </c>
    </row>
    <row r="152" spans="1:22">
      <c r="A152">
        <v>151</v>
      </c>
      <c r="B152">
        <v>10304</v>
      </c>
      <c r="C152">
        <v>49</v>
      </c>
      <c r="D152" s="19">
        <v>30</v>
      </c>
      <c r="E152" s="20">
        <f>_xlfn.XLOOKUP(tbl_FACTS[[#This Row],[OrderID]],Πίνακας64[OrderID],Πίνακας64[OrderDate])</f>
        <v>35320</v>
      </c>
      <c r="F152">
        <f>_xlfn.XLOOKUP(tbl_FACTS[[#This Row],[OrderID]],Πίνακας64[OrderID],Πίνακας64[CustomerID])</f>
        <v>80</v>
      </c>
      <c r="G152" t="str">
        <f>_xlfn.XLOOKUP(tbl_FACTS[[#This Row],[CustomerID]],Πίνακας1[CustomerID],Πίνακας1[CustomerName])</f>
        <v>Tortuga Restaurante</v>
      </c>
      <c r="H152" t="str">
        <f>_xlfn.XLOOKUP(tbl_FACTS[[#This Row],[CustomerID]],Πίνακας1[CustomerID],Πίνακας1[Country])</f>
        <v>Mexico</v>
      </c>
      <c r="I152">
        <f>_xlfn.XLOOKUP(tbl_FACTS[[#This Row],[OrderID]],Πίνακας64[OrderID],Πίνακας64[EmployeeID])</f>
        <v>1</v>
      </c>
      <c r="J152">
        <f>_xlfn.XLOOKUP(tbl_FACTS[[#This Row],[OrderID]],Πίνακας64[OrderID],Πίνακας64[ShipperID])</f>
        <v>2</v>
      </c>
      <c r="K152" t="str">
        <f>_xlfn.XLOOKUP(tbl_FACTS[[#This Row],[ShipperID]],Πίνακας8[ShipperID],Πίνακας8[ShipperName])</f>
        <v>United Package</v>
      </c>
      <c r="L152" t="str">
        <f>_xlfn.XLOOKUP(tbl_FACTS[[#This Row],[ProductID]],Πίνακας7[ProductID],Πίνακας7[ProductName])</f>
        <v>Maxilaku</v>
      </c>
      <c r="M152">
        <f>_xlfn.XLOOKUP(tbl_FACTS[[#This Row],[ProductID]],Πίνακας7[ProductID],Πίνακας7[CategoryID])</f>
        <v>3</v>
      </c>
      <c r="N152" t="str">
        <f>_xlfn.XLOOKUP(tbl_FACTS[[#This Row],[CategoryID]],Πίνακας4[CategoryID],Πίνακας4[CategoryName])</f>
        <v>Confections</v>
      </c>
      <c r="O152">
        <f>_xlfn.XLOOKUP(tbl_FACTS[[#This Row],[ProductID]],Πίνακας7[ProductID],Πίνακας7[SupplierID])</f>
        <v>23</v>
      </c>
      <c r="P152" t="str">
        <f>_xlfn.XLOOKUP(tbl_FACTS[[#This Row],[SupplierID]],Πίνακας9[SupplierID],Πίνακας9[SupplierName])</f>
        <v>Karkki Oy</v>
      </c>
      <c r="Q152" s="21">
        <f>_xlfn.XLOOKUP(tbl_FACTS[[#This Row],[ProductID]],Πίνακας7[ProductID],Πίνακας7[Price])</f>
        <v>20</v>
      </c>
      <c r="R152" s="21">
        <f>tbl_FACTS[[#This Row],[Quantity]]*tbl_FACTS[[#This Row],[Price]]</f>
        <v>600</v>
      </c>
      <c r="S152" s="19">
        <f>IF(COUNTIFS(tbl_FACTS[OrderID],tbl_FACTS[[#This Row],[OrderID]],tbl_FACTS[OrderDetailID],"&lt;"&amp;tbl_FACTS[[#This Row],[OrderDetailID]])=0,1,0)</f>
        <v>1</v>
      </c>
      <c r="T152" s="19">
        <f>YEAR(tbl_FACTS[[#This Row],[OrderDate]])</f>
        <v>1996</v>
      </c>
      <c r="U152" s="22">
        <f>DATE(YEAR(tbl_FACTS[[#This Row],[OrderDate]]),MONTH(tbl_FACTS[[#This Row],[OrderDate]]),1)</f>
        <v>35309</v>
      </c>
      <c r="V152" s="22" t="str">
        <f>IF(tbl_FACTS[[#This Row],[Quantity]]&lt;=10,"0–10",IF(tbl_FACTS[[#This Row],[Quantity]]&lt;=20,"11–20",IF(tbl_FACTS[[#This Row],[Quantity]]&lt;=30,"21–30",IF(tbl_FACTS[[#This Row],[Quantity]]&lt;=40,"31–40",IF(tbl_FACTS[[#This Row],[Quantity]]&lt;=50,"41–50","51+")))))</f>
        <v>21–30</v>
      </c>
    </row>
    <row r="153" spans="1:22">
      <c r="A153">
        <v>152</v>
      </c>
      <c r="B153">
        <v>10304</v>
      </c>
      <c r="C153">
        <v>59</v>
      </c>
      <c r="D153" s="19">
        <v>10</v>
      </c>
      <c r="E153" s="20">
        <f>_xlfn.XLOOKUP(tbl_FACTS[[#This Row],[OrderID]],Πίνακας64[OrderID],Πίνακας64[OrderDate])</f>
        <v>35320</v>
      </c>
      <c r="F153">
        <f>_xlfn.XLOOKUP(tbl_FACTS[[#This Row],[OrderID]],Πίνακας64[OrderID],Πίνακας64[CustomerID])</f>
        <v>80</v>
      </c>
      <c r="G153" t="str">
        <f>_xlfn.XLOOKUP(tbl_FACTS[[#This Row],[CustomerID]],Πίνακας1[CustomerID],Πίνακας1[CustomerName])</f>
        <v>Tortuga Restaurante</v>
      </c>
      <c r="H153" t="str">
        <f>_xlfn.XLOOKUP(tbl_FACTS[[#This Row],[CustomerID]],Πίνακας1[CustomerID],Πίνακας1[Country])</f>
        <v>Mexico</v>
      </c>
      <c r="I153">
        <f>_xlfn.XLOOKUP(tbl_FACTS[[#This Row],[OrderID]],Πίνακας64[OrderID],Πίνακας64[EmployeeID])</f>
        <v>1</v>
      </c>
      <c r="J153">
        <f>_xlfn.XLOOKUP(tbl_FACTS[[#This Row],[OrderID]],Πίνακας64[OrderID],Πίνακας64[ShipperID])</f>
        <v>2</v>
      </c>
      <c r="K153" t="str">
        <f>_xlfn.XLOOKUP(tbl_FACTS[[#This Row],[ShipperID]],Πίνακας8[ShipperID],Πίνακας8[ShipperName])</f>
        <v>United Package</v>
      </c>
      <c r="L153" t="str">
        <f>_xlfn.XLOOKUP(tbl_FACTS[[#This Row],[ProductID]],Πίνακας7[ProductID],Πίνακας7[ProductName])</f>
        <v>Raclette Courdavault</v>
      </c>
      <c r="M153">
        <f>_xlfn.XLOOKUP(tbl_FACTS[[#This Row],[ProductID]],Πίνακας7[ProductID],Πίνακας7[CategoryID])</f>
        <v>4</v>
      </c>
      <c r="N153" t="str">
        <f>_xlfn.XLOOKUP(tbl_FACTS[[#This Row],[CategoryID]],Πίνακας4[CategoryID],Πίνακας4[CategoryName])</f>
        <v>Dairy Products</v>
      </c>
      <c r="O153">
        <f>_xlfn.XLOOKUP(tbl_FACTS[[#This Row],[ProductID]],Πίνακας7[ProductID],Πίνακας7[SupplierID])</f>
        <v>28</v>
      </c>
      <c r="P153" t="str">
        <f>_xlfn.XLOOKUP(tbl_FACTS[[#This Row],[SupplierID]],Πίνακας9[SupplierID],Πίνακας9[SupplierName])</f>
        <v>Gai paturage</v>
      </c>
      <c r="Q153" s="21">
        <f>_xlfn.XLOOKUP(tbl_FACTS[[#This Row],[ProductID]],Πίνακας7[ProductID],Πίνακας7[Price])</f>
        <v>55</v>
      </c>
      <c r="R153" s="21">
        <f>tbl_FACTS[[#This Row],[Quantity]]*tbl_FACTS[[#This Row],[Price]]</f>
        <v>550</v>
      </c>
      <c r="S153" s="19">
        <f>IF(COUNTIFS(tbl_FACTS[OrderID],tbl_FACTS[[#This Row],[OrderID]],tbl_FACTS[OrderDetailID],"&lt;"&amp;tbl_FACTS[[#This Row],[OrderDetailID]])=0,1,0)</f>
        <v>0</v>
      </c>
      <c r="T153" s="19">
        <f>YEAR(tbl_FACTS[[#This Row],[OrderDate]])</f>
        <v>1996</v>
      </c>
      <c r="U153" s="22">
        <f>DATE(YEAR(tbl_FACTS[[#This Row],[OrderDate]]),MONTH(tbl_FACTS[[#This Row],[OrderDate]]),1)</f>
        <v>35309</v>
      </c>
      <c r="V153" s="22" t="str">
        <f>IF(tbl_FACTS[[#This Row],[Quantity]]&lt;=10,"0–10",IF(tbl_FACTS[[#This Row],[Quantity]]&lt;=20,"11–20",IF(tbl_FACTS[[#This Row],[Quantity]]&lt;=30,"21–30",IF(tbl_FACTS[[#This Row],[Quantity]]&lt;=40,"31–40",IF(tbl_FACTS[[#This Row],[Quantity]]&lt;=50,"41–50","51+")))))</f>
        <v>0–10</v>
      </c>
    </row>
    <row r="154" spans="1:22">
      <c r="A154">
        <v>153</v>
      </c>
      <c r="B154">
        <v>10304</v>
      </c>
      <c r="C154">
        <v>71</v>
      </c>
      <c r="D154" s="19">
        <v>2</v>
      </c>
      <c r="E154" s="20">
        <f>_xlfn.XLOOKUP(tbl_FACTS[[#This Row],[OrderID]],Πίνακας64[OrderID],Πίνακας64[OrderDate])</f>
        <v>35320</v>
      </c>
      <c r="F154">
        <f>_xlfn.XLOOKUP(tbl_FACTS[[#This Row],[OrderID]],Πίνακας64[OrderID],Πίνακας64[CustomerID])</f>
        <v>80</v>
      </c>
      <c r="G154" t="str">
        <f>_xlfn.XLOOKUP(tbl_FACTS[[#This Row],[CustomerID]],Πίνακας1[CustomerID],Πίνακας1[CustomerName])</f>
        <v>Tortuga Restaurante</v>
      </c>
      <c r="H154" t="str">
        <f>_xlfn.XLOOKUP(tbl_FACTS[[#This Row],[CustomerID]],Πίνακας1[CustomerID],Πίνακας1[Country])</f>
        <v>Mexico</v>
      </c>
      <c r="I154">
        <f>_xlfn.XLOOKUP(tbl_FACTS[[#This Row],[OrderID]],Πίνακας64[OrderID],Πίνακας64[EmployeeID])</f>
        <v>1</v>
      </c>
      <c r="J154">
        <f>_xlfn.XLOOKUP(tbl_FACTS[[#This Row],[OrderID]],Πίνακας64[OrderID],Πίνακας64[ShipperID])</f>
        <v>2</v>
      </c>
      <c r="K154" t="str">
        <f>_xlfn.XLOOKUP(tbl_FACTS[[#This Row],[ShipperID]],Πίνακας8[ShipperID],Πίνακας8[ShipperName])</f>
        <v>United Package</v>
      </c>
      <c r="L154" t="str">
        <f>_xlfn.XLOOKUP(tbl_FACTS[[#This Row],[ProductID]],Πίνακας7[ProductID],Πίνακας7[ProductName])</f>
        <v>Fl├©temysost</v>
      </c>
      <c r="M154">
        <f>_xlfn.XLOOKUP(tbl_FACTS[[#This Row],[ProductID]],Πίνακας7[ProductID],Πίνακας7[CategoryID])</f>
        <v>4</v>
      </c>
      <c r="N154" t="str">
        <f>_xlfn.XLOOKUP(tbl_FACTS[[#This Row],[CategoryID]],Πίνακας4[CategoryID],Πίνακας4[CategoryName])</f>
        <v>Dairy Products</v>
      </c>
      <c r="O154">
        <f>_xlfn.XLOOKUP(tbl_FACTS[[#This Row],[ProductID]],Πίνακας7[ProductID],Πίνακας7[SupplierID])</f>
        <v>15</v>
      </c>
      <c r="P154" t="str">
        <f>_xlfn.XLOOKUP(tbl_FACTS[[#This Row],[SupplierID]],Πίνακας9[SupplierID],Πίνακας9[SupplierName])</f>
        <v>Norske Meierier</v>
      </c>
      <c r="Q154" s="21">
        <f>_xlfn.XLOOKUP(tbl_FACTS[[#This Row],[ProductID]],Πίνακας7[ProductID],Πίνακας7[Price])</f>
        <v>22</v>
      </c>
      <c r="R154" s="21">
        <f>tbl_FACTS[[#This Row],[Quantity]]*tbl_FACTS[[#This Row],[Price]]</f>
        <v>44</v>
      </c>
      <c r="S154" s="19">
        <f>IF(COUNTIFS(tbl_FACTS[OrderID],tbl_FACTS[[#This Row],[OrderID]],tbl_FACTS[OrderDetailID],"&lt;"&amp;tbl_FACTS[[#This Row],[OrderDetailID]])=0,1,0)</f>
        <v>0</v>
      </c>
      <c r="T154" s="19">
        <f>YEAR(tbl_FACTS[[#This Row],[OrderDate]])</f>
        <v>1996</v>
      </c>
      <c r="U154" s="22">
        <f>DATE(YEAR(tbl_FACTS[[#This Row],[OrderDate]]),MONTH(tbl_FACTS[[#This Row],[OrderDate]]),1)</f>
        <v>35309</v>
      </c>
      <c r="V154" s="22" t="str">
        <f>IF(tbl_FACTS[[#This Row],[Quantity]]&lt;=10,"0–10",IF(tbl_FACTS[[#This Row],[Quantity]]&lt;=20,"11–20",IF(tbl_FACTS[[#This Row],[Quantity]]&lt;=30,"21–30",IF(tbl_FACTS[[#This Row],[Quantity]]&lt;=40,"31–40",IF(tbl_FACTS[[#This Row],[Quantity]]&lt;=50,"41–50","51+")))))</f>
        <v>0–10</v>
      </c>
    </row>
    <row r="155" spans="1:22">
      <c r="A155">
        <v>154</v>
      </c>
      <c r="B155">
        <v>10305</v>
      </c>
      <c r="C155">
        <v>18</v>
      </c>
      <c r="D155" s="19">
        <v>25</v>
      </c>
      <c r="E155" s="20">
        <f>_xlfn.XLOOKUP(tbl_FACTS[[#This Row],[OrderID]],Πίνακας64[OrderID],Πίνακας64[OrderDate])</f>
        <v>35321</v>
      </c>
      <c r="F155">
        <f>_xlfn.XLOOKUP(tbl_FACTS[[#This Row],[OrderID]],Πίνακας64[OrderID],Πίνακας64[CustomerID])</f>
        <v>55</v>
      </c>
      <c r="G155" t="str">
        <f>_xlfn.XLOOKUP(tbl_FACTS[[#This Row],[CustomerID]],Πίνακας1[CustomerID],Πίνακας1[CustomerName])</f>
        <v>Old World Delicatessen</v>
      </c>
      <c r="H155" t="str">
        <f>_xlfn.XLOOKUP(tbl_FACTS[[#This Row],[CustomerID]],Πίνακας1[CustomerID],Πίνακας1[Country])</f>
        <v>USA</v>
      </c>
      <c r="I155">
        <f>_xlfn.XLOOKUP(tbl_FACTS[[#This Row],[OrderID]],Πίνακας64[OrderID],Πίνακας64[EmployeeID])</f>
        <v>8</v>
      </c>
      <c r="J155">
        <f>_xlfn.XLOOKUP(tbl_FACTS[[#This Row],[OrderID]],Πίνακας64[OrderID],Πίνακας64[ShipperID])</f>
        <v>3</v>
      </c>
      <c r="K155" t="str">
        <f>_xlfn.XLOOKUP(tbl_FACTS[[#This Row],[ShipperID]],Πίνακας8[ShipperID],Πίνακας8[ShipperName])</f>
        <v>Federal Shipping</v>
      </c>
      <c r="L155" t="str">
        <f>_xlfn.XLOOKUP(tbl_FACTS[[#This Row],[ProductID]],Πίνακας7[ProductID],Πίνακας7[ProductName])</f>
        <v>Carnarvon Tigers</v>
      </c>
      <c r="M155">
        <f>_xlfn.XLOOKUP(tbl_FACTS[[#This Row],[ProductID]],Πίνακας7[ProductID],Πίνακας7[CategoryID])</f>
        <v>8</v>
      </c>
      <c r="N155" t="str">
        <f>_xlfn.XLOOKUP(tbl_FACTS[[#This Row],[CategoryID]],Πίνακας4[CategoryID],Πίνακας4[CategoryName])</f>
        <v>Seafood</v>
      </c>
      <c r="O155">
        <f>_xlfn.XLOOKUP(tbl_FACTS[[#This Row],[ProductID]],Πίνακας7[ProductID],Πίνακας7[SupplierID])</f>
        <v>7</v>
      </c>
      <c r="P155" t="str">
        <f>_xlfn.XLOOKUP(tbl_FACTS[[#This Row],[SupplierID]],Πίνακας9[SupplierID],Πίνακας9[SupplierName])</f>
        <v>Pavlova, Ltd.</v>
      </c>
      <c r="Q155" s="21">
        <f>_xlfn.XLOOKUP(tbl_FACTS[[#This Row],[ProductID]],Πίνακας7[ProductID],Πίνακας7[Price])</f>
        <v>63</v>
      </c>
      <c r="R155" s="21">
        <f>tbl_FACTS[[#This Row],[Quantity]]*tbl_FACTS[[#This Row],[Price]]</f>
        <v>1575</v>
      </c>
      <c r="S155" s="19">
        <f>IF(COUNTIFS(tbl_FACTS[OrderID],tbl_FACTS[[#This Row],[OrderID]],tbl_FACTS[OrderDetailID],"&lt;"&amp;tbl_FACTS[[#This Row],[OrderDetailID]])=0,1,0)</f>
        <v>1</v>
      </c>
      <c r="T155" s="19">
        <f>YEAR(tbl_FACTS[[#This Row],[OrderDate]])</f>
        <v>1996</v>
      </c>
      <c r="U155" s="22">
        <f>DATE(YEAR(tbl_FACTS[[#This Row],[OrderDate]]),MONTH(tbl_FACTS[[#This Row],[OrderDate]]),1)</f>
        <v>35309</v>
      </c>
      <c r="V155" s="22" t="str">
        <f>IF(tbl_FACTS[[#This Row],[Quantity]]&lt;=10,"0–10",IF(tbl_FACTS[[#This Row],[Quantity]]&lt;=20,"11–20",IF(tbl_FACTS[[#This Row],[Quantity]]&lt;=30,"21–30",IF(tbl_FACTS[[#This Row],[Quantity]]&lt;=40,"31–40",IF(tbl_FACTS[[#This Row],[Quantity]]&lt;=50,"41–50","51+")))))</f>
        <v>21–30</v>
      </c>
    </row>
    <row r="156" spans="1:22">
      <c r="A156">
        <v>155</v>
      </c>
      <c r="B156">
        <v>10305</v>
      </c>
      <c r="C156">
        <v>29</v>
      </c>
      <c r="D156" s="19">
        <v>25</v>
      </c>
      <c r="E156" s="20">
        <f>_xlfn.XLOOKUP(tbl_FACTS[[#This Row],[OrderID]],Πίνακας64[OrderID],Πίνακας64[OrderDate])</f>
        <v>35321</v>
      </c>
      <c r="F156">
        <f>_xlfn.XLOOKUP(tbl_FACTS[[#This Row],[OrderID]],Πίνακας64[OrderID],Πίνακας64[CustomerID])</f>
        <v>55</v>
      </c>
      <c r="G156" t="str">
        <f>_xlfn.XLOOKUP(tbl_FACTS[[#This Row],[CustomerID]],Πίνακας1[CustomerID],Πίνακας1[CustomerName])</f>
        <v>Old World Delicatessen</v>
      </c>
      <c r="H156" t="str">
        <f>_xlfn.XLOOKUP(tbl_FACTS[[#This Row],[CustomerID]],Πίνακας1[CustomerID],Πίνακας1[Country])</f>
        <v>USA</v>
      </c>
      <c r="I156">
        <f>_xlfn.XLOOKUP(tbl_FACTS[[#This Row],[OrderID]],Πίνακας64[OrderID],Πίνακας64[EmployeeID])</f>
        <v>8</v>
      </c>
      <c r="J156">
        <f>_xlfn.XLOOKUP(tbl_FACTS[[#This Row],[OrderID]],Πίνακας64[OrderID],Πίνακας64[ShipperID])</f>
        <v>3</v>
      </c>
      <c r="K156" t="str">
        <f>_xlfn.XLOOKUP(tbl_FACTS[[#This Row],[ShipperID]],Πίνακας8[ShipperID],Πίνακας8[ShipperName])</f>
        <v>Federal Shipping</v>
      </c>
      <c r="L156" t="str">
        <f>_xlfn.XLOOKUP(tbl_FACTS[[#This Row],[ProductID]],Πίνακας7[ProductID],Πίνακας7[ProductName])</f>
        <v>Thuringer Rostbratwurst</v>
      </c>
      <c r="M156">
        <f>_xlfn.XLOOKUP(tbl_FACTS[[#This Row],[ProductID]],Πίνακας7[ProductID],Πίνακας7[CategoryID])</f>
        <v>6</v>
      </c>
      <c r="N156" t="str">
        <f>_xlfn.XLOOKUP(tbl_FACTS[[#This Row],[CategoryID]],Πίνακας4[CategoryID],Πίνακας4[CategoryName])</f>
        <v>Meat/Poultry</v>
      </c>
      <c r="O156">
        <f>_xlfn.XLOOKUP(tbl_FACTS[[#This Row],[ProductID]],Πίνακας7[ProductID],Πίνακας7[SupplierID])</f>
        <v>12</v>
      </c>
      <c r="P156" t="str">
        <f>_xlfn.XLOOKUP(tbl_FACTS[[#This Row],[SupplierID]],Πίνακας9[SupplierID],Πίνακας9[SupplierName])</f>
        <v>Plutzer Lebensmittelgro├ƒmarkte AG</v>
      </c>
      <c r="Q156" s="21">
        <f>_xlfn.XLOOKUP(tbl_FACTS[[#This Row],[ProductID]],Πίνακας7[ProductID],Πίνακας7[Price])</f>
        <v>124</v>
      </c>
      <c r="R156" s="21">
        <f>tbl_FACTS[[#This Row],[Quantity]]*tbl_FACTS[[#This Row],[Price]]</f>
        <v>3100</v>
      </c>
      <c r="S156" s="19">
        <f>IF(COUNTIFS(tbl_FACTS[OrderID],tbl_FACTS[[#This Row],[OrderID]],tbl_FACTS[OrderDetailID],"&lt;"&amp;tbl_FACTS[[#This Row],[OrderDetailID]])=0,1,0)</f>
        <v>0</v>
      </c>
      <c r="T156" s="19">
        <f>YEAR(tbl_FACTS[[#This Row],[OrderDate]])</f>
        <v>1996</v>
      </c>
      <c r="U156" s="22">
        <f>DATE(YEAR(tbl_FACTS[[#This Row],[OrderDate]]),MONTH(tbl_FACTS[[#This Row],[OrderDate]]),1)</f>
        <v>35309</v>
      </c>
      <c r="V156" s="22" t="str">
        <f>IF(tbl_FACTS[[#This Row],[Quantity]]&lt;=10,"0–10",IF(tbl_FACTS[[#This Row],[Quantity]]&lt;=20,"11–20",IF(tbl_FACTS[[#This Row],[Quantity]]&lt;=30,"21–30",IF(tbl_FACTS[[#This Row],[Quantity]]&lt;=40,"31–40",IF(tbl_FACTS[[#This Row],[Quantity]]&lt;=50,"41–50","51+")))))</f>
        <v>21–30</v>
      </c>
    </row>
    <row r="157" spans="1:22">
      <c r="A157">
        <v>156</v>
      </c>
      <c r="B157">
        <v>10305</v>
      </c>
      <c r="C157">
        <v>39</v>
      </c>
      <c r="D157" s="19">
        <v>30</v>
      </c>
      <c r="E157" s="20">
        <f>_xlfn.XLOOKUP(tbl_FACTS[[#This Row],[OrderID]],Πίνακας64[OrderID],Πίνακας64[OrderDate])</f>
        <v>35321</v>
      </c>
      <c r="F157">
        <f>_xlfn.XLOOKUP(tbl_FACTS[[#This Row],[OrderID]],Πίνακας64[OrderID],Πίνακας64[CustomerID])</f>
        <v>55</v>
      </c>
      <c r="G157" t="str">
        <f>_xlfn.XLOOKUP(tbl_FACTS[[#This Row],[CustomerID]],Πίνακας1[CustomerID],Πίνακας1[CustomerName])</f>
        <v>Old World Delicatessen</v>
      </c>
      <c r="H157" t="str">
        <f>_xlfn.XLOOKUP(tbl_FACTS[[#This Row],[CustomerID]],Πίνακας1[CustomerID],Πίνακας1[Country])</f>
        <v>USA</v>
      </c>
      <c r="I157">
        <f>_xlfn.XLOOKUP(tbl_FACTS[[#This Row],[OrderID]],Πίνακας64[OrderID],Πίνακας64[EmployeeID])</f>
        <v>8</v>
      </c>
      <c r="J157">
        <f>_xlfn.XLOOKUP(tbl_FACTS[[#This Row],[OrderID]],Πίνακας64[OrderID],Πίνακας64[ShipperID])</f>
        <v>3</v>
      </c>
      <c r="K157" t="str">
        <f>_xlfn.XLOOKUP(tbl_FACTS[[#This Row],[ShipperID]],Πίνακας8[ShipperID],Πίνακας8[ShipperName])</f>
        <v>Federal Shipping</v>
      </c>
      <c r="L157" t="str">
        <f>_xlfn.XLOOKUP(tbl_FACTS[[#This Row],[ProductID]],Πίνακας7[ProductID],Πίνακας7[ProductName])</f>
        <v>Chartreuse verte</v>
      </c>
      <c r="M157">
        <f>_xlfn.XLOOKUP(tbl_FACTS[[#This Row],[ProductID]],Πίνακας7[ProductID],Πίνακας7[CategoryID])</f>
        <v>1</v>
      </c>
      <c r="N157" t="str">
        <f>_xlfn.XLOOKUP(tbl_FACTS[[#This Row],[CategoryID]],Πίνακας4[CategoryID],Πίνακας4[CategoryName])</f>
        <v>Beverages</v>
      </c>
      <c r="O157">
        <f>_xlfn.XLOOKUP(tbl_FACTS[[#This Row],[ProductID]],Πίνακας7[ProductID],Πίνακας7[SupplierID])</f>
        <v>18</v>
      </c>
      <c r="P157" t="str">
        <f>_xlfn.XLOOKUP(tbl_FACTS[[#This Row],[SupplierID]],Πίνακας9[SupplierID],Πίνακας9[SupplierName])</f>
        <v>Aux joyeux ecclesiastiques</v>
      </c>
      <c r="Q157" s="21">
        <f>_xlfn.XLOOKUP(tbl_FACTS[[#This Row],[ProductID]],Πίνακας7[ProductID],Πίνακας7[Price])</f>
        <v>18</v>
      </c>
      <c r="R157" s="21">
        <f>tbl_FACTS[[#This Row],[Quantity]]*tbl_FACTS[[#This Row],[Price]]</f>
        <v>540</v>
      </c>
      <c r="S157" s="19">
        <f>IF(COUNTIFS(tbl_FACTS[OrderID],tbl_FACTS[[#This Row],[OrderID]],tbl_FACTS[OrderDetailID],"&lt;"&amp;tbl_FACTS[[#This Row],[OrderDetailID]])=0,1,0)</f>
        <v>0</v>
      </c>
      <c r="T157" s="19">
        <f>YEAR(tbl_FACTS[[#This Row],[OrderDate]])</f>
        <v>1996</v>
      </c>
      <c r="U157" s="22">
        <f>DATE(YEAR(tbl_FACTS[[#This Row],[OrderDate]]),MONTH(tbl_FACTS[[#This Row],[OrderDate]]),1)</f>
        <v>35309</v>
      </c>
      <c r="V157" s="22" t="str">
        <f>IF(tbl_FACTS[[#This Row],[Quantity]]&lt;=10,"0–10",IF(tbl_FACTS[[#This Row],[Quantity]]&lt;=20,"11–20",IF(tbl_FACTS[[#This Row],[Quantity]]&lt;=30,"21–30",IF(tbl_FACTS[[#This Row],[Quantity]]&lt;=40,"31–40",IF(tbl_FACTS[[#This Row],[Quantity]]&lt;=50,"41–50","51+")))))</f>
        <v>21–30</v>
      </c>
    </row>
    <row r="158" spans="1:22">
      <c r="A158">
        <v>157</v>
      </c>
      <c r="B158">
        <v>10306</v>
      </c>
      <c r="C158">
        <v>30</v>
      </c>
      <c r="D158" s="19">
        <v>10</v>
      </c>
      <c r="E158" s="20">
        <f>_xlfn.XLOOKUP(tbl_FACTS[[#This Row],[OrderID]],Πίνακας64[OrderID],Πίνακας64[OrderDate])</f>
        <v>35324</v>
      </c>
      <c r="F158">
        <f>_xlfn.XLOOKUP(tbl_FACTS[[#This Row],[OrderID]],Πίνακας64[OrderID],Πίνακας64[CustomerID])</f>
        <v>69</v>
      </c>
      <c r="G158" t="str">
        <f>_xlfn.XLOOKUP(tbl_FACTS[[#This Row],[CustomerID]],Πίνακας1[CustomerID],Πίνακας1[CustomerName])</f>
        <v>Romero y tomillo</v>
      </c>
      <c r="H158" t="str">
        <f>_xlfn.XLOOKUP(tbl_FACTS[[#This Row],[CustomerID]],Πίνακας1[CustomerID],Πίνακας1[Country])</f>
        <v>Spain</v>
      </c>
      <c r="I158">
        <f>_xlfn.XLOOKUP(tbl_FACTS[[#This Row],[OrderID]],Πίνακας64[OrderID],Πίνακας64[EmployeeID])</f>
        <v>1</v>
      </c>
      <c r="J158">
        <f>_xlfn.XLOOKUP(tbl_FACTS[[#This Row],[OrderID]],Πίνακας64[OrderID],Πίνακας64[ShipperID])</f>
        <v>3</v>
      </c>
      <c r="K158" t="str">
        <f>_xlfn.XLOOKUP(tbl_FACTS[[#This Row],[ShipperID]],Πίνακας8[ShipperID],Πίνακας8[ShipperName])</f>
        <v>Federal Shipping</v>
      </c>
      <c r="L158" t="str">
        <f>_xlfn.XLOOKUP(tbl_FACTS[[#This Row],[ProductID]],Πίνακας7[ProductID],Πίνακας7[ProductName])</f>
        <v>Nord-Ost Matjeshering</v>
      </c>
      <c r="M158">
        <f>_xlfn.XLOOKUP(tbl_FACTS[[#This Row],[ProductID]],Πίνακας7[ProductID],Πίνακας7[CategoryID])</f>
        <v>8</v>
      </c>
      <c r="N158" t="str">
        <f>_xlfn.XLOOKUP(tbl_FACTS[[#This Row],[CategoryID]],Πίνακας4[CategoryID],Πίνακας4[CategoryName])</f>
        <v>Seafood</v>
      </c>
      <c r="O158">
        <f>_xlfn.XLOOKUP(tbl_FACTS[[#This Row],[ProductID]],Πίνακας7[ProductID],Πίνακας7[SupplierID])</f>
        <v>13</v>
      </c>
      <c r="P158" t="str">
        <f>_xlfn.XLOOKUP(tbl_FACTS[[#This Row],[SupplierID]],Πίνακας9[SupplierID],Πίνακας9[SupplierName])</f>
        <v>Nord-Ost-Fisch Handelsgesellschaft mbH</v>
      </c>
      <c r="Q158" s="21">
        <f>_xlfn.XLOOKUP(tbl_FACTS[[#This Row],[ProductID]],Πίνακας7[ProductID],Πίνακας7[Price])</f>
        <v>26</v>
      </c>
      <c r="R158" s="21">
        <f>tbl_FACTS[[#This Row],[Quantity]]*tbl_FACTS[[#This Row],[Price]]</f>
        <v>260</v>
      </c>
      <c r="S158" s="19">
        <f>IF(COUNTIFS(tbl_FACTS[OrderID],tbl_FACTS[[#This Row],[OrderID]],tbl_FACTS[OrderDetailID],"&lt;"&amp;tbl_FACTS[[#This Row],[OrderDetailID]])=0,1,0)</f>
        <v>1</v>
      </c>
      <c r="T158" s="19">
        <f>YEAR(tbl_FACTS[[#This Row],[OrderDate]])</f>
        <v>1996</v>
      </c>
      <c r="U158" s="22">
        <f>DATE(YEAR(tbl_FACTS[[#This Row],[OrderDate]]),MONTH(tbl_FACTS[[#This Row],[OrderDate]]),1)</f>
        <v>35309</v>
      </c>
      <c r="V158" s="22" t="str">
        <f>IF(tbl_FACTS[[#This Row],[Quantity]]&lt;=10,"0–10",IF(tbl_FACTS[[#This Row],[Quantity]]&lt;=20,"11–20",IF(tbl_FACTS[[#This Row],[Quantity]]&lt;=30,"21–30",IF(tbl_FACTS[[#This Row],[Quantity]]&lt;=40,"31–40",IF(tbl_FACTS[[#This Row],[Quantity]]&lt;=50,"41–50","51+")))))</f>
        <v>0–10</v>
      </c>
    </row>
    <row r="159" spans="1:22">
      <c r="A159">
        <v>158</v>
      </c>
      <c r="B159">
        <v>10306</v>
      </c>
      <c r="C159">
        <v>53</v>
      </c>
      <c r="D159" s="19">
        <v>10</v>
      </c>
      <c r="E159" s="20">
        <f>_xlfn.XLOOKUP(tbl_FACTS[[#This Row],[OrderID]],Πίνακας64[OrderID],Πίνακας64[OrderDate])</f>
        <v>35324</v>
      </c>
      <c r="F159">
        <f>_xlfn.XLOOKUP(tbl_FACTS[[#This Row],[OrderID]],Πίνακας64[OrderID],Πίνακας64[CustomerID])</f>
        <v>69</v>
      </c>
      <c r="G159" t="str">
        <f>_xlfn.XLOOKUP(tbl_FACTS[[#This Row],[CustomerID]],Πίνακας1[CustomerID],Πίνακας1[CustomerName])</f>
        <v>Romero y tomillo</v>
      </c>
      <c r="H159" t="str">
        <f>_xlfn.XLOOKUP(tbl_FACTS[[#This Row],[CustomerID]],Πίνακας1[CustomerID],Πίνακας1[Country])</f>
        <v>Spain</v>
      </c>
      <c r="I159">
        <f>_xlfn.XLOOKUP(tbl_FACTS[[#This Row],[OrderID]],Πίνακας64[OrderID],Πίνακας64[EmployeeID])</f>
        <v>1</v>
      </c>
      <c r="J159">
        <f>_xlfn.XLOOKUP(tbl_FACTS[[#This Row],[OrderID]],Πίνακας64[OrderID],Πίνακας64[ShipperID])</f>
        <v>3</v>
      </c>
      <c r="K159" t="str">
        <f>_xlfn.XLOOKUP(tbl_FACTS[[#This Row],[ShipperID]],Πίνακας8[ShipperID],Πίνακας8[ShipperName])</f>
        <v>Federal Shipping</v>
      </c>
      <c r="L159" t="str">
        <f>_xlfn.XLOOKUP(tbl_FACTS[[#This Row],[ProductID]],Πίνακας7[ProductID],Πίνακας7[ProductName])</f>
        <v>Perth Pasties</v>
      </c>
      <c r="M159">
        <f>_xlfn.XLOOKUP(tbl_FACTS[[#This Row],[ProductID]],Πίνακας7[ProductID],Πίνακας7[CategoryID])</f>
        <v>6</v>
      </c>
      <c r="N159" t="str">
        <f>_xlfn.XLOOKUP(tbl_FACTS[[#This Row],[CategoryID]],Πίνακας4[CategoryID],Πίνακας4[CategoryName])</f>
        <v>Meat/Poultry</v>
      </c>
      <c r="O159">
        <f>_xlfn.XLOOKUP(tbl_FACTS[[#This Row],[ProductID]],Πίνακας7[ProductID],Πίνακας7[SupplierID])</f>
        <v>24</v>
      </c>
      <c r="P159" t="str">
        <f>_xlfn.XLOOKUP(tbl_FACTS[[#This Row],[SupplierID]],Πίνακας9[SupplierID],Πίνακας9[SupplierName])</f>
        <v>G'day, Mate</v>
      </c>
      <c r="Q159" s="21">
        <f>_xlfn.XLOOKUP(tbl_FACTS[[#This Row],[ProductID]],Πίνακας7[ProductID],Πίνακας7[Price])</f>
        <v>33</v>
      </c>
      <c r="R159" s="21">
        <f>tbl_FACTS[[#This Row],[Quantity]]*tbl_FACTS[[#This Row],[Price]]</f>
        <v>330</v>
      </c>
      <c r="S159" s="19">
        <f>IF(COUNTIFS(tbl_FACTS[OrderID],tbl_FACTS[[#This Row],[OrderID]],tbl_FACTS[OrderDetailID],"&lt;"&amp;tbl_FACTS[[#This Row],[OrderDetailID]])=0,1,0)</f>
        <v>0</v>
      </c>
      <c r="T159" s="19">
        <f>YEAR(tbl_FACTS[[#This Row],[OrderDate]])</f>
        <v>1996</v>
      </c>
      <c r="U159" s="22">
        <f>DATE(YEAR(tbl_FACTS[[#This Row],[OrderDate]]),MONTH(tbl_FACTS[[#This Row],[OrderDate]]),1)</f>
        <v>35309</v>
      </c>
      <c r="V159" s="22" t="str">
        <f>IF(tbl_FACTS[[#This Row],[Quantity]]&lt;=10,"0–10",IF(tbl_FACTS[[#This Row],[Quantity]]&lt;=20,"11–20",IF(tbl_FACTS[[#This Row],[Quantity]]&lt;=30,"21–30",IF(tbl_FACTS[[#This Row],[Quantity]]&lt;=40,"31–40",IF(tbl_FACTS[[#This Row],[Quantity]]&lt;=50,"41–50","51+")))))</f>
        <v>0–10</v>
      </c>
    </row>
    <row r="160" spans="1:22">
      <c r="A160">
        <v>159</v>
      </c>
      <c r="B160">
        <v>10306</v>
      </c>
      <c r="C160">
        <v>54</v>
      </c>
      <c r="D160" s="19">
        <v>5</v>
      </c>
      <c r="E160" s="20">
        <f>_xlfn.XLOOKUP(tbl_FACTS[[#This Row],[OrderID]],Πίνακας64[OrderID],Πίνακας64[OrderDate])</f>
        <v>35324</v>
      </c>
      <c r="F160">
        <f>_xlfn.XLOOKUP(tbl_FACTS[[#This Row],[OrderID]],Πίνακας64[OrderID],Πίνακας64[CustomerID])</f>
        <v>69</v>
      </c>
      <c r="G160" t="str">
        <f>_xlfn.XLOOKUP(tbl_FACTS[[#This Row],[CustomerID]],Πίνακας1[CustomerID],Πίνακας1[CustomerName])</f>
        <v>Romero y tomillo</v>
      </c>
      <c r="H160" t="str">
        <f>_xlfn.XLOOKUP(tbl_FACTS[[#This Row],[CustomerID]],Πίνακας1[CustomerID],Πίνακας1[Country])</f>
        <v>Spain</v>
      </c>
      <c r="I160">
        <f>_xlfn.XLOOKUP(tbl_FACTS[[#This Row],[OrderID]],Πίνακας64[OrderID],Πίνακας64[EmployeeID])</f>
        <v>1</v>
      </c>
      <c r="J160">
        <f>_xlfn.XLOOKUP(tbl_FACTS[[#This Row],[OrderID]],Πίνακας64[OrderID],Πίνακας64[ShipperID])</f>
        <v>3</v>
      </c>
      <c r="K160" t="str">
        <f>_xlfn.XLOOKUP(tbl_FACTS[[#This Row],[ShipperID]],Πίνακας8[ShipperID],Πίνακας8[ShipperName])</f>
        <v>Federal Shipping</v>
      </c>
      <c r="L160" t="str">
        <f>_xlfn.XLOOKUP(tbl_FACTS[[#This Row],[ProductID]],Πίνακας7[ProductID],Πίνακας7[ProductName])</f>
        <v>Tourtiere</v>
      </c>
      <c r="M160">
        <f>_xlfn.XLOOKUP(tbl_FACTS[[#This Row],[ProductID]],Πίνακας7[ProductID],Πίνακας7[CategoryID])</f>
        <v>6</v>
      </c>
      <c r="N160" t="str">
        <f>_xlfn.XLOOKUP(tbl_FACTS[[#This Row],[CategoryID]],Πίνακας4[CategoryID],Πίνακας4[CategoryName])</f>
        <v>Meat/Poultry</v>
      </c>
      <c r="O160">
        <f>_xlfn.XLOOKUP(tbl_FACTS[[#This Row],[ProductID]],Πίνακας7[ProductID],Πίνακας7[SupplierID])</f>
        <v>25</v>
      </c>
      <c r="P160" t="str">
        <f>_xlfn.XLOOKUP(tbl_FACTS[[#This Row],[SupplierID]],Πίνακας9[SupplierID],Πίνακας9[SupplierName])</f>
        <v>Ma Maison</v>
      </c>
      <c r="Q160" s="21">
        <f>_xlfn.XLOOKUP(tbl_FACTS[[#This Row],[ProductID]],Πίνακας7[ProductID],Πίνακας7[Price])</f>
        <v>7</v>
      </c>
      <c r="R160" s="21">
        <f>tbl_FACTS[[#This Row],[Quantity]]*tbl_FACTS[[#This Row],[Price]]</f>
        <v>35</v>
      </c>
      <c r="S160" s="19">
        <f>IF(COUNTIFS(tbl_FACTS[OrderID],tbl_FACTS[[#This Row],[OrderID]],tbl_FACTS[OrderDetailID],"&lt;"&amp;tbl_FACTS[[#This Row],[OrderDetailID]])=0,1,0)</f>
        <v>0</v>
      </c>
      <c r="T160" s="19">
        <f>YEAR(tbl_FACTS[[#This Row],[OrderDate]])</f>
        <v>1996</v>
      </c>
      <c r="U160" s="22">
        <f>DATE(YEAR(tbl_FACTS[[#This Row],[OrderDate]]),MONTH(tbl_FACTS[[#This Row],[OrderDate]]),1)</f>
        <v>35309</v>
      </c>
      <c r="V160" s="22" t="str">
        <f>IF(tbl_FACTS[[#This Row],[Quantity]]&lt;=10,"0–10",IF(tbl_FACTS[[#This Row],[Quantity]]&lt;=20,"11–20",IF(tbl_FACTS[[#This Row],[Quantity]]&lt;=30,"21–30",IF(tbl_FACTS[[#This Row],[Quantity]]&lt;=40,"31–40",IF(tbl_FACTS[[#This Row],[Quantity]]&lt;=50,"41–50","51+")))))</f>
        <v>0–10</v>
      </c>
    </row>
    <row r="161" spans="1:22">
      <c r="A161">
        <v>160</v>
      </c>
      <c r="B161">
        <v>10307</v>
      </c>
      <c r="C161">
        <v>62</v>
      </c>
      <c r="D161" s="19">
        <v>10</v>
      </c>
      <c r="E161" s="20">
        <f>_xlfn.XLOOKUP(tbl_FACTS[[#This Row],[OrderID]],Πίνακας64[OrderID],Πίνακας64[OrderDate])</f>
        <v>35325</v>
      </c>
      <c r="F161">
        <f>_xlfn.XLOOKUP(tbl_FACTS[[#This Row],[OrderID]],Πίνακας64[OrderID],Πίνακας64[CustomerID])</f>
        <v>48</v>
      </c>
      <c r="G161" t="str">
        <f>_xlfn.XLOOKUP(tbl_FACTS[[#This Row],[CustomerID]],Πίνακας1[CustomerID],Πίνακας1[CustomerName])</f>
        <v>Lonesome Pine Restaurant</v>
      </c>
      <c r="H161" t="str">
        <f>_xlfn.XLOOKUP(tbl_FACTS[[#This Row],[CustomerID]],Πίνακας1[CustomerID],Πίνακας1[Country])</f>
        <v>USA</v>
      </c>
      <c r="I161">
        <f>_xlfn.XLOOKUP(tbl_FACTS[[#This Row],[OrderID]],Πίνακας64[OrderID],Πίνακας64[EmployeeID])</f>
        <v>2</v>
      </c>
      <c r="J161">
        <f>_xlfn.XLOOKUP(tbl_FACTS[[#This Row],[OrderID]],Πίνακας64[OrderID],Πίνακας64[ShipperID])</f>
        <v>2</v>
      </c>
      <c r="K161" t="str">
        <f>_xlfn.XLOOKUP(tbl_FACTS[[#This Row],[ShipperID]],Πίνακας8[ShipperID],Πίνακας8[ShipperName])</f>
        <v>United Package</v>
      </c>
      <c r="L161" t="str">
        <f>_xlfn.XLOOKUP(tbl_FACTS[[#This Row],[ProductID]],Πίνακας7[ProductID],Πίνακας7[ProductName])</f>
        <v>Tarte au sucre</v>
      </c>
      <c r="M161">
        <f>_xlfn.XLOOKUP(tbl_FACTS[[#This Row],[ProductID]],Πίνακας7[ProductID],Πίνακας7[CategoryID])</f>
        <v>3</v>
      </c>
      <c r="N161" t="str">
        <f>_xlfn.XLOOKUP(tbl_FACTS[[#This Row],[CategoryID]],Πίνακας4[CategoryID],Πίνακας4[CategoryName])</f>
        <v>Confections</v>
      </c>
      <c r="O161">
        <f>_xlfn.XLOOKUP(tbl_FACTS[[#This Row],[ProductID]],Πίνακας7[ProductID],Πίνακας7[SupplierID])</f>
        <v>29</v>
      </c>
      <c r="P161" t="str">
        <f>_xlfn.XLOOKUP(tbl_FACTS[[#This Row],[SupplierID]],Πίνακας9[SupplierID],Πίνακας9[SupplierName])</f>
        <v>Forets d'erables</v>
      </c>
      <c r="Q161" s="21">
        <f>_xlfn.XLOOKUP(tbl_FACTS[[#This Row],[ProductID]],Πίνακας7[ProductID],Πίνακας7[Price])</f>
        <v>49</v>
      </c>
      <c r="R161" s="21">
        <f>tbl_FACTS[[#This Row],[Quantity]]*tbl_FACTS[[#This Row],[Price]]</f>
        <v>490</v>
      </c>
      <c r="S161" s="19">
        <f>IF(COUNTIFS(tbl_FACTS[OrderID],tbl_FACTS[[#This Row],[OrderID]],tbl_FACTS[OrderDetailID],"&lt;"&amp;tbl_FACTS[[#This Row],[OrderDetailID]])=0,1,0)</f>
        <v>1</v>
      </c>
      <c r="T161" s="19">
        <f>YEAR(tbl_FACTS[[#This Row],[OrderDate]])</f>
        <v>1996</v>
      </c>
      <c r="U161" s="22">
        <f>DATE(YEAR(tbl_FACTS[[#This Row],[OrderDate]]),MONTH(tbl_FACTS[[#This Row],[OrderDate]]),1)</f>
        <v>35309</v>
      </c>
      <c r="V161" s="22" t="str">
        <f>IF(tbl_FACTS[[#This Row],[Quantity]]&lt;=10,"0–10",IF(tbl_FACTS[[#This Row],[Quantity]]&lt;=20,"11–20",IF(tbl_FACTS[[#This Row],[Quantity]]&lt;=30,"21–30",IF(tbl_FACTS[[#This Row],[Quantity]]&lt;=40,"31–40",IF(tbl_FACTS[[#This Row],[Quantity]]&lt;=50,"41–50","51+")))))</f>
        <v>0–10</v>
      </c>
    </row>
    <row r="162" spans="1:22">
      <c r="A162">
        <v>161</v>
      </c>
      <c r="B162">
        <v>10307</v>
      </c>
      <c r="C162">
        <v>68</v>
      </c>
      <c r="D162" s="19">
        <v>3</v>
      </c>
      <c r="E162" s="20">
        <f>_xlfn.XLOOKUP(tbl_FACTS[[#This Row],[OrderID]],Πίνακας64[OrderID],Πίνακας64[OrderDate])</f>
        <v>35325</v>
      </c>
      <c r="F162">
        <f>_xlfn.XLOOKUP(tbl_FACTS[[#This Row],[OrderID]],Πίνακας64[OrderID],Πίνακας64[CustomerID])</f>
        <v>48</v>
      </c>
      <c r="G162" t="str">
        <f>_xlfn.XLOOKUP(tbl_FACTS[[#This Row],[CustomerID]],Πίνακας1[CustomerID],Πίνακας1[CustomerName])</f>
        <v>Lonesome Pine Restaurant</v>
      </c>
      <c r="H162" t="str">
        <f>_xlfn.XLOOKUP(tbl_FACTS[[#This Row],[CustomerID]],Πίνακας1[CustomerID],Πίνακας1[Country])</f>
        <v>USA</v>
      </c>
      <c r="I162">
        <f>_xlfn.XLOOKUP(tbl_FACTS[[#This Row],[OrderID]],Πίνακας64[OrderID],Πίνακας64[EmployeeID])</f>
        <v>2</v>
      </c>
      <c r="J162">
        <f>_xlfn.XLOOKUP(tbl_FACTS[[#This Row],[OrderID]],Πίνακας64[OrderID],Πίνακας64[ShipperID])</f>
        <v>2</v>
      </c>
      <c r="K162" t="str">
        <f>_xlfn.XLOOKUP(tbl_FACTS[[#This Row],[ShipperID]],Πίνακας8[ShipperID],Πίνακας8[ShipperName])</f>
        <v>United Package</v>
      </c>
      <c r="L162" t="str">
        <f>_xlfn.XLOOKUP(tbl_FACTS[[#This Row],[ProductID]],Πίνακας7[ProductID],Πίνακας7[ProductName])</f>
        <v>Scottish Longbreads</v>
      </c>
      <c r="M162">
        <f>_xlfn.XLOOKUP(tbl_FACTS[[#This Row],[ProductID]],Πίνακας7[ProductID],Πίνακας7[CategoryID])</f>
        <v>3</v>
      </c>
      <c r="N162" t="str">
        <f>_xlfn.XLOOKUP(tbl_FACTS[[#This Row],[CategoryID]],Πίνακας4[CategoryID],Πίνακας4[CategoryName])</f>
        <v>Confections</v>
      </c>
      <c r="O162">
        <f>_xlfn.XLOOKUP(tbl_FACTS[[#This Row],[ProductID]],Πίνακας7[ProductID],Πίνακας7[SupplierID])</f>
        <v>8</v>
      </c>
      <c r="P162" t="str">
        <f>_xlfn.XLOOKUP(tbl_FACTS[[#This Row],[SupplierID]],Πίνακας9[SupplierID],Πίνακας9[SupplierName])</f>
        <v>Specialty Biscuits, Ltd.</v>
      </c>
      <c r="Q162" s="21">
        <f>_xlfn.XLOOKUP(tbl_FACTS[[#This Row],[ProductID]],Πίνακας7[ProductID],Πίνακας7[Price])</f>
        <v>13</v>
      </c>
      <c r="R162" s="21">
        <f>tbl_FACTS[[#This Row],[Quantity]]*tbl_FACTS[[#This Row],[Price]]</f>
        <v>39</v>
      </c>
      <c r="S162" s="19">
        <f>IF(COUNTIFS(tbl_FACTS[OrderID],tbl_FACTS[[#This Row],[OrderID]],tbl_FACTS[OrderDetailID],"&lt;"&amp;tbl_FACTS[[#This Row],[OrderDetailID]])=0,1,0)</f>
        <v>0</v>
      </c>
      <c r="T162" s="19">
        <f>YEAR(tbl_FACTS[[#This Row],[OrderDate]])</f>
        <v>1996</v>
      </c>
      <c r="U162" s="22">
        <f>DATE(YEAR(tbl_FACTS[[#This Row],[OrderDate]]),MONTH(tbl_FACTS[[#This Row],[OrderDate]]),1)</f>
        <v>35309</v>
      </c>
      <c r="V162" s="22" t="str">
        <f>IF(tbl_FACTS[[#This Row],[Quantity]]&lt;=10,"0–10",IF(tbl_FACTS[[#This Row],[Quantity]]&lt;=20,"11–20",IF(tbl_FACTS[[#This Row],[Quantity]]&lt;=30,"21–30",IF(tbl_FACTS[[#This Row],[Quantity]]&lt;=40,"31–40",IF(tbl_FACTS[[#This Row],[Quantity]]&lt;=50,"41–50","51+")))))</f>
        <v>0–10</v>
      </c>
    </row>
    <row r="163" spans="1:22">
      <c r="A163">
        <v>162</v>
      </c>
      <c r="B163">
        <v>10308</v>
      </c>
      <c r="C163">
        <v>69</v>
      </c>
      <c r="D163" s="19">
        <v>1</v>
      </c>
      <c r="E163" s="20">
        <f>_xlfn.XLOOKUP(tbl_FACTS[[#This Row],[OrderID]],Πίνακας64[OrderID],Πίνακας64[OrderDate])</f>
        <v>35326</v>
      </c>
      <c r="F163">
        <f>_xlfn.XLOOKUP(tbl_FACTS[[#This Row],[OrderID]],Πίνακας64[OrderID],Πίνακας64[CustomerID])</f>
        <v>2</v>
      </c>
      <c r="G163" t="str">
        <f>_xlfn.XLOOKUP(tbl_FACTS[[#This Row],[CustomerID]],Πίνακας1[CustomerID],Πίνακας1[CustomerName])</f>
        <v>Ana Trujillo Emparedados y helados</v>
      </c>
      <c r="H163" t="str">
        <f>_xlfn.XLOOKUP(tbl_FACTS[[#This Row],[CustomerID]],Πίνακας1[CustomerID],Πίνακας1[Country])</f>
        <v>Mexico</v>
      </c>
      <c r="I163">
        <f>_xlfn.XLOOKUP(tbl_FACTS[[#This Row],[OrderID]],Πίνακας64[OrderID],Πίνακας64[EmployeeID])</f>
        <v>7</v>
      </c>
      <c r="J163">
        <f>_xlfn.XLOOKUP(tbl_FACTS[[#This Row],[OrderID]],Πίνακας64[OrderID],Πίνακας64[ShipperID])</f>
        <v>3</v>
      </c>
      <c r="K163" t="str">
        <f>_xlfn.XLOOKUP(tbl_FACTS[[#This Row],[ShipperID]],Πίνακας8[ShipperID],Πίνακας8[ShipperName])</f>
        <v>Federal Shipping</v>
      </c>
      <c r="L163" t="str">
        <f>_xlfn.XLOOKUP(tbl_FACTS[[#This Row],[ProductID]],Πίνακας7[ProductID],Πίνακας7[ProductName])</f>
        <v>Gudbrandsdalsost</v>
      </c>
      <c r="M163">
        <f>_xlfn.XLOOKUP(tbl_FACTS[[#This Row],[ProductID]],Πίνακας7[ProductID],Πίνακας7[CategoryID])</f>
        <v>4</v>
      </c>
      <c r="N163" t="str">
        <f>_xlfn.XLOOKUP(tbl_FACTS[[#This Row],[CategoryID]],Πίνακας4[CategoryID],Πίνακας4[CategoryName])</f>
        <v>Dairy Products</v>
      </c>
      <c r="O163">
        <f>_xlfn.XLOOKUP(tbl_FACTS[[#This Row],[ProductID]],Πίνακας7[ProductID],Πίνακας7[SupplierID])</f>
        <v>15</v>
      </c>
      <c r="P163" t="str">
        <f>_xlfn.XLOOKUP(tbl_FACTS[[#This Row],[SupplierID]],Πίνακας9[SupplierID],Πίνακας9[SupplierName])</f>
        <v>Norske Meierier</v>
      </c>
      <c r="Q163" s="21">
        <f>_xlfn.XLOOKUP(tbl_FACTS[[#This Row],[ProductID]],Πίνακας7[ProductID],Πίνακας7[Price])</f>
        <v>36</v>
      </c>
      <c r="R163" s="21">
        <f>tbl_FACTS[[#This Row],[Quantity]]*tbl_FACTS[[#This Row],[Price]]</f>
        <v>36</v>
      </c>
      <c r="S163" s="19">
        <f>IF(COUNTIFS(tbl_FACTS[OrderID],tbl_FACTS[[#This Row],[OrderID]],tbl_FACTS[OrderDetailID],"&lt;"&amp;tbl_FACTS[[#This Row],[OrderDetailID]])=0,1,0)</f>
        <v>1</v>
      </c>
      <c r="T163" s="19">
        <f>YEAR(tbl_FACTS[[#This Row],[OrderDate]])</f>
        <v>1996</v>
      </c>
      <c r="U163" s="22">
        <f>DATE(YEAR(tbl_FACTS[[#This Row],[OrderDate]]),MONTH(tbl_FACTS[[#This Row],[OrderDate]]),1)</f>
        <v>35309</v>
      </c>
      <c r="V163" s="22" t="str">
        <f>IF(tbl_FACTS[[#This Row],[Quantity]]&lt;=10,"0–10",IF(tbl_FACTS[[#This Row],[Quantity]]&lt;=20,"11–20",IF(tbl_FACTS[[#This Row],[Quantity]]&lt;=30,"21–30",IF(tbl_FACTS[[#This Row],[Quantity]]&lt;=40,"31–40",IF(tbl_FACTS[[#This Row],[Quantity]]&lt;=50,"41–50","51+")))))</f>
        <v>0–10</v>
      </c>
    </row>
    <row r="164" spans="1:22">
      <c r="A164">
        <v>163</v>
      </c>
      <c r="B164">
        <v>10308</v>
      </c>
      <c r="C164">
        <v>70</v>
      </c>
      <c r="D164" s="19">
        <v>5</v>
      </c>
      <c r="E164" s="20">
        <f>_xlfn.XLOOKUP(tbl_FACTS[[#This Row],[OrderID]],Πίνακας64[OrderID],Πίνακας64[OrderDate])</f>
        <v>35326</v>
      </c>
      <c r="F164">
        <f>_xlfn.XLOOKUP(tbl_FACTS[[#This Row],[OrderID]],Πίνακας64[OrderID],Πίνακας64[CustomerID])</f>
        <v>2</v>
      </c>
      <c r="G164" t="str">
        <f>_xlfn.XLOOKUP(tbl_FACTS[[#This Row],[CustomerID]],Πίνακας1[CustomerID],Πίνακας1[CustomerName])</f>
        <v>Ana Trujillo Emparedados y helados</v>
      </c>
      <c r="H164" t="str">
        <f>_xlfn.XLOOKUP(tbl_FACTS[[#This Row],[CustomerID]],Πίνακας1[CustomerID],Πίνακας1[Country])</f>
        <v>Mexico</v>
      </c>
      <c r="I164">
        <f>_xlfn.XLOOKUP(tbl_FACTS[[#This Row],[OrderID]],Πίνακας64[OrderID],Πίνακας64[EmployeeID])</f>
        <v>7</v>
      </c>
      <c r="J164">
        <f>_xlfn.XLOOKUP(tbl_FACTS[[#This Row],[OrderID]],Πίνακας64[OrderID],Πίνακας64[ShipperID])</f>
        <v>3</v>
      </c>
      <c r="K164" t="str">
        <f>_xlfn.XLOOKUP(tbl_FACTS[[#This Row],[ShipperID]],Πίνακας8[ShipperID],Πίνακας8[ShipperName])</f>
        <v>Federal Shipping</v>
      </c>
      <c r="L164" t="str">
        <f>_xlfn.XLOOKUP(tbl_FACTS[[#This Row],[ProductID]],Πίνακας7[ProductID],Πίνακας7[ProductName])</f>
        <v>Outback Lager</v>
      </c>
      <c r="M164">
        <f>_xlfn.XLOOKUP(tbl_FACTS[[#This Row],[ProductID]],Πίνακας7[ProductID],Πίνακας7[CategoryID])</f>
        <v>1</v>
      </c>
      <c r="N164" t="str">
        <f>_xlfn.XLOOKUP(tbl_FACTS[[#This Row],[CategoryID]],Πίνακας4[CategoryID],Πίνακας4[CategoryName])</f>
        <v>Beverages</v>
      </c>
      <c r="O164">
        <f>_xlfn.XLOOKUP(tbl_FACTS[[#This Row],[ProductID]],Πίνακας7[ProductID],Πίνακας7[SupplierID])</f>
        <v>7</v>
      </c>
      <c r="P164" t="str">
        <f>_xlfn.XLOOKUP(tbl_FACTS[[#This Row],[SupplierID]],Πίνακας9[SupplierID],Πίνακας9[SupplierName])</f>
        <v>Pavlova, Ltd.</v>
      </c>
      <c r="Q164" s="21">
        <f>_xlfn.XLOOKUP(tbl_FACTS[[#This Row],[ProductID]],Πίνακας7[ProductID],Πίνακας7[Price])</f>
        <v>15</v>
      </c>
      <c r="R164" s="21">
        <f>tbl_FACTS[[#This Row],[Quantity]]*tbl_FACTS[[#This Row],[Price]]</f>
        <v>75</v>
      </c>
      <c r="S164" s="19">
        <f>IF(COUNTIFS(tbl_FACTS[OrderID],tbl_FACTS[[#This Row],[OrderID]],tbl_FACTS[OrderDetailID],"&lt;"&amp;tbl_FACTS[[#This Row],[OrderDetailID]])=0,1,0)</f>
        <v>0</v>
      </c>
      <c r="T164" s="19">
        <f>YEAR(tbl_FACTS[[#This Row],[OrderDate]])</f>
        <v>1996</v>
      </c>
      <c r="U164" s="22">
        <f>DATE(YEAR(tbl_FACTS[[#This Row],[OrderDate]]),MONTH(tbl_FACTS[[#This Row],[OrderDate]]),1)</f>
        <v>35309</v>
      </c>
      <c r="V164" s="22" t="str">
        <f>IF(tbl_FACTS[[#This Row],[Quantity]]&lt;=10,"0–10",IF(tbl_FACTS[[#This Row],[Quantity]]&lt;=20,"11–20",IF(tbl_FACTS[[#This Row],[Quantity]]&lt;=30,"21–30",IF(tbl_FACTS[[#This Row],[Quantity]]&lt;=40,"31–40",IF(tbl_FACTS[[#This Row],[Quantity]]&lt;=50,"41–50","51+")))))</f>
        <v>0–10</v>
      </c>
    </row>
    <row r="165" spans="1:22">
      <c r="A165">
        <v>164</v>
      </c>
      <c r="B165">
        <v>10309</v>
      </c>
      <c r="C165">
        <v>4</v>
      </c>
      <c r="D165" s="19">
        <v>20</v>
      </c>
      <c r="E165" s="20">
        <f>_xlfn.XLOOKUP(tbl_FACTS[[#This Row],[OrderID]],Πίνακας64[OrderID],Πίνακας64[OrderDate])</f>
        <v>35327</v>
      </c>
      <c r="F165">
        <f>_xlfn.XLOOKUP(tbl_FACTS[[#This Row],[OrderID]],Πίνακας64[OrderID],Πίνακας64[CustomerID])</f>
        <v>37</v>
      </c>
      <c r="G165" t="str">
        <f>_xlfn.XLOOKUP(tbl_FACTS[[#This Row],[CustomerID]],Πίνακας1[CustomerID],Πίνακας1[CustomerName])</f>
        <v>Hungry Owl All-Night Grocers</v>
      </c>
      <c r="H165" t="str">
        <f>_xlfn.XLOOKUP(tbl_FACTS[[#This Row],[CustomerID]],Πίνακας1[CustomerID],Πίνακας1[Country])</f>
        <v>Ireland</v>
      </c>
      <c r="I165">
        <f>_xlfn.XLOOKUP(tbl_FACTS[[#This Row],[OrderID]],Πίνακας64[OrderID],Πίνακας64[EmployeeID])</f>
        <v>3</v>
      </c>
      <c r="J165">
        <f>_xlfn.XLOOKUP(tbl_FACTS[[#This Row],[OrderID]],Πίνακας64[OrderID],Πίνακας64[ShipperID])</f>
        <v>1</v>
      </c>
      <c r="K165" t="str">
        <f>_xlfn.XLOOKUP(tbl_FACTS[[#This Row],[ShipperID]],Πίνακας8[ShipperID],Πίνακας8[ShipperName])</f>
        <v>Speedy Express</v>
      </c>
      <c r="L165" t="str">
        <f>_xlfn.XLOOKUP(tbl_FACTS[[#This Row],[ProductID]],Πίνακας7[ProductID],Πίνακας7[ProductName])</f>
        <v>Chef Anton's Cajun Seasoning</v>
      </c>
      <c r="M165">
        <f>_xlfn.XLOOKUP(tbl_FACTS[[#This Row],[ProductID]],Πίνακας7[ProductID],Πίνακας7[CategoryID])</f>
        <v>2</v>
      </c>
      <c r="N165" t="str">
        <f>_xlfn.XLOOKUP(tbl_FACTS[[#This Row],[CategoryID]],Πίνακας4[CategoryID],Πίνακας4[CategoryName])</f>
        <v>Condiments</v>
      </c>
      <c r="O165">
        <f>_xlfn.XLOOKUP(tbl_FACTS[[#This Row],[ProductID]],Πίνακας7[ProductID],Πίνακας7[SupplierID])</f>
        <v>2</v>
      </c>
      <c r="P165" t="str">
        <f>_xlfn.XLOOKUP(tbl_FACTS[[#This Row],[SupplierID]],Πίνακας9[SupplierID],Πίνακας9[SupplierName])</f>
        <v>New Orleans Cajun Delights</v>
      </c>
      <c r="Q165" s="21">
        <f>_xlfn.XLOOKUP(tbl_FACTS[[#This Row],[ProductID]],Πίνακας7[ProductID],Πίνακας7[Price])</f>
        <v>22</v>
      </c>
      <c r="R165" s="21">
        <f>tbl_FACTS[[#This Row],[Quantity]]*tbl_FACTS[[#This Row],[Price]]</f>
        <v>440</v>
      </c>
      <c r="S165" s="19">
        <f>IF(COUNTIFS(tbl_FACTS[OrderID],tbl_FACTS[[#This Row],[OrderID]],tbl_FACTS[OrderDetailID],"&lt;"&amp;tbl_FACTS[[#This Row],[OrderDetailID]])=0,1,0)</f>
        <v>1</v>
      </c>
      <c r="T165" s="19">
        <f>YEAR(tbl_FACTS[[#This Row],[OrderDate]])</f>
        <v>1996</v>
      </c>
      <c r="U165" s="22">
        <f>DATE(YEAR(tbl_FACTS[[#This Row],[OrderDate]]),MONTH(tbl_FACTS[[#This Row],[OrderDate]]),1)</f>
        <v>35309</v>
      </c>
      <c r="V165" s="22" t="str">
        <f>IF(tbl_FACTS[[#This Row],[Quantity]]&lt;=10,"0–10",IF(tbl_FACTS[[#This Row],[Quantity]]&lt;=20,"11–20",IF(tbl_FACTS[[#This Row],[Quantity]]&lt;=30,"21–30",IF(tbl_FACTS[[#This Row],[Quantity]]&lt;=40,"31–40",IF(tbl_FACTS[[#This Row],[Quantity]]&lt;=50,"41–50","51+")))))</f>
        <v>11–20</v>
      </c>
    </row>
    <row r="166" spans="1:22">
      <c r="A166">
        <v>165</v>
      </c>
      <c r="B166">
        <v>10309</v>
      </c>
      <c r="C166">
        <v>6</v>
      </c>
      <c r="D166" s="19">
        <v>30</v>
      </c>
      <c r="E166" s="20">
        <f>_xlfn.XLOOKUP(tbl_FACTS[[#This Row],[OrderID]],Πίνακας64[OrderID],Πίνακας64[OrderDate])</f>
        <v>35327</v>
      </c>
      <c r="F166">
        <f>_xlfn.XLOOKUP(tbl_FACTS[[#This Row],[OrderID]],Πίνακας64[OrderID],Πίνακας64[CustomerID])</f>
        <v>37</v>
      </c>
      <c r="G166" t="str">
        <f>_xlfn.XLOOKUP(tbl_FACTS[[#This Row],[CustomerID]],Πίνακας1[CustomerID],Πίνακας1[CustomerName])</f>
        <v>Hungry Owl All-Night Grocers</v>
      </c>
      <c r="H166" t="str">
        <f>_xlfn.XLOOKUP(tbl_FACTS[[#This Row],[CustomerID]],Πίνακας1[CustomerID],Πίνακας1[Country])</f>
        <v>Ireland</v>
      </c>
      <c r="I166">
        <f>_xlfn.XLOOKUP(tbl_FACTS[[#This Row],[OrderID]],Πίνακας64[OrderID],Πίνακας64[EmployeeID])</f>
        <v>3</v>
      </c>
      <c r="J166">
        <f>_xlfn.XLOOKUP(tbl_FACTS[[#This Row],[OrderID]],Πίνακας64[OrderID],Πίνακας64[ShipperID])</f>
        <v>1</v>
      </c>
      <c r="K166" t="str">
        <f>_xlfn.XLOOKUP(tbl_FACTS[[#This Row],[ShipperID]],Πίνακας8[ShipperID],Πίνακας8[ShipperName])</f>
        <v>Speedy Express</v>
      </c>
      <c r="L166" t="str">
        <f>_xlfn.XLOOKUP(tbl_FACTS[[#This Row],[ProductID]],Πίνακας7[ProductID],Πίνακας7[ProductName])</f>
        <v>Grandma's Boysenberry Spread</v>
      </c>
      <c r="M166">
        <f>_xlfn.XLOOKUP(tbl_FACTS[[#This Row],[ProductID]],Πίνακας7[ProductID],Πίνακας7[CategoryID])</f>
        <v>2</v>
      </c>
      <c r="N166" t="str">
        <f>_xlfn.XLOOKUP(tbl_FACTS[[#This Row],[CategoryID]],Πίνακας4[CategoryID],Πίνακας4[CategoryName])</f>
        <v>Condiments</v>
      </c>
      <c r="O166">
        <f>_xlfn.XLOOKUP(tbl_FACTS[[#This Row],[ProductID]],Πίνακας7[ProductID],Πίνακας7[SupplierID])</f>
        <v>3</v>
      </c>
      <c r="P166" t="str">
        <f>_xlfn.XLOOKUP(tbl_FACTS[[#This Row],[SupplierID]],Πίνακας9[SupplierID],Πίνακας9[SupplierName])</f>
        <v>Grandma Kelly's Homestead</v>
      </c>
      <c r="Q166" s="21">
        <f>_xlfn.XLOOKUP(tbl_FACTS[[#This Row],[ProductID]],Πίνακας7[ProductID],Πίνακας7[Price])</f>
        <v>25</v>
      </c>
      <c r="R166" s="21">
        <f>tbl_FACTS[[#This Row],[Quantity]]*tbl_FACTS[[#This Row],[Price]]</f>
        <v>750</v>
      </c>
      <c r="S166" s="19">
        <f>IF(COUNTIFS(tbl_FACTS[OrderID],tbl_FACTS[[#This Row],[OrderID]],tbl_FACTS[OrderDetailID],"&lt;"&amp;tbl_FACTS[[#This Row],[OrderDetailID]])=0,1,0)</f>
        <v>0</v>
      </c>
      <c r="T166" s="19">
        <f>YEAR(tbl_FACTS[[#This Row],[OrderDate]])</f>
        <v>1996</v>
      </c>
      <c r="U166" s="22">
        <f>DATE(YEAR(tbl_FACTS[[#This Row],[OrderDate]]),MONTH(tbl_FACTS[[#This Row],[OrderDate]]),1)</f>
        <v>35309</v>
      </c>
      <c r="V166" s="22" t="str">
        <f>IF(tbl_FACTS[[#This Row],[Quantity]]&lt;=10,"0–10",IF(tbl_FACTS[[#This Row],[Quantity]]&lt;=20,"11–20",IF(tbl_FACTS[[#This Row],[Quantity]]&lt;=30,"21–30",IF(tbl_FACTS[[#This Row],[Quantity]]&lt;=40,"31–40",IF(tbl_FACTS[[#This Row],[Quantity]]&lt;=50,"41–50","51+")))))</f>
        <v>21–30</v>
      </c>
    </row>
    <row r="167" spans="1:22">
      <c r="A167">
        <v>166</v>
      </c>
      <c r="B167">
        <v>10309</v>
      </c>
      <c r="C167">
        <v>42</v>
      </c>
      <c r="D167" s="19">
        <v>2</v>
      </c>
      <c r="E167" s="20">
        <f>_xlfn.XLOOKUP(tbl_FACTS[[#This Row],[OrderID]],Πίνακας64[OrderID],Πίνακας64[OrderDate])</f>
        <v>35327</v>
      </c>
      <c r="F167">
        <f>_xlfn.XLOOKUP(tbl_FACTS[[#This Row],[OrderID]],Πίνακας64[OrderID],Πίνακας64[CustomerID])</f>
        <v>37</v>
      </c>
      <c r="G167" t="str">
        <f>_xlfn.XLOOKUP(tbl_FACTS[[#This Row],[CustomerID]],Πίνακας1[CustomerID],Πίνακας1[CustomerName])</f>
        <v>Hungry Owl All-Night Grocers</v>
      </c>
      <c r="H167" t="str">
        <f>_xlfn.XLOOKUP(tbl_FACTS[[#This Row],[CustomerID]],Πίνακας1[CustomerID],Πίνακας1[Country])</f>
        <v>Ireland</v>
      </c>
      <c r="I167">
        <f>_xlfn.XLOOKUP(tbl_FACTS[[#This Row],[OrderID]],Πίνακας64[OrderID],Πίνακας64[EmployeeID])</f>
        <v>3</v>
      </c>
      <c r="J167">
        <f>_xlfn.XLOOKUP(tbl_FACTS[[#This Row],[OrderID]],Πίνακας64[OrderID],Πίνακας64[ShipperID])</f>
        <v>1</v>
      </c>
      <c r="K167" t="str">
        <f>_xlfn.XLOOKUP(tbl_FACTS[[#This Row],[ShipperID]],Πίνακας8[ShipperID],Πίνακας8[ShipperName])</f>
        <v>Speedy Express</v>
      </c>
      <c r="L167" t="str">
        <f>_xlfn.XLOOKUP(tbl_FACTS[[#This Row],[ProductID]],Πίνακας7[ProductID],Πίνακας7[ProductName])</f>
        <v>Singaporean Hokkien Fried Mee</v>
      </c>
      <c r="M167">
        <f>_xlfn.XLOOKUP(tbl_FACTS[[#This Row],[ProductID]],Πίνακας7[ProductID],Πίνακας7[CategoryID])</f>
        <v>5</v>
      </c>
      <c r="N167" t="str">
        <f>_xlfn.XLOOKUP(tbl_FACTS[[#This Row],[CategoryID]],Πίνακας4[CategoryID],Πίνακας4[CategoryName])</f>
        <v>Grains/Cereals</v>
      </c>
      <c r="O167">
        <f>_xlfn.XLOOKUP(tbl_FACTS[[#This Row],[ProductID]],Πίνακας7[ProductID],Πίνακας7[SupplierID])</f>
        <v>20</v>
      </c>
      <c r="P167" t="str">
        <f>_xlfn.XLOOKUP(tbl_FACTS[[#This Row],[SupplierID]],Πίνακας9[SupplierID],Πίνακας9[SupplierName])</f>
        <v>Leka Trading</v>
      </c>
      <c r="Q167" s="21">
        <f>_xlfn.XLOOKUP(tbl_FACTS[[#This Row],[ProductID]],Πίνακας7[ProductID],Πίνακας7[Price])</f>
        <v>14</v>
      </c>
      <c r="R167" s="21">
        <f>tbl_FACTS[[#This Row],[Quantity]]*tbl_FACTS[[#This Row],[Price]]</f>
        <v>28</v>
      </c>
      <c r="S167" s="19">
        <f>IF(COUNTIFS(tbl_FACTS[OrderID],tbl_FACTS[[#This Row],[OrderID]],tbl_FACTS[OrderDetailID],"&lt;"&amp;tbl_FACTS[[#This Row],[OrderDetailID]])=0,1,0)</f>
        <v>0</v>
      </c>
      <c r="T167" s="19">
        <f>YEAR(tbl_FACTS[[#This Row],[OrderDate]])</f>
        <v>1996</v>
      </c>
      <c r="U167" s="22">
        <f>DATE(YEAR(tbl_FACTS[[#This Row],[OrderDate]]),MONTH(tbl_FACTS[[#This Row],[OrderDate]]),1)</f>
        <v>35309</v>
      </c>
      <c r="V167" s="22" t="str">
        <f>IF(tbl_FACTS[[#This Row],[Quantity]]&lt;=10,"0–10",IF(tbl_FACTS[[#This Row],[Quantity]]&lt;=20,"11–20",IF(tbl_FACTS[[#This Row],[Quantity]]&lt;=30,"21–30",IF(tbl_FACTS[[#This Row],[Quantity]]&lt;=40,"31–40",IF(tbl_FACTS[[#This Row],[Quantity]]&lt;=50,"41–50","51+")))))</f>
        <v>0–10</v>
      </c>
    </row>
    <row r="168" spans="1:22">
      <c r="A168">
        <v>167</v>
      </c>
      <c r="B168">
        <v>10309</v>
      </c>
      <c r="C168">
        <v>43</v>
      </c>
      <c r="D168" s="19">
        <v>20</v>
      </c>
      <c r="E168" s="20">
        <f>_xlfn.XLOOKUP(tbl_FACTS[[#This Row],[OrderID]],Πίνακας64[OrderID],Πίνακας64[OrderDate])</f>
        <v>35327</v>
      </c>
      <c r="F168">
        <f>_xlfn.XLOOKUP(tbl_FACTS[[#This Row],[OrderID]],Πίνακας64[OrderID],Πίνακας64[CustomerID])</f>
        <v>37</v>
      </c>
      <c r="G168" t="str">
        <f>_xlfn.XLOOKUP(tbl_FACTS[[#This Row],[CustomerID]],Πίνακας1[CustomerID],Πίνακας1[CustomerName])</f>
        <v>Hungry Owl All-Night Grocers</v>
      </c>
      <c r="H168" t="str">
        <f>_xlfn.XLOOKUP(tbl_FACTS[[#This Row],[CustomerID]],Πίνακας1[CustomerID],Πίνακας1[Country])</f>
        <v>Ireland</v>
      </c>
      <c r="I168">
        <f>_xlfn.XLOOKUP(tbl_FACTS[[#This Row],[OrderID]],Πίνακας64[OrderID],Πίνακας64[EmployeeID])</f>
        <v>3</v>
      </c>
      <c r="J168">
        <f>_xlfn.XLOOKUP(tbl_FACTS[[#This Row],[OrderID]],Πίνακας64[OrderID],Πίνακας64[ShipperID])</f>
        <v>1</v>
      </c>
      <c r="K168" t="str">
        <f>_xlfn.XLOOKUP(tbl_FACTS[[#This Row],[ShipperID]],Πίνακας8[ShipperID],Πίνακας8[ShipperName])</f>
        <v>Speedy Express</v>
      </c>
      <c r="L168" t="str">
        <f>_xlfn.XLOOKUP(tbl_FACTS[[#This Row],[ProductID]],Πίνακας7[ProductID],Πίνακας7[ProductName])</f>
        <v>Ipoh Coffee</v>
      </c>
      <c r="M168">
        <f>_xlfn.XLOOKUP(tbl_FACTS[[#This Row],[ProductID]],Πίνακας7[ProductID],Πίνακας7[CategoryID])</f>
        <v>1</v>
      </c>
      <c r="N168" t="str">
        <f>_xlfn.XLOOKUP(tbl_FACTS[[#This Row],[CategoryID]],Πίνακας4[CategoryID],Πίνακας4[CategoryName])</f>
        <v>Beverages</v>
      </c>
      <c r="O168">
        <f>_xlfn.XLOOKUP(tbl_FACTS[[#This Row],[ProductID]],Πίνακας7[ProductID],Πίνακας7[SupplierID])</f>
        <v>20</v>
      </c>
      <c r="P168" t="str">
        <f>_xlfn.XLOOKUP(tbl_FACTS[[#This Row],[SupplierID]],Πίνακας9[SupplierID],Πίνακας9[SupplierName])</f>
        <v>Leka Trading</v>
      </c>
      <c r="Q168" s="21">
        <f>_xlfn.XLOOKUP(tbl_FACTS[[#This Row],[ProductID]],Πίνακας7[ProductID],Πίνακας7[Price])</f>
        <v>46</v>
      </c>
      <c r="R168" s="21">
        <f>tbl_FACTS[[#This Row],[Quantity]]*tbl_FACTS[[#This Row],[Price]]</f>
        <v>920</v>
      </c>
      <c r="S168" s="19">
        <f>IF(COUNTIFS(tbl_FACTS[OrderID],tbl_FACTS[[#This Row],[OrderID]],tbl_FACTS[OrderDetailID],"&lt;"&amp;tbl_FACTS[[#This Row],[OrderDetailID]])=0,1,0)</f>
        <v>0</v>
      </c>
      <c r="T168" s="19">
        <f>YEAR(tbl_FACTS[[#This Row],[OrderDate]])</f>
        <v>1996</v>
      </c>
      <c r="U168" s="22">
        <f>DATE(YEAR(tbl_FACTS[[#This Row],[OrderDate]]),MONTH(tbl_FACTS[[#This Row],[OrderDate]]),1)</f>
        <v>35309</v>
      </c>
      <c r="V168" s="22" t="str">
        <f>IF(tbl_FACTS[[#This Row],[Quantity]]&lt;=10,"0–10",IF(tbl_FACTS[[#This Row],[Quantity]]&lt;=20,"11–20",IF(tbl_FACTS[[#This Row],[Quantity]]&lt;=30,"21–30",IF(tbl_FACTS[[#This Row],[Quantity]]&lt;=40,"31–40",IF(tbl_FACTS[[#This Row],[Quantity]]&lt;=50,"41–50","51+")))))</f>
        <v>11–20</v>
      </c>
    </row>
    <row r="169" spans="1:22">
      <c r="A169">
        <v>168</v>
      </c>
      <c r="B169">
        <v>10309</v>
      </c>
      <c r="C169">
        <v>71</v>
      </c>
      <c r="D169" s="19">
        <v>3</v>
      </c>
      <c r="E169" s="20">
        <f>_xlfn.XLOOKUP(tbl_FACTS[[#This Row],[OrderID]],Πίνακας64[OrderID],Πίνακας64[OrderDate])</f>
        <v>35327</v>
      </c>
      <c r="F169">
        <f>_xlfn.XLOOKUP(tbl_FACTS[[#This Row],[OrderID]],Πίνακας64[OrderID],Πίνακας64[CustomerID])</f>
        <v>37</v>
      </c>
      <c r="G169" t="str">
        <f>_xlfn.XLOOKUP(tbl_FACTS[[#This Row],[CustomerID]],Πίνακας1[CustomerID],Πίνακας1[CustomerName])</f>
        <v>Hungry Owl All-Night Grocers</v>
      </c>
      <c r="H169" t="str">
        <f>_xlfn.XLOOKUP(tbl_FACTS[[#This Row],[CustomerID]],Πίνακας1[CustomerID],Πίνακας1[Country])</f>
        <v>Ireland</v>
      </c>
      <c r="I169">
        <f>_xlfn.XLOOKUP(tbl_FACTS[[#This Row],[OrderID]],Πίνακας64[OrderID],Πίνακας64[EmployeeID])</f>
        <v>3</v>
      </c>
      <c r="J169">
        <f>_xlfn.XLOOKUP(tbl_FACTS[[#This Row],[OrderID]],Πίνακας64[OrderID],Πίνακας64[ShipperID])</f>
        <v>1</v>
      </c>
      <c r="K169" t="str">
        <f>_xlfn.XLOOKUP(tbl_FACTS[[#This Row],[ShipperID]],Πίνακας8[ShipperID],Πίνακας8[ShipperName])</f>
        <v>Speedy Express</v>
      </c>
      <c r="L169" t="str">
        <f>_xlfn.XLOOKUP(tbl_FACTS[[#This Row],[ProductID]],Πίνακας7[ProductID],Πίνακας7[ProductName])</f>
        <v>Fl├©temysost</v>
      </c>
      <c r="M169">
        <f>_xlfn.XLOOKUP(tbl_FACTS[[#This Row],[ProductID]],Πίνακας7[ProductID],Πίνακας7[CategoryID])</f>
        <v>4</v>
      </c>
      <c r="N169" t="str">
        <f>_xlfn.XLOOKUP(tbl_FACTS[[#This Row],[CategoryID]],Πίνακας4[CategoryID],Πίνακας4[CategoryName])</f>
        <v>Dairy Products</v>
      </c>
      <c r="O169">
        <f>_xlfn.XLOOKUP(tbl_FACTS[[#This Row],[ProductID]],Πίνακας7[ProductID],Πίνακας7[SupplierID])</f>
        <v>15</v>
      </c>
      <c r="P169" t="str">
        <f>_xlfn.XLOOKUP(tbl_FACTS[[#This Row],[SupplierID]],Πίνακας9[SupplierID],Πίνακας9[SupplierName])</f>
        <v>Norske Meierier</v>
      </c>
      <c r="Q169" s="21">
        <f>_xlfn.XLOOKUP(tbl_FACTS[[#This Row],[ProductID]],Πίνακας7[ProductID],Πίνακας7[Price])</f>
        <v>22</v>
      </c>
      <c r="R169" s="21">
        <f>tbl_FACTS[[#This Row],[Quantity]]*tbl_FACTS[[#This Row],[Price]]</f>
        <v>66</v>
      </c>
      <c r="S169" s="19">
        <f>IF(COUNTIFS(tbl_FACTS[OrderID],tbl_FACTS[[#This Row],[OrderID]],tbl_FACTS[OrderDetailID],"&lt;"&amp;tbl_FACTS[[#This Row],[OrderDetailID]])=0,1,0)</f>
        <v>0</v>
      </c>
      <c r="T169" s="19">
        <f>YEAR(tbl_FACTS[[#This Row],[OrderDate]])</f>
        <v>1996</v>
      </c>
      <c r="U169" s="22">
        <f>DATE(YEAR(tbl_FACTS[[#This Row],[OrderDate]]),MONTH(tbl_FACTS[[#This Row],[OrderDate]]),1)</f>
        <v>35309</v>
      </c>
      <c r="V169" s="22" t="str">
        <f>IF(tbl_FACTS[[#This Row],[Quantity]]&lt;=10,"0–10",IF(tbl_FACTS[[#This Row],[Quantity]]&lt;=20,"11–20",IF(tbl_FACTS[[#This Row],[Quantity]]&lt;=30,"21–30",IF(tbl_FACTS[[#This Row],[Quantity]]&lt;=40,"31–40",IF(tbl_FACTS[[#This Row],[Quantity]]&lt;=50,"41–50","51+")))))</f>
        <v>0–10</v>
      </c>
    </row>
    <row r="170" spans="1:22">
      <c r="A170">
        <v>169</v>
      </c>
      <c r="B170">
        <v>10310</v>
      </c>
      <c r="C170">
        <v>16</v>
      </c>
      <c r="D170" s="19">
        <v>10</v>
      </c>
      <c r="E170" s="20">
        <f>_xlfn.XLOOKUP(tbl_FACTS[[#This Row],[OrderID]],Πίνακας64[OrderID],Πίνακας64[OrderDate])</f>
        <v>35328</v>
      </c>
      <c r="F170">
        <f>_xlfn.XLOOKUP(tbl_FACTS[[#This Row],[OrderID]],Πίνακας64[OrderID],Πίνακας64[CustomerID])</f>
        <v>77</v>
      </c>
      <c r="G170" t="str">
        <f>_xlfn.XLOOKUP(tbl_FACTS[[#This Row],[CustomerID]],Πίνακας1[CustomerID],Πίνακας1[CustomerName])</f>
        <v>The Big Cheese</v>
      </c>
      <c r="H170" t="str">
        <f>_xlfn.XLOOKUP(tbl_FACTS[[#This Row],[CustomerID]],Πίνακας1[CustomerID],Πίνακας1[Country])</f>
        <v>USA</v>
      </c>
      <c r="I170">
        <f>_xlfn.XLOOKUP(tbl_FACTS[[#This Row],[OrderID]],Πίνακας64[OrderID],Πίνακας64[EmployeeID])</f>
        <v>8</v>
      </c>
      <c r="J170">
        <f>_xlfn.XLOOKUP(tbl_FACTS[[#This Row],[OrderID]],Πίνακας64[OrderID],Πίνακας64[ShipperID])</f>
        <v>2</v>
      </c>
      <c r="K170" t="str">
        <f>_xlfn.XLOOKUP(tbl_FACTS[[#This Row],[ShipperID]],Πίνακας8[ShipperID],Πίνακας8[ShipperName])</f>
        <v>United Package</v>
      </c>
      <c r="L170" t="str">
        <f>_xlfn.XLOOKUP(tbl_FACTS[[#This Row],[ProductID]],Πίνακας7[ProductID],Πίνακας7[ProductName])</f>
        <v>Pavlova</v>
      </c>
      <c r="M170">
        <f>_xlfn.XLOOKUP(tbl_FACTS[[#This Row],[ProductID]],Πίνακας7[ProductID],Πίνακας7[CategoryID])</f>
        <v>3</v>
      </c>
      <c r="N170" t="str">
        <f>_xlfn.XLOOKUP(tbl_FACTS[[#This Row],[CategoryID]],Πίνακας4[CategoryID],Πίνακας4[CategoryName])</f>
        <v>Confections</v>
      </c>
      <c r="O170">
        <f>_xlfn.XLOOKUP(tbl_FACTS[[#This Row],[ProductID]],Πίνακας7[ProductID],Πίνακας7[SupplierID])</f>
        <v>7</v>
      </c>
      <c r="P170" t="str">
        <f>_xlfn.XLOOKUP(tbl_FACTS[[#This Row],[SupplierID]],Πίνακας9[SupplierID],Πίνακας9[SupplierName])</f>
        <v>Pavlova, Ltd.</v>
      </c>
      <c r="Q170" s="21">
        <f>_xlfn.XLOOKUP(tbl_FACTS[[#This Row],[ProductID]],Πίνακας7[ProductID],Πίνακας7[Price])</f>
        <v>17</v>
      </c>
      <c r="R170" s="21">
        <f>tbl_FACTS[[#This Row],[Quantity]]*tbl_FACTS[[#This Row],[Price]]</f>
        <v>170</v>
      </c>
      <c r="S170" s="19">
        <f>IF(COUNTIFS(tbl_FACTS[OrderID],tbl_FACTS[[#This Row],[OrderID]],tbl_FACTS[OrderDetailID],"&lt;"&amp;tbl_FACTS[[#This Row],[OrderDetailID]])=0,1,0)</f>
        <v>1</v>
      </c>
      <c r="T170" s="19">
        <f>YEAR(tbl_FACTS[[#This Row],[OrderDate]])</f>
        <v>1996</v>
      </c>
      <c r="U170" s="22">
        <f>DATE(YEAR(tbl_FACTS[[#This Row],[OrderDate]]),MONTH(tbl_FACTS[[#This Row],[OrderDate]]),1)</f>
        <v>35309</v>
      </c>
      <c r="V170" s="22" t="str">
        <f>IF(tbl_FACTS[[#This Row],[Quantity]]&lt;=10,"0–10",IF(tbl_FACTS[[#This Row],[Quantity]]&lt;=20,"11–20",IF(tbl_FACTS[[#This Row],[Quantity]]&lt;=30,"21–30",IF(tbl_FACTS[[#This Row],[Quantity]]&lt;=40,"31–40",IF(tbl_FACTS[[#This Row],[Quantity]]&lt;=50,"41–50","51+")))))</f>
        <v>0–10</v>
      </c>
    </row>
    <row r="171" spans="1:22">
      <c r="A171">
        <v>170</v>
      </c>
      <c r="B171">
        <v>10310</v>
      </c>
      <c r="C171">
        <v>62</v>
      </c>
      <c r="D171" s="19">
        <v>5</v>
      </c>
      <c r="E171" s="20">
        <f>_xlfn.XLOOKUP(tbl_FACTS[[#This Row],[OrderID]],Πίνακας64[OrderID],Πίνακας64[OrderDate])</f>
        <v>35328</v>
      </c>
      <c r="F171">
        <f>_xlfn.XLOOKUP(tbl_FACTS[[#This Row],[OrderID]],Πίνακας64[OrderID],Πίνακας64[CustomerID])</f>
        <v>77</v>
      </c>
      <c r="G171" t="str">
        <f>_xlfn.XLOOKUP(tbl_FACTS[[#This Row],[CustomerID]],Πίνακας1[CustomerID],Πίνακας1[CustomerName])</f>
        <v>The Big Cheese</v>
      </c>
      <c r="H171" t="str">
        <f>_xlfn.XLOOKUP(tbl_FACTS[[#This Row],[CustomerID]],Πίνακας1[CustomerID],Πίνακας1[Country])</f>
        <v>USA</v>
      </c>
      <c r="I171">
        <f>_xlfn.XLOOKUP(tbl_FACTS[[#This Row],[OrderID]],Πίνακας64[OrderID],Πίνακας64[EmployeeID])</f>
        <v>8</v>
      </c>
      <c r="J171">
        <f>_xlfn.XLOOKUP(tbl_FACTS[[#This Row],[OrderID]],Πίνακας64[OrderID],Πίνακας64[ShipperID])</f>
        <v>2</v>
      </c>
      <c r="K171" t="str">
        <f>_xlfn.XLOOKUP(tbl_FACTS[[#This Row],[ShipperID]],Πίνακας8[ShipperID],Πίνακας8[ShipperName])</f>
        <v>United Package</v>
      </c>
      <c r="L171" t="str">
        <f>_xlfn.XLOOKUP(tbl_FACTS[[#This Row],[ProductID]],Πίνακας7[ProductID],Πίνακας7[ProductName])</f>
        <v>Tarte au sucre</v>
      </c>
      <c r="M171">
        <f>_xlfn.XLOOKUP(tbl_FACTS[[#This Row],[ProductID]],Πίνακας7[ProductID],Πίνακας7[CategoryID])</f>
        <v>3</v>
      </c>
      <c r="N171" t="str">
        <f>_xlfn.XLOOKUP(tbl_FACTS[[#This Row],[CategoryID]],Πίνακας4[CategoryID],Πίνακας4[CategoryName])</f>
        <v>Confections</v>
      </c>
      <c r="O171">
        <f>_xlfn.XLOOKUP(tbl_FACTS[[#This Row],[ProductID]],Πίνακας7[ProductID],Πίνακας7[SupplierID])</f>
        <v>29</v>
      </c>
      <c r="P171" t="str">
        <f>_xlfn.XLOOKUP(tbl_FACTS[[#This Row],[SupplierID]],Πίνακας9[SupplierID],Πίνακας9[SupplierName])</f>
        <v>Forets d'erables</v>
      </c>
      <c r="Q171" s="21">
        <f>_xlfn.XLOOKUP(tbl_FACTS[[#This Row],[ProductID]],Πίνακας7[ProductID],Πίνακας7[Price])</f>
        <v>49</v>
      </c>
      <c r="R171" s="21">
        <f>tbl_FACTS[[#This Row],[Quantity]]*tbl_FACTS[[#This Row],[Price]]</f>
        <v>245</v>
      </c>
      <c r="S171" s="19">
        <f>IF(COUNTIFS(tbl_FACTS[OrderID],tbl_FACTS[[#This Row],[OrderID]],tbl_FACTS[OrderDetailID],"&lt;"&amp;tbl_FACTS[[#This Row],[OrderDetailID]])=0,1,0)</f>
        <v>0</v>
      </c>
      <c r="T171" s="19">
        <f>YEAR(tbl_FACTS[[#This Row],[OrderDate]])</f>
        <v>1996</v>
      </c>
      <c r="U171" s="22">
        <f>DATE(YEAR(tbl_FACTS[[#This Row],[OrderDate]]),MONTH(tbl_FACTS[[#This Row],[OrderDate]]),1)</f>
        <v>35309</v>
      </c>
      <c r="V171" s="22" t="str">
        <f>IF(tbl_FACTS[[#This Row],[Quantity]]&lt;=10,"0–10",IF(tbl_FACTS[[#This Row],[Quantity]]&lt;=20,"11–20",IF(tbl_FACTS[[#This Row],[Quantity]]&lt;=30,"21–30",IF(tbl_FACTS[[#This Row],[Quantity]]&lt;=40,"31–40",IF(tbl_FACTS[[#This Row],[Quantity]]&lt;=50,"41–50","51+")))))</f>
        <v>0–10</v>
      </c>
    </row>
    <row r="172" spans="1:22">
      <c r="A172">
        <v>171</v>
      </c>
      <c r="B172">
        <v>10311</v>
      </c>
      <c r="C172">
        <v>42</v>
      </c>
      <c r="D172" s="19">
        <v>6</v>
      </c>
      <c r="E172" s="20">
        <f>_xlfn.XLOOKUP(tbl_FACTS[[#This Row],[OrderID]],Πίνακας64[OrderID],Πίνακας64[OrderDate])</f>
        <v>35328</v>
      </c>
      <c r="F172">
        <f>_xlfn.XLOOKUP(tbl_FACTS[[#This Row],[OrderID]],Πίνακας64[OrderID],Πίνακας64[CustomerID])</f>
        <v>18</v>
      </c>
      <c r="G172" t="str">
        <f>_xlfn.XLOOKUP(tbl_FACTS[[#This Row],[CustomerID]],Πίνακας1[CustomerID],Πίνακας1[CustomerName])</f>
        <v>Du monde entier</v>
      </c>
      <c r="H172" t="str">
        <f>_xlfn.XLOOKUP(tbl_FACTS[[#This Row],[CustomerID]],Πίνακας1[CustomerID],Πίνακας1[Country])</f>
        <v>France</v>
      </c>
      <c r="I172">
        <f>_xlfn.XLOOKUP(tbl_FACTS[[#This Row],[OrderID]],Πίνακας64[OrderID],Πίνακας64[EmployeeID])</f>
        <v>1</v>
      </c>
      <c r="J172">
        <f>_xlfn.XLOOKUP(tbl_FACTS[[#This Row],[OrderID]],Πίνακας64[OrderID],Πίνακας64[ShipperID])</f>
        <v>3</v>
      </c>
      <c r="K172" t="str">
        <f>_xlfn.XLOOKUP(tbl_FACTS[[#This Row],[ShipperID]],Πίνακας8[ShipperID],Πίνακας8[ShipperName])</f>
        <v>Federal Shipping</v>
      </c>
      <c r="L172" t="str">
        <f>_xlfn.XLOOKUP(tbl_FACTS[[#This Row],[ProductID]],Πίνακας7[ProductID],Πίνακας7[ProductName])</f>
        <v>Singaporean Hokkien Fried Mee</v>
      </c>
      <c r="M172">
        <f>_xlfn.XLOOKUP(tbl_FACTS[[#This Row],[ProductID]],Πίνακας7[ProductID],Πίνακας7[CategoryID])</f>
        <v>5</v>
      </c>
      <c r="N172" t="str">
        <f>_xlfn.XLOOKUP(tbl_FACTS[[#This Row],[CategoryID]],Πίνακας4[CategoryID],Πίνακας4[CategoryName])</f>
        <v>Grains/Cereals</v>
      </c>
      <c r="O172">
        <f>_xlfn.XLOOKUP(tbl_FACTS[[#This Row],[ProductID]],Πίνακας7[ProductID],Πίνακας7[SupplierID])</f>
        <v>20</v>
      </c>
      <c r="P172" t="str">
        <f>_xlfn.XLOOKUP(tbl_FACTS[[#This Row],[SupplierID]],Πίνακας9[SupplierID],Πίνακας9[SupplierName])</f>
        <v>Leka Trading</v>
      </c>
      <c r="Q172" s="21">
        <f>_xlfn.XLOOKUP(tbl_FACTS[[#This Row],[ProductID]],Πίνακας7[ProductID],Πίνακας7[Price])</f>
        <v>14</v>
      </c>
      <c r="R172" s="21">
        <f>tbl_FACTS[[#This Row],[Quantity]]*tbl_FACTS[[#This Row],[Price]]</f>
        <v>84</v>
      </c>
      <c r="S172" s="19">
        <f>IF(COUNTIFS(tbl_FACTS[OrderID],tbl_FACTS[[#This Row],[OrderID]],tbl_FACTS[OrderDetailID],"&lt;"&amp;tbl_FACTS[[#This Row],[OrderDetailID]])=0,1,0)</f>
        <v>1</v>
      </c>
      <c r="T172" s="19">
        <f>YEAR(tbl_FACTS[[#This Row],[OrderDate]])</f>
        <v>1996</v>
      </c>
      <c r="U172" s="22">
        <f>DATE(YEAR(tbl_FACTS[[#This Row],[OrderDate]]),MONTH(tbl_FACTS[[#This Row],[OrderDate]]),1)</f>
        <v>35309</v>
      </c>
      <c r="V172" s="22" t="str">
        <f>IF(tbl_FACTS[[#This Row],[Quantity]]&lt;=10,"0–10",IF(tbl_FACTS[[#This Row],[Quantity]]&lt;=20,"11–20",IF(tbl_FACTS[[#This Row],[Quantity]]&lt;=30,"21–30",IF(tbl_FACTS[[#This Row],[Quantity]]&lt;=40,"31–40",IF(tbl_FACTS[[#This Row],[Quantity]]&lt;=50,"41–50","51+")))))</f>
        <v>0–10</v>
      </c>
    </row>
    <row r="173" spans="1:22">
      <c r="A173">
        <v>172</v>
      </c>
      <c r="B173">
        <v>10311</v>
      </c>
      <c r="C173">
        <v>69</v>
      </c>
      <c r="D173" s="19">
        <v>7</v>
      </c>
      <c r="E173" s="20">
        <f>_xlfn.XLOOKUP(tbl_FACTS[[#This Row],[OrderID]],Πίνακας64[OrderID],Πίνακας64[OrderDate])</f>
        <v>35328</v>
      </c>
      <c r="F173">
        <f>_xlfn.XLOOKUP(tbl_FACTS[[#This Row],[OrderID]],Πίνακας64[OrderID],Πίνακας64[CustomerID])</f>
        <v>18</v>
      </c>
      <c r="G173" t="str">
        <f>_xlfn.XLOOKUP(tbl_FACTS[[#This Row],[CustomerID]],Πίνακας1[CustomerID],Πίνακας1[CustomerName])</f>
        <v>Du monde entier</v>
      </c>
      <c r="H173" t="str">
        <f>_xlfn.XLOOKUP(tbl_FACTS[[#This Row],[CustomerID]],Πίνακας1[CustomerID],Πίνακας1[Country])</f>
        <v>France</v>
      </c>
      <c r="I173">
        <f>_xlfn.XLOOKUP(tbl_FACTS[[#This Row],[OrderID]],Πίνακας64[OrderID],Πίνακας64[EmployeeID])</f>
        <v>1</v>
      </c>
      <c r="J173">
        <f>_xlfn.XLOOKUP(tbl_FACTS[[#This Row],[OrderID]],Πίνακας64[OrderID],Πίνακας64[ShipperID])</f>
        <v>3</v>
      </c>
      <c r="K173" t="str">
        <f>_xlfn.XLOOKUP(tbl_FACTS[[#This Row],[ShipperID]],Πίνακας8[ShipperID],Πίνακας8[ShipperName])</f>
        <v>Federal Shipping</v>
      </c>
      <c r="L173" t="str">
        <f>_xlfn.XLOOKUP(tbl_FACTS[[#This Row],[ProductID]],Πίνακας7[ProductID],Πίνακας7[ProductName])</f>
        <v>Gudbrandsdalsost</v>
      </c>
      <c r="M173">
        <f>_xlfn.XLOOKUP(tbl_FACTS[[#This Row],[ProductID]],Πίνακας7[ProductID],Πίνακας7[CategoryID])</f>
        <v>4</v>
      </c>
      <c r="N173" t="str">
        <f>_xlfn.XLOOKUP(tbl_FACTS[[#This Row],[CategoryID]],Πίνακας4[CategoryID],Πίνακας4[CategoryName])</f>
        <v>Dairy Products</v>
      </c>
      <c r="O173">
        <f>_xlfn.XLOOKUP(tbl_FACTS[[#This Row],[ProductID]],Πίνακας7[ProductID],Πίνακας7[SupplierID])</f>
        <v>15</v>
      </c>
      <c r="P173" t="str">
        <f>_xlfn.XLOOKUP(tbl_FACTS[[#This Row],[SupplierID]],Πίνακας9[SupplierID],Πίνακας9[SupplierName])</f>
        <v>Norske Meierier</v>
      </c>
      <c r="Q173" s="21">
        <f>_xlfn.XLOOKUP(tbl_FACTS[[#This Row],[ProductID]],Πίνακας7[ProductID],Πίνακας7[Price])</f>
        <v>36</v>
      </c>
      <c r="R173" s="21">
        <f>tbl_FACTS[[#This Row],[Quantity]]*tbl_FACTS[[#This Row],[Price]]</f>
        <v>252</v>
      </c>
      <c r="S173" s="19">
        <f>IF(COUNTIFS(tbl_FACTS[OrderID],tbl_FACTS[[#This Row],[OrderID]],tbl_FACTS[OrderDetailID],"&lt;"&amp;tbl_FACTS[[#This Row],[OrderDetailID]])=0,1,0)</f>
        <v>0</v>
      </c>
      <c r="T173" s="19">
        <f>YEAR(tbl_FACTS[[#This Row],[OrderDate]])</f>
        <v>1996</v>
      </c>
      <c r="U173" s="22">
        <f>DATE(YEAR(tbl_FACTS[[#This Row],[OrderDate]]),MONTH(tbl_FACTS[[#This Row],[OrderDate]]),1)</f>
        <v>35309</v>
      </c>
      <c r="V173" s="22" t="str">
        <f>IF(tbl_FACTS[[#This Row],[Quantity]]&lt;=10,"0–10",IF(tbl_FACTS[[#This Row],[Quantity]]&lt;=20,"11–20",IF(tbl_FACTS[[#This Row],[Quantity]]&lt;=30,"21–30",IF(tbl_FACTS[[#This Row],[Quantity]]&lt;=40,"31–40",IF(tbl_FACTS[[#This Row],[Quantity]]&lt;=50,"41–50","51+")))))</f>
        <v>0–10</v>
      </c>
    </row>
    <row r="174" spans="1:22">
      <c r="A174">
        <v>173</v>
      </c>
      <c r="B174">
        <v>10312</v>
      </c>
      <c r="C174">
        <v>28</v>
      </c>
      <c r="D174" s="19">
        <v>4</v>
      </c>
      <c r="E174" s="20">
        <f>_xlfn.XLOOKUP(tbl_FACTS[[#This Row],[OrderID]],Πίνακας64[OrderID],Πίνακας64[OrderDate])</f>
        <v>35331</v>
      </c>
      <c r="F174">
        <f>_xlfn.XLOOKUP(tbl_FACTS[[#This Row],[OrderID]],Πίνακας64[OrderID],Πίνακας64[CustomerID])</f>
        <v>86</v>
      </c>
      <c r="G174" t="str">
        <f>_xlfn.XLOOKUP(tbl_FACTS[[#This Row],[CustomerID]],Πίνακας1[CustomerID],Πίνακας1[CustomerName])</f>
        <v>Die Wandernde Kuh</v>
      </c>
      <c r="H174" t="str">
        <f>_xlfn.XLOOKUP(tbl_FACTS[[#This Row],[CustomerID]],Πίνακας1[CustomerID],Πίνακας1[Country])</f>
        <v>Germany</v>
      </c>
      <c r="I174">
        <f>_xlfn.XLOOKUP(tbl_FACTS[[#This Row],[OrderID]],Πίνακας64[OrderID],Πίνακας64[EmployeeID])</f>
        <v>2</v>
      </c>
      <c r="J174">
        <f>_xlfn.XLOOKUP(tbl_FACTS[[#This Row],[OrderID]],Πίνακας64[OrderID],Πίνακας64[ShipperID])</f>
        <v>2</v>
      </c>
      <c r="K174" t="str">
        <f>_xlfn.XLOOKUP(tbl_FACTS[[#This Row],[ShipperID]],Πίνακας8[ShipperID],Πίνακας8[ShipperName])</f>
        <v>United Package</v>
      </c>
      <c r="L174" t="str">
        <f>_xlfn.XLOOKUP(tbl_FACTS[[#This Row],[ProductID]],Πίνακας7[ProductID],Πίνακας7[ProductName])</f>
        <v>Rossle Sauerkraut</v>
      </c>
      <c r="M174">
        <f>_xlfn.XLOOKUP(tbl_FACTS[[#This Row],[ProductID]],Πίνακας7[ProductID],Πίνακας7[CategoryID])</f>
        <v>7</v>
      </c>
      <c r="N174" t="str">
        <f>_xlfn.XLOOKUP(tbl_FACTS[[#This Row],[CategoryID]],Πίνακας4[CategoryID],Πίνακας4[CategoryName])</f>
        <v>Produce</v>
      </c>
      <c r="O174">
        <f>_xlfn.XLOOKUP(tbl_FACTS[[#This Row],[ProductID]],Πίνακας7[ProductID],Πίνακας7[SupplierID])</f>
        <v>12</v>
      </c>
      <c r="P174" t="str">
        <f>_xlfn.XLOOKUP(tbl_FACTS[[#This Row],[SupplierID]],Πίνακας9[SupplierID],Πίνακας9[SupplierName])</f>
        <v>Plutzer Lebensmittelgro├ƒmarkte AG</v>
      </c>
      <c r="Q174" s="21">
        <f>_xlfn.XLOOKUP(tbl_FACTS[[#This Row],[ProductID]],Πίνακας7[ProductID],Πίνακας7[Price])</f>
        <v>46</v>
      </c>
      <c r="R174" s="21">
        <f>tbl_FACTS[[#This Row],[Quantity]]*tbl_FACTS[[#This Row],[Price]]</f>
        <v>184</v>
      </c>
      <c r="S174" s="19">
        <f>IF(COUNTIFS(tbl_FACTS[OrderID],tbl_FACTS[[#This Row],[OrderID]],tbl_FACTS[OrderDetailID],"&lt;"&amp;tbl_FACTS[[#This Row],[OrderDetailID]])=0,1,0)</f>
        <v>1</v>
      </c>
      <c r="T174" s="19">
        <f>YEAR(tbl_FACTS[[#This Row],[OrderDate]])</f>
        <v>1996</v>
      </c>
      <c r="U174" s="22">
        <f>DATE(YEAR(tbl_FACTS[[#This Row],[OrderDate]]),MONTH(tbl_FACTS[[#This Row],[OrderDate]]),1)</f>
        <v>35309</v>
      </c>
      <c r="V174" s="22" t="str">
        <f>IF(tbl_FACTS[[#This Row],[Quantity]]&lt;=10,"0–10",IF(tbl_FACTS[[#This Row],[Quantity]]&lt;=20,"11–20",IF(tbl_FACTS[[#This Row],[Quantity]]&lt;=30,"21–30",IF(tbl_FACTS[[#This Row],[Quantity]]&lt;=40,"31–40",IF(tbl_FACTS[[#This Row],[Quantity]]&lt;=50,"41–50","51+")))))</f>
        <v>0–10</v>
      </c>
    </row>
    <row r="175" spans="1:22">
      <c r="A175">
        <v>174</v>
      </c>
      <c r="B175">
        <v>10312</v>
      </c>
      <c r="C175">
        <v>43</v>
      </c>
      <c r="D175" s="19">
        <v>24</v>
      </c>
      <c r="E175" s="20">
        <f>_xlfn.XLOOKUP(tbl_FACTS[[#This Row],[OrderID]],Πίνακας64[OrderID],Πίνακας64[OrderDate])</f>
        <v>35331</v>
      </c>
      <c r="F175">
        <f>_xlfn.XLOOKUP(tbl_FACTS[[#This Row],[OrderID]],Πίνακας64[OrderID],Πίνακας64[CustomerID])</f>
        <v>86</v>
      </c>
      <c r="G175" t="str">
        <f>_xlfn.XLOOKUP(tbl_FACTS[[#This Row],[CustomerID]],Πίνακας1[CustomerID],Πίνακας1[CustomerName])</f>
        <v>Die Wandernde Kuh</v>
      </c>
      <c r="H175" t="str">
        <f>_xlfn.XLOOKUP(tbl_FACTS[[#This Row],[CustomerID]],Πίνακας1[CustomerID],Πίνακας1[Country])</f>
        <v>Germany</v>
      </c>
      <c r="I175">
        <f>_xlfn.XLOOKUP(tbl_FACTS[[#This Row],[OrderID]],Πίνακας64[OrderID],Πίνακας64[EmployeeID])</f>
        <v>2</v>
      </c>
      <c r="J175">
        <f>_xlfn.XLOOKUP(tbl_FACTS[[#This Row],[OrderID]],Πίνακας64[OrderID],Πίνακας64[ShipperID])</f>
        <v>2</v>
      </c>
      <c r="K175" t="str">
        <f>_xlfn.XLOOKUP(tbl_FACTS[[#This Row],[ShipperID]],Πίνακας8[ShipperID],Πίνακας8[ShipperName])</f>
        <v>United Package</v>
      </c>
      <c r="L175" t="str">
        <f>_xlfn.XLOOKUP(tbl_FACTS[[#This Row],[ProductID]],Πίνακας7[ProductID],Πίνακας7[ProductName])</f>
        <v>Ipoh Coffee</v>
      </c>
      <c r="M175">
        <f>_xlfn.XLOOKUP(tbl_FACTS[[#This Row],[ProductID]],Πίνακας7[ProductID],Πίνακας7[CategoryID])</f>
        <v>1</v>
      </c>
      <c r="N175" t="str">
        <f>_xlfn.XLOOKUP(tbl_FACTS[[#This Row],[CategoryID]],Πίνακας4[CategoryID],Πίνακας4[CategoryName])</f>
        <v>Beverages</v>
      </c>
      <c r="O175">
        <f>_xlfn.XLOOKUP(tbl_FACTS[[#This Row],[ProductID]],Πίνακας7[ProductID],Πίνακας7[SupplierID])</f>
        <v>20</v>
      </c>
      <c r="P175" t="str">
        <f>_xlfn.XLOOKUP(tbl_FACTS[[#This Row],[SupplierID]],Πίνακας9[SupplierID],Πίνακας9[SupplierName])</f>
        <v>Leka Trading</v>
      </c>
      <c r="Q175" s="21">
        <f>_xlfn.XLOOKUP(tbl_FACTS[[#This Row],[ProductID]],Πίνακας7[ProductID],Πίνακας7[Price])</f>
        <v>46</v>
      </c>
      <c r="R175" s="21">
        <f>tbl_FACTS[[#This Row],[Quantity]]*tbl_FACTS[[#This Row],[Price]]</f>
        <v>1104</v>
      </c>
      <c r="S175" s="19">
        <f>IF(COUNTIFS(tbl_FACTS[OrderID],tbl_FACTS[[#This Row],[OrderID]],tbl_FACTS[OrderDetailID],"&lt;"&amp;tbl_FACTS[[#This Row],[OrderDetailID]])=0,1,0)</f>
        <v>0</v>
      </c>
      <c r="T175" s="19">
        <f>YEAR(tbl_FACTS[[#This Row],[OrderDate]])</f>
        <v>1996</v>
      </c>
      <c r="U175" s="22">
        <f>DATE(YEAR(tbl_FACTS[[#This Row],[OrderDate]]),MONTH(tbl_FACTS[[#This Row],[OrderDate]]),1)</f>
        <v>35309</v>
      </c>
      <c r="V175" s="22" t="str">
        <f>IF(tbl_FACTS[[#This Row],[Quantity]]&lt;=10,"0–10",IF(tbl_FACTS[[#This Row],[Quantity]]&lt;=20,"11–20",IF(tbl_FACTS[[#This Row],[Quantity]]&lt;=30,"21–30",IF(tbl_FACTS[[#This Row],[Quantity]]&lt;=40,"31–40",IF(tbl_FACTS[[#This Row],[Quantity]]&lt;=50,"41–50","51+")))))</f>
        <v>21–30</v>
      </c>
    </row>
    <row r="176" spans="1:22">
      <c r="A176">
        <v>175</v>
      </c>
      <c r="B176">
        <v>10312</v>
      </c>
      <c r="C176">
        <v>53</v>
      </c>
      <c r="D176" s="19">
        <v>20</v>
      </c>
      <c r="E176" s="20">
        <f>_xlfn.XLOOKUP(tbl_FACTS[[#This Row],[OrderID]],Πίνακας64[OrderID],Πίνακας64[OrderDate])</f>
        <v>35331</v>
      </c>
      <c r="F176">
        <f>_xlfn.XLOOKUP(tbl_FACTS[[#This Row],[OrderID]],Πίνακας64[OrderID],Πίνακας64[CustomerID])</f>
        <v>86</v>
      </c>
      <c r="G176" t="str">
        <f>_xlfn.XLOOKUP(tbl_FACTS[[#This Row],[CustomerID]],Πίνακας1[CustomerID],Πίνακας1[CustomerName])</f>
        <v>Die Wandernde Kuh</v>
      </c>
      <c r="H176" t="str">
        <f>_xlfn.XLOOKUP(tbl_FACTS[[#This Row],[CustomerID]],Πίνακας1[CustomerID],Πίνακας1[Country])</f>
        <v>Germany</v>
      </c>
      <c r="I176">
        <f>_xlfn.XLOOKUP(tbl_FACTS[[#This Row],[OrderID]],Πίνακας64[OrderID],Πίνακας64[EmployeeID])</f>
        <v>2</v>
      </c>
      <c r="J176">
        <f>_xlfn.XLOOKUP(tbl_FACTS[[#This Row],[OrderID]],Πίνακας64[OrderID],Πίνακας64[ShipperID])</f>
        <v>2</v>
      </c>
      <c r="K176" t="str">
        <f>_xlfn.XLOOKUP(tbl_FACTS[[#This Row],[ShipperID]],Πίνακας8[ShipperID],Πίνακας8[ShipperName])</f>
        <v>United Package</v>
      </c>
      <c r="L176" t="str">
        <f>_xlfn.XLOOKUP(tbl_FACTS[[#This Row],[ProductID]],Πίνακας7[ProductID],Πίνακας7[ProductName])</f>
        <v>Perth Pasties</v>
      </c>
      <c r="M176">
        <f>_xlfn.XLOOKUP(tbl_FACTS[[#This Row],[ProductID]],Πίνακας7[ProductID],Πίνακας7[CategoryID])</f>
        <v>6</v>
      </c>
      <c r="N176" t="str">
        <f>_xlfn.XLOOKUP(tbl_FACTS[[#This Row],[CategoryID]],Πίνακας4[CategoryID],Πίνακας4[CategoryName])</f>
        <v>Meat/Poultry</v>
      </c>
      <c r="O176">
        <f>_xlfn.XLOOKUP(tbl_FACTS[[#This Row],[ProductID]],Πίνακας7[ProductID],Πίνακας7[SupplierID])</f>
        <v>24</v>
      </c>
      <c r="P176" t="str">
        <f>_xlfn.XLOOKUP(tbl_FACTS[[#This Row],[SupplierID]],Πίνακας9[SupplierID],Πίνακας9[SupplierName])</f>
        <v>G'day, Mate</v>
      </c>
      <c r="Q176" s="21">
        <f>_xlfn.XLOOKUP(tbl_FACTS[[#This Row],[ProductID]],Πίνακας7[ProductID],Πίνακας7[Price])</f>
        <v>33</v>
      </c>
      <c r="R176" s="21">
        <f>tbl_FACTS[[#This Row],[Quantity]]*tbl_FACTS[[#This Row],[Price]]</f>
        <v>660</v>
      </c>
      <c r="S176" s="19">
        <f>IF(COUNTIFS(tbl_FACTS[OrderID],tbl_FACTS[[#This Row],[OrderID]],tbl_FACTS[OrderDetailID],"&lt;"&amp;tbl_FACTS[[#This Row],[OrderDetailID]])=0,1,0)</f>
        <v>0</v>
      </c>
      <c r="T176" s="19">
        <f>YEAR(tbl_FACTS[[#This Row],[OrderDate]])</f>
        <v>1996</v>
      </c>
      <c r="U176" s="22">
        <f>DATE(YEAR(tbl_FACTS[[#This Row],[OrderDate]]),MONTH(tbl_FACTS[[#This Row],[OrderDate]]),1)</f>
        <v>35309</v>
      </c>
      <c r="V176" s="22" t="str">
        <f>IF(tbl_FACTS[[#This Row],[Quantity]]&lt;=10,"0–10",IF(tbl_FACTS[[#This Row],[Quantity]]&lt;=20,"11–20",IF(tbl_FACTS[[#This Row],[Quantity]]&lt;=30,"21–30",IF(tbl_FACTS[[#This Row],[Quantity]]&lt;=40,"31–40",IF(tbl_FACTS[[#This Row],[Quantity]]&lt;=50,"41–50","51+")))))</f>
        <v>11–20</v>
      </c>
    </row>
    <row r="177" spans="1:22">
      <c r="A177">
        <v>176</v>
      </c>
      <c r="B177">
        <v>10312</v>
      </c>
      <c r="C177">
        <v>75</v>
      </c>
      <c r="D177" s="19">
        <v>10</v>
      </c>
      <c r="E177" s="20">
        <f>_xlfn.XLOOKUP(tbl_FACTS[[#This Row],[OrderID]],Πίνακας64[OrderID],Πίνακας64[OrderDate])</f>
        <v>35331</v>
      </c>
      <c r="F177">
        <f>_xlfn.XLOOKUP(tbl_FACTS[[#This Row],[OrderID]],Πίνακας64[OrderID],Πίνακας64[CustomerID])</f>
        <v>86</v>
      </c>
      <c r="G177" t="str">
        <f>_xlfn.XLOOKUP(tbl_FACTS[[#This Row],[CustomerID]],Πίνακας1[CustomerID],Πίνακας1[CustomerName])</f>
        <v>Die Wandernde Kuh</v>
      </c>
      <c r="H177" t="str">
        <f>_xlfn.XLOOKUP(tbl_FACTS[[#This Row],[CustomerID]],Πίνακας1[CustomerID],Πίνακας1[Country])</f>
        <v>Germany</v>
      </c>
      <c r="I177">
        <f>_xlfn.XLOOKUP(tbl_FACTS[[#This Row],[OrderID]],Πίνακας64[OrderID],Πίνακας64[EmployeeID])</f>
        <v>2</v>
      </c>
      <c r="J177">
        <f>_xlfn.XLOOKUP(tbl_FACTS[[#This Row],[OrderID]],Πίνακας64[OrderID],Πίνακας64[ShipperID])</f>
        <v>2</v>
      </c>
      <c r="K177" t="str">
        <f>_xlfn.XLOOKUP(tbl_FACTS[[#This Row],[ShipperID]],Πίνακας8[ShipperID],Πίνακας8[ShipperName])</f>
        <v>United Package</v>
      </c>
      <c r="L177" t="str">
        <f>_xlfn.XLOOKUP(tbl_FACTS[[#This Row],[ProductID]],Πίνακας7[ProductID],Πίνακας7[ProductName])</f>
        <v>Rhonbrau Klosterbier</v>
      </c>
      <c r="M177">
        <f>_xlfn.XLOOKUP(tbl_FACTS[[#This Row],[ProductID]],Πίνακας7[ProductID],Πίνακας7[CategoryID])</f>
        <v>1</v>
      </c>
      <c r="N177" t="str">
        <f>_xlfn.XLOOKUP(tbl_FACTS[[#This Row],[CategoryID]],Πίνακας4[CategoryID],Πίνακας4[CategoryName])</f>
        <v>Beverages</v>
      </c>
      <c r="O177">
        <f>_xlfn.XLOOKUP(tbl_FACTS[[#This Row],[ProductID]],Πίνακας7[ProductID],Πίνακας7[SupplierID])</f>
        <v>12</v>
      </c>
      <c r="P177" t="str">
        <f>_xlfn.XLOOKUP(tbl_FACTS[[#This Row],[SupplierID]],Πίνακας9[SupplierID],Πίνακας9[SupplierName])</f>
        <v>Plutzer Lebensmittelgro├ƒmarkte AG</v>
      </c>
      <c r="Q177" s="21">
        <f>_xlfn.XLOOKUP(tbl_FACTS[[#This Row],[ProductID]],Πίνακας7[ProductID],Πίνακας7[Price])</f>
        <v>8</v>
      </c>
      <c r="R177" s="21">
        <f>tbl_FACTS[[#This Row],[Quantity]]*tbl_FACTS[[#This Row],[Price]]</f>
        <v>80</v>
      </c>
      <c r="S177" s="19">
        <f>IF(COUNTIFS(tbl_FACTS[OrderID],tbl_FACTS[[#This Row],[OrderID]],tbl_FACTS[OrderDetailID],"&lt;"&amp;tbl_FACTS[[#This Row],[OrderDetailID]])=0,1,0)</f>
        <v>0</v>
      </c>
      <c r="T177" s="19">
        <f>YEAR(tbl_FACTS[[#This Row],[OrderDate]])</f>
        <v>1996</v>
      </c>
      <c r="U177" s="22">
        <f>DATE(YEAR(tbl_FACTS[[#This Row],[OrderDate]]),MONTH(tbl_FACTS[[#This Row],[OrderDate]]),1)</f>
        <v>35309</v>
      </c>
      <c r="V177" s="22" t="str">
        <f>IF(tbl_FACTS[[#This Row],[Quantity]]&lt;=10,"0–10",IF(tbl_FACTS[[#This Row],[Quantity]]&lt;=20,"11–20",IF(tbl_FACTS[[#This Row],[Quantity]]&lt;=30,"21–30",IF(tbl_FACTS[[#This Row],[Quantity]]&lt;=40,"31–40",IF(tbl_FACTS[[#This Row],[Quantity]]&lt;=50,"41–50","51+")))))</f>
        <v>0–10</v>
      </c>
    </row>
    <row r="178" spans="1:22">
      <c r="A178">
        <v>177</v>
      </c>
      <c r="B178">
        <v>10313</v>
      </c>
      <c r="C178">
        <v>36</v>
      </c>
      <c r="D178" s="19">
        <v>12</v>
      </c>
      <c r="E178" s="20">
        <f>_xlfn.XLOOKUP(tbl_FACTS[[#This Row],[OrderID]],Πίνακας64[OrderID],Πίνακας64[OrderDate])</f>
        <v>35332</v>
      </c>
      <c r="F178">
        <f>_xlfn.XLOOKUP(tbl_FACTS[[#This Row],[OrderID]],Πίνακας64[OrderID],Πίνακας64[CustomerID])</f>
        <v>63</v>
      </c>
      <c r="G178" t="str">
        <f>_xlfn.XLOOKUP(tbl_FACTS[[#This Row],[CustomerID]],Πίνακας1[CustomerID],Πίνακας1[CustomerName])</f>
        <v>QUICK-Stop</v>
      </c>
      <c r="H178" t="str">
        <f>_xlfn.XLOOKUP(tbl_FACTS[[#This Row],[CustomerID]],Πίνακας1[CustomerID],Πίνακας1[Country])</f>
        <v>Germany</v>
      </c>
      <c r="I178">
        <f>_xlfn.XLOOKUP(tbl_FACTS[[#This Row],[OrderID]],Πίνακας64[OrderID],Πίνακας64[EmployeeID])</f>
        <v>2</v>
      </c>
      <c r="J178">
        <f>_xlfn.XLOOKUP(tbl_FACTS[[#This Row],[OrderID]],Πίνακας64[OrderID],Πίνακας64[ShipperID])</f>
        <v>2</v>
      </c>
      <c r="K178" t="str">
        <f>_xlfn.XLOOKUP(tbl_FACTS[[#This Row],[ShipperID]],Πίνακας8[ShipperID],Πίνακας8[ShipperName])</f>
        <v>United Package</v>
      </c>
      <c r="L178" t="str">
        <f>_xlfn.XLOOKUP(tbl_FACTS[[#This Row],[ProductID]],Πίνακας7[ProductID],Πίνακας7[ProductName])</f>
        <v>Inlagd Sill</v>
      </c>
      <c r="M178">
        <f>_xlfn.XLOOKUP(tbl_FACTS[[#This Row],[ProductID]],Πίνακας7[ProductID],Πίνακας7[CategoryID])</f>
        <v>8</v>
      </c>
      <c r="N178" t="str">
        <f>_xlfn.XLOOKUP(tbl_FACTS[[#This Row],[CategoryID]],Πίνακας4[CategoryID],Πίνακας4[CategoryName])</f>
        <v>Seafood</v>
      </c>
      <c r="O178">
        <f>_xlfn.XLOOKUP(tbl_FACTS[[#This Row],[ProductID]],Πίνακας7[ProductID],Πίνακας7[SupplierID])</f>
        <v>17</v>
      </c>
      <c r="P178" t="str">
        <f>_xlfn.XLOOKUP(tbl_FACTS[[#This Row],[SupplierID]],Πίνακας9[SupplierID],Πίνακας9[SupplierName])</f>
        <v>Svensk Sjofoda AB</v>
      </c>
      <c r="Q178" s="21">
        <f>_xlfn.XLOOKUP(tbl_FACTS[[#This Row],[ProductID]],Πίνακας7[ProductID],Πίνακας7[Price])</f>
        <v>19</v>
      </c>
      <c r="R178" s="21">
        <f>tbl_FACTS[[#This Row],[Quantity]]*tbl_FACTS[[#This Row],[Price]]</f>
        <v>228</v>
      </c>
      <c r="S178" s="19">
        <f>IF(COUNTIFS(tbl_FACTS[OrderID],tbl_FACTS[[#This Row],[OrderID]],tbl_FACTS[OrderDetailID],"&lt;"&amp;tbl_FACTS[[#This Row],[OrderDetailID]])=0,1,0)</f>
        <v>1</v>
      </c>
      <c r="T178" s="19">
        <f>YEAR(tbl_FACTS[[#This Row],[OrderDate]])</f>
        <v>1996</v>
      </c>
      <c r="U178" s="22">
        <f>DATE(YEAR(tbl_FACTS[[#This Row],[OrderDate]]),MONTH(tbl_FACTS[[#This Row],[OrderDate]]),1)</f>
        <v>35309</v>
      </c>
      <c r="V178" s="22" t="str">
        <f>IF(tbl_FACTS[[#This Row],[Quantity]]&lt;=10,"0–10",IF(tbl_FACTS[[#This Row],[Quantity]]&lt;=20,"11–20",IF(tbl_FACTS[[#This Row],[Quantity]]&lt;=30,"21–30",IF(tbl_FACTS[[#This Row],[Quantity]]&lt;=40,"31–40",IF(tbl_FACTS[[#This Row],[Quantity]]&lt;=50,"41–50","51+")))))</f>
        <v>11–20</v>
      </c>
    </row>
    <row r="179" spans="1:22">
      <c r="A179">
        <v>178</v>
      </c>
      <c r="B179">
        <v>10314</v>
      </c>
      <c r="C179">
        <v>32</v>
      </c>
      <c r="D179" s="19">
        <v>40</v>
      </c>
      <c r="E179" s="20">
        <f>_xlfn.XLOOKUP(tbl_FACTS[[#This Row],[OrderID]],Πίνακας64[OrderID],Πίνακας64[OrderDate])</f>
        <v>35333</v>
      </c>
      <c r="F179">
        <f>_xlfn.XLOOKUP(tbl_FACTS[[#This Row],[OrderID]],Πίνακας64[OrderID],Πίνακας64[CustomerID])</f>
        <v>65</v>
      </c>
      <c r="G179" t="str">
        <f>_xlfn.XLOOKUP(tbl_FACTS[[#This Row],[CustomerID]],Πίνακας1[CustomerID],Πίνακας1[CustomerName])</f>
        <v>Rattlesnake Canyon Grocery</v>
      </c>
      <c r="H179" t="str">
        <f>_xlfn.XLOOKUP(tbl_FACTS[[#This Row],[CustomerID]],Πίνακας1[CustomerID],Πίνακας1[Country])</f>
        <v>USA</v>
      </c>
      <c r="I179">
        <f>_xlfn.XLOOKUP(tbl_FACTS[[#This Row],[OrderID]],Πίνακας64[OrderID],Πίνακας64[EmployeeID])</f>
        <v>1</v>
      </c>
      <c r="J179">
        <f>_xlfn.XLOOKUP(tbl_FACTS[[#This Row],[OrderID]],Πίνακας64[OrderID],Πίνακας64[ShipperID])</f>
        <v>2</v>
      </c>
      <c r="K179" t="str">
        <f>_xlfn.XLOOKUP(tbl_FACTS[[#This Row],[ShipperID]],Πίνακας8[ShipperID],Πίνακας8[ShipperName])</f>
        <v>United Package</v>
      </c>
      <c r="L179" t="str">
        <f>_xlfn.XLOOKUP(tbl_FACTS[[#This Row],[ProductID]],Πίνακας7[ProductID],Πίνακας7[ProductName])</f>
        <v>Mascarpone Fabioli</v>
      </c>
      <c r="M179">
        <f>_xlfn.XLOOKUP(tbl_FACTS[[#This Row],[ProductID]],Πίνακας7[ProductID],Πίνακας7[CategoryID])</f>
        <v>4</v>
      </c>
      <c r="N179" t="str">
        <f>_xlfn.XLOOKUP(tbl_FACTS[[#This Row],[CategoryID]],Πίνακας4[CategoryID],Πίνακας4[CategoryName])</f>
        <v>Dairy Products</v>
      </c>
      <c r="O179">
        <f>_xlfn.XLOOKUP(tbl_FACTS[[#This Row],[ProductID]],Πίνακας7[ProductID],Πίνακας7[SupplierID])</f>
        <v>14</v>
      </c>
      <c r="P179" t="str">
        <f>_xlfn.XLOOKUP(tbl_FACTS[[#This Row],[SupplierID]],Πίνακας9[SupplierID],Πίνακας9[SupplierName])</f>
        <v>Formaggi Fortini s.r.l.</v>
      </c>
      <c r="Q179" s="21">
        <f>_xlfn.XLOOKUP(tbl_FACTS[[#This Row],[ProductID]],Πίνακας7[ProductID],Πίνακας7[Price])</f>
        <v>32</v>
      </c>
      <c r="R179" s="21">
        <f>tbl_FACTS[[#This Row],[Quantity]]*tbl_FACTS[[#This Row],[Price]]</f>
        <v>1280</v>
      </c>
      <c r="S179" s="19">
        <f>IF(COUNTIFS(tbl_FACTS[OrderID],tbl_FACTS[[#This Row],[OrderID]],tbl_FACTS[OrderDetailID],"&lt;"&amp;tbl_FACTS[[#This Row],[OrderDetailID]])=0,1,0)</f>
        <v>1</v>
      </c>
      <c r="T179" s="19">
        <f>YEAR(tbl_FACTS[[#This Row],[OrderDate]])</f>
        <v>1996</v>
      </c>
      <c r="U179" s="22">
        <f>DATE(YEAR(tbl_FACTS[[#This Row],[OrderDate]]),MONTH(tbl_FACTS[[#This Row],[OrderDate]]),1)</f>
        <v>35309</v>
      </c>
      <c r="V179" s="22" t="str">
        <f>IF(tbl_FACTS[[#This Row],[Quantity]]&lt;=10,"0–10",IF(tbl_FACTS[[#This Row],[Quantity]]&lt;=20,"11–20",IF(tbl_FACTS[[#This Row],[Quantity]]&lt;=30,"21–30",IF(tbl_FACTS[[#This Row],[Quantity]]&lt;=40,"31–40",IF(tbl_FACTS[[#This Row],[Quantity]]&lt;=50,"41–50","51+")))))</f>
        <v>31–40</v>
      </c>
    </row>
    <row r="180" spans="1:22">
      <c r="A180">
        <v>179</v>
      </c>
      <c r="B180">
        <v>10314</v>
      </c>
      <c r="C180">
        <v>58</v>
      </c>
      <c r="D180" s="19">
        <v>30</v>
      </c>
      <c r="E180" s="20">
        <f>_xlfn.XLOOKUP(tbl_FACTS[[#This Row],[OrderID]],Πίνακας64[OrderID],Πίνακας64[OrderDate])</f>
        <v>35333</v>
      </c>
      <c r="F180">
        <f>_xlfn.XLOOKUP(tbl_FACTS[[#This Row],[OrderID]],Πίνακας64[OrderID],Πίνακας64[CustomerID])</f>
        <v>65</v>
      </c>
      <c r="G180" t="str">
        <f>_xlfn.XLOOKUP(tbl_FACTS[[#This Row],[CustomerID]],Πίνακας1[CustomerID],Πίνακας1[CustomerName])</f>
        <v>Rattlesnake Canyon Grocery</v>
      </c>
      <c r="H180" t="str">
        <f>_xlfn.XLOOKUP(tbl_FACTS[[#This Row],[CustomerID]],Πίνακας1[CustomerID],Πίνακας1[Country])</f>
        <v>USA</v>
      </c>
      <c r="I180">
        <f>_xlfn.XLOOKUP(tbl_FACTS[[#This Row],[OrderID]],Πίνακας64[OrderID],Πίνακας64[EmployeeID])</f>
        <v>1</v>
      </c>
      <c r="J180">
        <f>_xlfn.XLOOKUP(tbl_FACTS[[#This Row],[OrderID]],Πίνακας64[OrderID],Πίνακας64[ShipperID])</f>
        <v>2</v>
      </c>
      <c r="K180" t="str">
        <f>_xlfn.XLOOKUP(tbl_FACTS[[#This Row],[ShipperID]],Πίνακας8[ShipperID],Πίνακας8[ShipperName])</f>
        <v>United Package</v>
      </c>
      <c r="L180" t="str">
        <f>_xlfn.XLOOKUP(tbl_FACTS[[#This Row],[ProductID]],Πίνακας7[ProductID],Πίνακας7[ProductName])</f>
        <v>Escargots de Bourgogne</v>
      </c>
      <c r="M180">
        <f>_xlfn.XLOOKUP(tbl_FACTS[[#This Row],[ProductID]],Πίνακας7[ProductID],Πίνακας7[CategoryID])</f>
        <v>8</v>
      </c>
      <c r="N180" t="str">
        <f>_xlfn.XLOOKUP(tbl_FACTS[[#This Row],[CategoryID]],Πίνακας4[CategoryID],Πίνακας4[CategoryName])</f>
        <v>Seafood</v>
      </c>
      <c r="O180">
        <f>_xlfn.XLOOKUP(tbl_FACTS[[#This Row],[ProductID]],Πίνακας7[ProductID],Πίνακας7[SupplierID])</f>
        <v>27</v>
      </c>
      <c r="P180" t="str">
        <f>_xlfn.XLOOKUP(tbl_FACTS[[#This Row],[SupplierID]],Πίνακας9[SupplierID],Πίνακας9[SupplierName])</f>
        <v>Escargots Nouveaux</v>
      </c>
      <c r="Q180" s="21">
        <f>_xlfn.XLOOKUP(tbl_FACTS[[#This Row],[ProductID]],Πίνακας7[ProductID],Πίνακας7[Price])</f>
        <v>13</v>
      </c>
      <c r="R180" s="21">
        <f>tbl_FACTS[[#This Row],[Quantity]]*tbl_FACTS[[#This Row],[Price]]</f>
        <v>390</v>
      </c>
      <c r="S180" s="19">
        <f>IF(COUNTIFS(tbl_FACTS[OrderID],tbl_FACTS[[#This Row],[OrderID]],tbl_FACTS[OrderDetailID],"&lt;"&amp;tbl_FACTS[[#This Row],[OrderDetailID]])=0,1,0)</f>
        <v>0</v>
      </c>
      <c r="T180" s="19">
        <f>YEAR(tbl_FACTS[[#This Row],[OrderDate]])</f>
        <v>1996</v>
      </c>
      <c r="U180" s="22">
        <f>DATE(YEAR(tbl_FACTS[[#This Row],[OrderDate]]),MONTH(tbl_FACTS[[#This Row],[OrderDate]]),1)</f>
        <v>35309</v>
      </c>
      <c r="V180" s="22" t="str">
        <f>IF(tbl_FACTS[[#This Row],[Quantity]]&lt;=10,"0–10",IF(tbl_FACTS[[#This Row],[Quantity]]&lt;=20,"11–20",IF(tbl_FACTS[[#This Row],[Quantity]]&lt;=30,"21–30",IF(tbl_FACTS[[#This Row],[Quantity]]&lt;=40,"31–40",IF(tbl_FACTS[[#This Row],[Quantity]]&lt;=50,"41–50","51+")))))</f>
        <v>21–30</v>
      </c>
    </row>
    <row r="181" spans="1:22">
      <c r="A181">
        <v>180</v>
      </c>
      <c r="B181">
        <v>10314</v>
      </c>
      <c r="C181">
        <v>62</v>
      </c>
      <c r="D181" s="19">
        <v>25</v>
      </c>
      <c r="E181" s="20">
        <f>_xlfn.XLOOKUP(tbl_FACTS[[#This Row],[OrderID]],Πίνακας64[OrderID],Πίνακας64[OrderDate])</f>
        <v>35333</v>
      </c>
      <c r="F181">
        <f>_xlfn.XLOOKUP(tbl_FACTS[[#This Row],[OrderID]],Πίνακας64[OrderID],Πίνακας64[CustomerID])</f>
        <v>65</v>
      </c>
      <c r="G181" t="str">
        <f>_xlfn.XLOOKUP(tbl_FACTS[[#This Row],[CustomerID]],Πίνακας1[CustomerID],Πίνακας1[CustomerName])</f>
        <v>Rattlesnake Canyon Grocery</v>
      </c>
      <c r="H181" t="str">
        <f>_xlfn.XLOOKUP(tbl_FACTS[[#This Row],[CustomerID]],Πίνακας1[CustomerID],Πίνακας1[Country])</f>
        <v>USA</v>
      </c>
      <c r="I181">
        <f>_xlfn.XLOOKUP(tbl_FACTS[[#This Row],[OrderID]],Πίνακας64[OrderID],Πίνακας64[EmployeeID])</f>
        <v>1</v>
      </c>
      <c r="J181">
        <f>_xlfn.XLOOKUP(tbl_FACTS[[#This Row],[OrderID]],Πίνακας64[OrderID],Πίνακας64[ShipperID])</f>
        <v>2</v>
      </c>
      <c r="K181" t="str">
        <f>_xlfn.XLOOKUP(tbl_FACTS[[#This Row],[ShipperID]],Πίνακας8[ShipperID],Πίνακας8[ShipperName])</f>
        <v>United Package</v>
      </c>
      <c r="L181" t="str">
        <f>_xlfn.XLOOKUP(tbl_FACTS[[#This Row],[ProductID]],Πίνακας7[ProductID],Πίνακας7[ProductName])</f>
        <v>Tarte au sucre</v>
      </c>
      <c r="M181">
        <f>_xlfn.XLOOKUP(tbl_FACTS[[#This Row],[ProductID]],Πίνακας7[ProductID],Πίνακας7[CategoryID])</f>
        <v>3</v>
      </c>
      <c r="N181" t="str">
        <f>_xlfn.XLOOKUP(tbl_FACTS[[#This Row],[CategoryID]],Πίνακας4[CategoryID],Πίνακας4[CategoryName])</f>
        <v>Confections</v>
      </c>
      <c r="O181">
        <f>_xlfn.XLOOKUP(tbl_FACTS[[#This Row],[ProductID]],Πίνακας7[ProductID],Πίνακας7[SupplierID])</f>
        <v>29</v>
      </c>
      <c r="P181" t="str">
        <f>_xlfn.XLOOKUP(tbl_FACTS[[#This Row],[SupplierID]],Πίνακας9[SupplierID],Πίνακας9[SupplierName])</f>
        <v>Forets d'erables</v>
      </c>
      <c r="Q181" s="21">
        <f>_xlfn.XLOOKUP(tbl_FACTS[[#This Row],[ProductID]],Πίνακας7[ProductID],Πίνακας7[Price])</f>
        <v>49</v>
      </c>
      <c r="R181" s="21">
        <f>tbl_FACTS[[#This Row],[Quantity]]*tbl_FACTS[[#This Row],[Price]]</f>
        <v>1225</v>
      </c>
      <c r="S181" s="19">
        <f>IF(COUNTIFS(tbl_FACTS[OrderID],tbl_FACTS[[#This Row],[OrderID]],tbl_FACTS[OrderDetailID],"&lt;"&amp;tbl_FACTS[[#This Row],[OrderDetailID]])=0,1,0)</f>
        <v>0</v>
      </c>
      <c r="T181" s="19">
        <f>YEAR(tbl_FACTS[[#This Row],[OrderDate]])</f>
        <v>1996</v>
      </c>
      <c r="U181" s="22">
        <f>DATE(YEAR(tbl_FACTS[[#This Row],[OrderDate]]),MONTH(tbl_FACTS[[#This Row],[OrderDate]]),1)</f>
        <v>35309</v>
      </c>
      <c r="V181" s="22" t="str">
        <f>IF(tbl_FACTS[[#This Row],[Quantity]]&lt;=10,"0–10",IF(tbl_FACTS[[#This Row],[Quantity]]&lt;=20,"11–20",IF(tbl_FACTS[[#This Row],[Quantity]]&lt;=30,"21–30",IF(tbl_FACTS[[#This Row],[Quantity]]&lt;=40,"31–40",IF(tbl_FACTS[[#This Row],[Quantity]]&lt;=50,"41–50","51+")))))</f>
        <v>21–30</v>
      </c>
    </row>
    <row r="182" spans="1:22">
      <c r="A182">
        <v>181</v>
      </c>
      <c r="B182">
        <v>10315</v>
      </c>
      <c r="C182">
        <v>34</v>
      </c>
      <c r="D182" s="19">
        <v>14</v>
      </c>
      <c r="E182" s="20">
        <f>_xlfn.XLOOKUP(tbl_FACTS[[#This Row],[OrderID]],Πίνακας64[OrderID],Πίνακας64[OrderDate])</f>
        <v>35334</v>
      </c>
      <c r="F182">
        <f>_xlfn.XLOOKUP(tbl_FACTS[[#This Row],[OrderID]],Πίνακας64[OrderID],Πίνακας64[CustomerID])</f>
        <v>38</v>
      </c>
      <c r="G182" t="str">
        <f>_xlfn.XLOOKUP(tbl_FACTS[[#This Row],[CustomerID]],Πίνακας1[CustomerID],Πίνακας1[CustomerName])</f>
        <v>Island Trading</v>
      </c>
      <c r="H182" t="str">
        <f>_xlfn.XLOOKUP(tbl_FACTS[[#This Row],[CustomerID]],Πίνακας1[CustomerID],Πίνακας1[Country])</f>
        <v>UK</v>
      </c>
      <c r="I182">
        <f>_xlfn.XLOOKUP(tbl_FACTS[[#This Row],[OrderID]],Πίνακας64[OrderID],Πίνακας64[EmployeeID])</f>
        <v>4</v>
      </c>
      <c r="J182">
        <f>_xlfn.XLOOKUP(tbl_FACTS[[#This Row],[OrderID]],Πίνακας64[OrderID],Πίνακας64[ShipperID])</f>
        <v>2</v>
      </c>
      <c r="K182" t="str">
        <f>_xlfn.XLOOKUP(tbl_FACTS[[#This Row],[ShipperID]],Πίνακας8[ShipperID],Πίνακας8[ShipperName])</f>
        <v>United Package</v>
      </c>
      <c r="L182" t="str">
        <f>_xlfn.XLOOKUP(tbl_FACTS[[#This Row],[ProductID]],Πίνακας7[ProductID],Πίνακας7[ProductName])</f>
        <v>Sasquatch Ale</v>
      </c>
      <c r="M182">
        <f>_xlfn.XLOOKUP(tbl_FACTS[[#This Row],[ProductID]],Πίνακας7[ProductID],Πίνακας7[CategoryID])</f>
        <v>1</v>
      </c>
      <c r="N182" t="str">
        <f>_xlfn.XLOOKUP(tbl_FACTS[[#This Row],[CategoryID]],Πίνακας4[CategoryID],Πίνακας4[CategoryName])</f>
        <v>Beverages</v>
      </c>
      <c r="O182">
        <f>_xlfn.XLOOKUP(tbl_FACTS[[#This Row],[ProductID]],Πίνακας7[ProductID],Πίνακας7[SupplierID])</f>
        <v>16</v>
      </c>
      <c r="P182" t="str">
        <f>_xlfn.XLOOKUP(tbl_FACTS[[#This Row],[SupplierID]],Πίνακας9[SupplierID],Πίνακας9[SupplierName])</f>
        <v>Bigfoot Breweries</v>
      </c>
      <c r="Q182" s="21">
        <f>_xlfn.XLOOKUP(tbl_FACTS[[#This Row],[ProductID]],Πίνακας7[ProductID],Πίνακας7[Price])</f>
        <v>14</v>
      </c>
      <c r="R182" s="21">
        <f>tbl_FACTS[[#This Row],[Quantity]]*tbl_FACTS[[#This Row],[Price]]</f>
        <v>196</v>
      </c>
      <c r="S182" s="19">
        <f>IF(COUNTIFS(tbl_FACTS[OrderID],tbl_FACTS[[#This Row],[OrderID]],tbl_FACTS[OrderDetailID],"&lt;"&amp;tbl_FACTS[[#This Row],[OrderDetailID]])=0,1,0)</f>
        <v>1</v>
      </c>
      <c r="T182" s="19">
        <f>YEAR(tbl_FACTS[[#This Row],[OrderDate]])</f>
        <v>1996</v>
      </c>
      <c r="U182" s="22">
        <f>DATE(YEAR(tbl_FACTS[[#This Row],[OrderDate]]),MONTH(tbl_FACTS[[#This Row],[OrderDate]]),1)</f>
        <v>35309</v>
      </c>
      <c r="V182" s="22" t="str">
        <f>IF(tbl_FACTS[[#This Row],[Quantity]]&lt;=10,"0–10",IF(tbl_FACTS[[#This Row],[Quantity]]&lt;=20,"11–20",IF(tbl_FACTS[[#This Row],[Quantity]]&lt;=30,"21–30",IF(tbl_FACTS[[#This Row],[Quantity]]&lt;=40,"31–40",IF(tbl_FACTS[[#This Row],[Quantity]]&lt;=50,"41–50","51+")))))</f>
        <v>11–20</v>
      </c>
    </row>
    <row r="183" spans="1:22">
      <c r="A183">
        <v>182</v>
      </c>
      <c r="B183">
        <v>10315</v>
      </c>
      <c r="C183">
        <v>70</v>
      </c>
      <c r="D183" s="19">
        <v>30</v>
      </c>
      <c r="E183" s="20">
        <f>_xlfn.XLOOKUP(tbl_FACTS[[#This Row],[OrderID]],Πίνακας64[OrderID],Πίνακας64[OrderDate])</f>
        <v>35334</v>
      </c>
      <c r="F183">
        <f>_xlfn.XLOOKUP(tbl_FACTS[[#This Row],[OrderID]],Πίνακας64[OrderID],Πίνακας64[CustomerID])</f>
        <v>38</v>
      </c>
      <c r="G183" t="str">
        <f>_xlfn.XLOOKUP(tbl_FACTS[[#This Row],[CustomerID]],Πίνακας1[CustomerID],Πίνακας1[CustomerName])</f>
        <v>Island Trading</v>
      </c>
      <c r="H183" t="str">
        <f>_xlfn.XLOOKUP(tbl_FACTS[[#This Row],[CustomerID]],Πίνακας1[CustomerID],Πίνακας1[Country])</f>
        <v>UK</v>
      </c>
      <c r="I183">
        <f>_xlfn.XLOOKUP(tbl_FACTS[[#This Row],[OrderID]],Πίνακας64[OrderID],Πίνακας64[EmployeeID])</f>
        <v>4</v>
      </c>
      <c r="J183">
        <f>_xlfn.XLOOKUP(tbl_FACTS[[#This Row],[OrderID]],Πίνακας64[OrderID],Πίνακας64[ShipperID])</f>
        <v>2</v>
      </c>
      <c r="K183" t="str">
        <f>_xlfn.XLOOKUP(tbl_FACTS[[#This Row],[ShipperID]],Πίνακας8[ShipperID],Πίνακας8[ShipperName])</f>
        <v>United Package</v>
      </c>
      <c r="L183" t="str">
        <f>_xlfn.XLOOKUP(tbl_FACTS[[#This Row],[ProductID]],Πίνακας7[ProductID],Πίνακας7[ProductName])</f>
        <v>Outback Lager</v>
      </c>
      <c r="M183">
        <f>_xlfn.XLOOKUP(tbl_FACTS[[#This Row],[ProductID]],Πίνακας7[ProductID],Πίνακας7[CategoryID])</f>
        <v>1</v>
      </c>
      <c r="N183" t="str">
        <f>_xlfn.XLOOKUP(tbl_FACTS[[#This Row],[CategoryID]],Πίνακας4[CategoryID],Πίνακας4[CategoryName])</f>
        <v>Beverages</v>
      </c>
      <c r="O183">
        <f>_xlfn.XLOOKUP(tbl_FACTS[[#This Row],[ProductID]],Πίνακας7[ProductID],Πίνακας7[SupplierID])</f>
        <v>7</v>
      </c>
      <c r="P183" t="str">
        <f>_xlfn.XLOOKUP(tbl_FACTS[[#This Row],[SupplierID]],Πίνακας9[SupplierID],Πίνακας9[SupplierName])</f>
        <v>Pavlova, Ltd.</v>
      </c>
      <c r="Q183" s="21">
        <f>_xlfn.XLOOKUP(tbl_FACTS[[#This Row],[ProductID]],Πίνακας7[ProductID],Πίνακας7[Price])</f>
        <v>15</v>
      </c>
      <c r="R183" s="21">
        <f>tbl_FACTS[[#This Row],[Quantity]]*tbl_FACTS[[#This Row],[Price]]</f>
        <v>450</v>
      </c>
      <c r="S183" s="19">
        <f>IF(COUNTIFS(tbl_FACTS[OrderID],tbl_FACTS[[#This Row],[OrderID]],tbl_FACTS[OrderDetailID],"&lt;"&amp;tbl_FACTS[[#This Row],[OrderDetailID]])=0,1,0)</f>
        <v>0</v>
      </c>
      <c r="T183" s="19">
        <f>YEAR(tbl_FACTS[[#This Row],[OrderDate]])</f>
        <v>1996</v>
      </c>
      <c r="U183" s="22">
        <f>DATE(YEAR(tbl_FACTS[[#This Row],[OrderDate]]),MONTH(tbl_FACTS[[#This Row],[OrderDate]]),1)</f>
        <v>35309</v>
      </c>
      <c r="V183" s="22" t="str">
        <f>IF(tbl_FACTS[[#This Row],[Quantity]]&lt;=10,"0–10",IF(tbl_FACTS[[#This Row],[Quantity]]&lt;=20,"11–20",IF(tbl_FACTS[[#This Row],[Quantity]]&lt;=30,"21–30",IF(tbl_FACTS[[#This Row],[Quantity]]&lt;=40,"31–40",IF(tbl_FACTS[[#This Row],[Quantity]]&lt;=50,"41–50","51+")))))</f>
        <v>21–30</v>
      </c>
    </row>
    <row r="184" spans="1:22">
      <c r="A184">
        <v>183</v>
      </c>
      <c r="B184">
        <v>10316</v>
      </c>
      <c r="C184">
        <v>41</v>
      </c>
      <c r="D184" s="19">
        <v>10</v>
      </c>
      <c r="E184" s="20">
        <f>_xlfn.XLOOKUP(tbl_FACTS[[#This Row],[OrderID]],Πίνακας64[OrderID],Πίνακας64[OrderDate])</f>
        <v>35335</v>
      </c>
      <c r="F184">
        <f>_xlfn.XLOOKUP(tbl_FACTS[[#This Row],[OrderID]],Πίνακας64[OrderID],Πίνακας64[CustomerID])</f>
        <v>65</v>
      </c>
      <c r="G184" t="str">
        <f>_xlfn.XLOOKUP(tbl_FACTS[[#This Row],[CustomerID]],Πίνακας1[CustomerID],Πίνακας1[CustomerName])</f>
        <v>Rattlesnake Canyon Grocery</v>
      </c>
      <c r="H184" t="str">
        <f>_xlfn.XLOOKUP(tbl_FACTS[[#This Row],[CustomerID]],Πίνακας1[CustomerID],Πίνακας1[Country])</f>
        <v>USA</v>
      </c>
      <c r="I184">
        <f>_xlfn.XLOOKUP(tbl_FACTS[[#This Row],[OrderID]],Πίνακας64[OrderID],Πίνακας64[EmployeeID])</f>
        <v>1</v>
      </c>
      <c r="J184">
        <f>_xlfn.XLOOKUP(tbl_FACTS[[#This Row],[OrderID]],Πίνακας64[OrderID],Πίνακας64[ShipperID])</f>
        <v>3</v>
      </c>
      <c r="K184" t="str">
        <f>_xlfn.XLOOKUP(tbl_FACTS[[#This Row],[ShipperID]],Πίνακας8[ShipperID],Πίνακας8[ShipperName])</f>
        <v>Federal Shipping</v>
      </c>
      <c r="L184" t="str">
        <f>_xlfn.XLOOKUP(tbl_FACTS[[#This Row],[ProductID]],Πίνακας7[ProductID],Πίνακας7[ProductName])</f>
        <v>Jack's New England Clam Chowder</v>
      </c>
      <c r="M184">
        <f>_xlfn.XLOOKUP(tbl_FACTS[[#This Row],[ProductID]],Πίνακας7[ProductID],Πίνακας7[CategoryID])</f>
        <v>8</v>
      </c>
      <c r="N184" t="str">
        <f>_xlfn.XLOOKUP(tbl_FACTS[[#This Row],[CategoryID]],Πίνακας4[CategoryID],Πίνακας4[CategoryName])</f>
        <v>Seafood</v>
      </c>
      <c r="O184">
        <f>_xlfn.XLOOKUP(tbl_FACTS[[#This Row],[ProductID]],Πίνακας7[ProductID],Πίνακας7[SupplierID])</f>
        <v>19</v>
      </c>
      <c r="P184" t="str">
        <f>_xlfn.XLOOKUP(tbl_FACTS[[#This Row],[SupplierID]],Πίνακας9[SupplierID],Πίνακας9[SupplierName])</f>
        <v>New England Seafood Cannery</v>
      </c>
      <c r="Q184" s="21">
        <f>_xlfn.XLOOKUP(tbl_FACTS[[#This Row],[ProductID]],Πίνακας7[ProductID],Πίνακας7[Price])</f>
        <v>10</v>
      </c>
      <c r="R184" s="21">
        <f>tbl_FACTS[[#This Row],[Quantity]]*tbl_FACTS[[#This Row],[Price]]</f>
        <v>100</v>
      </c>
      <c r="S184" s="19">
        <f>IF(COUNTIFS(tbl_FACTS[OrderID],tbl_FACTS[[#This Row],[OrderID]],tbl_FACTS[OrderDetailID],"&lt;"&amp;tbl_FACTS[[#This Row],[OrderDetailID]])=0,1,0)</f>
        <v>1</v>
      </c>
      <c r="T184" s="19">
        <f>YEAR(tbl_FACTS[[#This Row],[OrderDate]])</f>
        <v>1996</v>
      </c>
      <c r="U184" s="22">
        <f>DATE(YEAR(tbl_FACTS[[#This Row],[OrderDate]]),MONTH(tbl_FACTS[[#This Row],[OrderDate]]),1)</f>
        <v>35309</v>
      </c>
      <c r="V184" s="22" t="str">
        <f>IF(tbl_FACTS[[#This Row],[Quantity]]&lt;=10,"0–10",IF(tbl_FACTS[[#This Row],[Quantity]]&lt;=20,"11–20",IF(tbl_FACTS[[#This Row],[Quantity]]&lt;=30,"21–30",IF(tbl_FACTS[[#This Row],[Quantity]]&lt;=40,"31–40",IF(tbl_FACTS[[#This Row],[Quantity]]&lt;=50,"41–50","51+")))))</f>
        <v>0–10</v>
      </c>
    </row>
    <row r="185" spans="1:22">
      <c r="A185">
        <v>184</v>
      </c>
      <c r="B185">
        <v>10316</v>
      </c>
      <c r="C185">
        <v>62</v>
      </c>
      <c r="D185" s="19">
        <v>70</v>
      </c>
      <c r="E185" s="20">
        <f>_xlfn.XLOOKUP(tbl_FACTS[[#This Row],[OrderID]],Πίνακας64[OrderID],Πίνακας64[OrderDate])</f>
        <v>35335</v>
      </c>
      <c r="F185">
        <f>_xlfn.XLOOKUP(tbl_FACTS[[#This Row],[OrderID]],Πίνακας64[OrderID],Πίνακας64[CustomerID])</f>
        <v>65</v>
      </c>
      <c r="G185" t="str">
        <f>_xlfn.XLOOKUP(tbl_FACTS[[#This Row],[CustomerID]],Πίνακας1[CustomerID],Πίνακας1[CustomerName])</f>
        <v>Rattlesnake Canyon Grocery</v>
      </c>
      <c r="H185" t="str">
        <f>_xlfn.XLOOKUP(tbl_FACTS[[#This Row],[CustomerID]],Πίνακας1[CustomerID],Πίνακας1[Country])</f>
        <v>USA</v>
      </c>
      <c r="I185">
        <f>_xlfn.XLOOKUP(tbl_FACTS[[#This Row],[OrderID]],Πίνακας64[OrderID],Πίνακας64[EmployeeID])</f>
        <v>1</v>
      </c>
      <c r="J185">
        <f>_xlfn.XLOOKUP(tbl_FACTS[[#This Row],[OrderID]],Πίνακας64[OrderID],Πίνακας64[ShipperID])</f>
        <v>3</v>
      </c>
      <c r="K185" t="str">
        <f>_xlfn.XLOOKUP(tbl_FACTS[[#This Row],[ShipperID]],Πίνακας8[ShipperID],Πίνακας8[ShipperName])</f>
        <v>Federal Shipping</v>
      </c>
      <c r="L185" t="str">
        <f>_xlfn.XLOOKUP(tbl_FACTS[[#This Row],[ProductID]],Πίνακας7[ProductID],Πίνακας7[ProductName])</f>
        <v>Tarte au sucre</v>
      </c>
      <c r="M185">
        <f>_xlfn.XLOOKUP(tbl_FACTS[[#This Row],[ProductID]],Πίνακας7[ProductID],Πίνακας7[CategoryID])</f>
        <v>3</v>
      </c>
      <c r="N185" t="str">
        <f>_xlfn.XLOOKUP(tbl_FACTS[[#This Row],[CategoryID]],Πίνακας4[CategoryID],Πίνακας4[CategoryName])</f>
        <v>Confections</v>
      </c>
      <c r="O185">
        <f>_xlfn.XLOOKUP(tbl_FACTS[[#This Row],[ProductID]],Πίνακας7[ProductID],Πίνακας7[SupplierID])</f>
        <v>29</v>
      </c>
      <c r="P185" t="str">
        <f>_xlfn.XLOOKUP(tbl_FACTS[[#This Row],[SupplierID]],Πίνακας9[SupplierID],Πίνακας9[SupplierName])</f>
        <v>Forets d'erables</v>
      </c>
      <c r="Q185" s="21">
        <f>_xlfn.XLOOKUP(tbl_FACTS[[#This Row],[ProductID]],Πίνακας7[ProductID],Πίνακας7[Price])</f>
        <v>49</v>
      </c>
      <c r="R185" s="21">
        <f>tbl_FACTS[[#This Row],[Quantity]]*tbl_FACTS[[#This Row],[Price]]</f>
        <v>3430</v>
      </c>
      <c r="S185" s="19">
        <f>IF(COUNTIFS(tbl_FACTS[OrderID],tbl_FACTS[[#This Row],[OrderID]],tbl_FACTS[OrderDetailID],"&lt;"&amp;tbl_FACTS[[#This Row],[OrderDetailID]])=0,1,0)</f>
        <v>0</v>
      </c>
      <c r="T185" s="19">
        <f>YEAR(tbl_FACTS[[#This Row],[OrderDate]])</f>
        <v>1996</v>
      </c>
      <c r="U185" s="22">
        <f>DATE(YEAR(tbl_FACTS[[#This Row],[OrderDate]]),MONTH(tbl_FACTS[[#This Row],[OrderDate]]),1)</f>
        <v>35309</v>
      </c>
      <c r="V185" s="22" t="str">
        <f>IF(tbl_FACTS[[#This Row],[Quantity]]&lt;=10,"0–10",IF(tbl_FACTS[[#This Row],[Quantity]]&lt;=20,"11–20",IF(tbl_FACTS[[#This Row],[Quantity]]&lt;=30,"21–30",IF(tbl_FACTS[[#This Row],[Quantity]]&lt;=40,"31–40",IF(tbl_FACTS[[#This Row],[Quantity]]&lt;=50,"41–50","51+")))))</f>
        <v>51+</v>
      </c>
    </row>
    <row r="186" spans="1:22">
      <c r="A186">
        <v>185</v>
      </c>
      <c r="B186">
        <v>10317</v>
      </c>
      <c r="C186">
        <v>1</v>
      </c>
      <c r="D186" s="19">
        <v>20</v>
      </c>
      <c r="E186" s="20">
        <f>_xlfn.XLOOKUP(tbl_FACTS[[#This Row],[OrderID]],Πίνακας64[OrderID],Πίνακας64[OrderDate])</f>
        <v>35338</v>
      </c>
      <c r="F186">
        <f>_xlfn.XLOOKUP(tbl_FACTS[[#This Row],[OrderID]],Πίνακας64[OrderID],Πίνακας64[CustomerID])</f>
        <v>48</v>
      </c>
      <c r="G186" t="str">
        <f>_xlfn.XLOOKUP(tbl_FACTS[[#This Row],[CustomerID]],Πίνακας1[CustomerID],Πίνακας1[CustomerName])</f>
        <v>Lonesome Pine Restaurant</v>
      </c>
      <c r="H186" t="str">
        <f>_xlfn.XLOOKUP(tbl_FACTS[[#This Row],[CustomerID]],Πίνακας1[CustomerID],Πίνακας1[Country])</f>
        <v>USA</v>
      </c>
      <c r="I186">
        <f>_xlfn.XLOOKUP(tbl_FACTS[[#This Row],[OrderID]],Πίνακας64[OrderID],Πίνακας64[EmployeeID])</f>
        <v>6</v>
      </c>
      <c r="J186">
        <f>_xlfn.XLOOKUP(tbl_FACTS[[#This Row],[OrderID]],Πίνακας64[OrderID],Πίνακας64[ShipperID])</f>
        <v>1</v>
      </c>
      <c r="K186" t="str">
        <f>_xlfn.XLOOKUP(tbl_FACTS[[#This Row],[ShipperID]],Πίνακας8[ShipperID],Πίνακας8[ShipperName])</f>
        <v>Speedy Express</v>
      </c>
      <c r="L186" t="str">
        <f>_xlfn.XLOOKUP(tbl_FACTS[[#This Row],[ProductID]],Πίνακας7[ProductID],Πίνακας7[ProductName])</f>
        <v>Chais</v>
      </c>
      <c r="M186">
        <f>_xlfn.XLOOKUP(tbl_FACTS[[#This Row],[ProductID]],Πίνακας7[ProductID],Πίνακας7[CategoryID])</f>
        <v>1</v>
      </c>
      <c r="N186" t="str">
        <f>_xlfn.XLOOKUP(tbl_FACTS[[#This Row],[CategoryID]],Πίνακας4[CategoryID],Πίνακας4[CategoryName])</f>
        <v>Beverages</v>
      </c>
      <c r="O186">
        <f>_xlfn.XLOOKUP(tbl_FACTS[[#This Row],[ProductID]],Πίνακας7[ProductID],Πίνακας7[SupplierID])</f>
        <v>1</v>
      </c>
      <c r="P186" t="str">
        <f>_xlfn.XLOOKUP(tbl_FACTS[[#This Row],[SupplierID]],Πίνακας9[SupplierID],Πίνακας9[SupplierName])</f>
        <v>Exotic Liquid</v>
      </c>
      <c r="Q186" s="21">
        <f>_xlfn.XLOOKUP(tbl_FACTS[[#This Row],[ProductID]],Πίνακας7[ProductID],Πίνακας7[Price])</f>
        <v>18</v>
      </c>
      <c r="R186" s="21">
        <f>tbl_FACTS[[#This Row],[Quantity]]*tbl_FACTS[[#This Row],[Price]]</f>
        <v>360</v>
      </c>
      <c r="S186" s="19">
        <f>IF(COUNTIFS(tbl_FACTS[OrderID],tbl_FACTS[[#This Row],[OrderID]],tbl_FACTS[OrderDetailID],"&lt;"&amp;tbl_FACTS[[#This Row],[OrderDetailID]])=0,1,0)</f>
        <v>1</v>
      </c>
      <c r="T186" s="19">
        <f>YEAR(tbl_FACTS[[#This Row],[OrderDate]])</f>
        <v>1996</v>
      </c>
      <c r="U186" s="22">
        <f>DATE(YEAR(tbl_FACTS[[#This Row],[OrderDate]]),MONTH(tbl_FACTS[[#This Row],[OrderDate]]),1)</f>
        <v>35309</v>
      </c>
      <c r="V186" s="22" t="str">
        <f>IF(tbl_FACTS[[#This Row],[Quantity]]&lt;=10,"0–10",IF(tbl_FACTS[[#This Row],[Quantity]]&lt;=20,"11–20",IF(tbl_FACTS[[#This Row],[Quantity]]&lt;=30,"21–30",IF(tbl_FACTS[[#This Row],[Quantity]]&lt;=40,"31–40",IF(tbl_FACTS[[#This Row],[Quantity]]&lt;=50,"41–50","51+")))))</f>
        <v>11–20</v>
      </c>
    </row>
    <row r="187" spans="1:22">
      <c r="A187">
        <v>186</v>
      </c>
      <c r="B187">
        <v>10318</v>
      </c>
      <c r="C187">
        <v>41</v>
      </c>
      <c r="D187" s="19">
        <v>20</v>
      </c>
      <c r="E187" s="20">
        <f>_xlfn.XLOOKUP(tbl_FACTS[[#This Row],[OrderID]],Πίνακας64[OrderID],Πίνακας64[OrderDate])</f>
        <v>35339</v>
      </c>
      <c r="F187">
        <f>_xlfn.XLOOKUP(tbl_FACTS[[#This Row],[OrderID]],Πίνακας64[OrderID],Πίνακας64[CustomerID])</f>
        <v>38</v>
      </c>
      <c r="G187" t="str">
        <f>_xlfn.XLOOKUP(tbl_FACTS[[#This Row],[CustomerID]],Πίνακας1[CustomerID],Πίνακας1[CustomerName])</f>
        <v>Island Trading</v>
      </c>
      <c r="H187" t="str">
        <f>_xlfn.XLOOKUP(tbl_FACTS[[#This Row],[CustomerID]],Πίνακας1[CustomerID],Πίνακας1[Country])</f>
        <v>UK</v>
      </c>
      <c r="I187">
        <f>_xlfn.XLOOKUP(tbl_FACTS[[#This Row],[OrderID]],Πίνακας64[OrderID],Πίνακας64[EmployeeID])</f>
        <v>8</v>
      </c>
      <c r="J187">
        <f>_xlfn.XLOOKUP(tbl_FACTS[[#This Row],[OrderID]],Πίνακας64[OrderID],Πίνακας64[ShipperID])</f>
        <v>2</v>
      </c>
      <c r="K187" t="str">
        <f>_xlfn.XLOOKUP(tbl_FACTS[[#This Row],[ShipperID]],Πίνακας8[ShipperID],Πίνακας8[ShipperName])</f>
        <v>United Package</v>
      </c>
      <c r="L187" t="str">
        <f>_xlfn.XLOOKUP(tbl_FACTS[[#This Row],[ProductID]],Πίνακας7[ProductID],Πίνακας7[ProductName])</f>
        <v>Jack's New England Clam Chowder</v>
      </c>
      <c r="M187">
        <f>_xlfn.XLOOKUP(tbl_FACTS[[#This Row],[ProductID]],Πίνακας7[ProductID],Πίνακας7[CategoryID])</f>
        <v>8</v>
      </c>
      <c r="N187" t="str">
        <f>_xlfn.XLOOKUP(tbl_FACTS[[#This Row],[CategoryID]],Πίνακας4[CategoryID],Πίνακας4[CategoryName])</f>
        <v>Seafood</v>
      </c>
      <c r="O187">
        <f>_xlfn.XLOOKUP(tbl_FACTS[[#This Row],[ProductID]],Πίνακας7[ProductID],Πίνακας7[SupplierID])</f>
        <v>19</v>
      </c>
      <c r="P187" t="str">
        <f>_xlfn.XLOOKUP(tbl_FACTS[[#This Row],[SupplierID]],Πίνακας9[SupplierID],Πίνακας9[SupplierName])</f>
        <v>New England Seafood Cannery</v>
      </c>
      <c r="Q187" s="21">
        <f>_xlfn.XLOOKUP(tbl_FACTS[[#This Row],[ProductID]],Πίνακας7[ProductID],Πίνακας7[Price])</f>
        <v>10</v>
      </c>
      <c r="R187" s="21">
        <f>tbl_FACTS[[#This Row],[Quantity]]*tbl_FACTS[[#This Row],[Price]]</f>
        <v>200</v>
      </c>
      <c r="S187" s="19">
        <f>IF(COUNTIFS(tbl_FACTS[OrderID],tbl_FACTS[[#This Row],[OrderID]],tbl_FACTS[OrderDetailID],"&lt;"&amp;tbl_FACTS[[#This Row],[OrderDetailID]])=0,1,0)</f>
        <v>1</v>
      </c>
      <c r="T187" s="19">
        <f>YEAR(tbl_FACTS[[#This Row],[OrderDate]])</f>
        <v>1996</v>
      </c>
      <c r="U187" s="22">
        <f>DATE(YEAR(tbl_FACTS[[#This Row],[OrderDate]]),MONTH(tbl_FACTS[[#This Row],[OrderDate]]),1)</f>
        <v>35339</v>
      </c>
      <c r="V187" s="22" t="str">
        <f>IF(tbl_FACTS[[#This Row],[Quantity]]&lt;=10,"0–10",IF(tbl_FACTS[[#This Row],[Quantity]]&lt;=20,"11–20",IF(tbl_FACTS[[#This Row],[Quantity]]&lt;=30,"21–30",IF(tbl_FACTS[[#This Row],[Quantity]]&lt;=40,"31–40",IF(tbl_FACTS[[#This Row],[Quantity]]&lt;=50,"41–50","51+")))))</f>
        <v>11–20</v>
      </c>
    </row>
    <row r="188" spans="1:22">
      <c r="A188">
        <v>187</v>
      </c>
      <c r="B188">
        <v>10318</v>
      </c>
      <c r="C188">
        <v>76</v>
      </c>
      <c r="D188" s="19">
        <v>6</v>
      </c>
      <c r="E188" s="20">
        <f>_xlfn.XLOOKUP(tbl_FACTS[[#This Row],[OrderID]],Πίνακας64[OrderID],Πίνακας64[OrderDate])</f>
        <v>35339</v>
      </c>
      <c r="F188">
        <f>_xlfn.XLOOKUP(tbl_FACTS[[#This Row],[OrderID]],Πίνακας64[OrderID],Πίνακας64[CustomerID])</f>
        <v>38</v>
      </c>
      <c r="G188" t="str">
        <f>_xlfn.XLOOKUP(tbl_FACTS[[#This Row],[CustomerID]],Πίνακας1[CustomerID],Πίνακας1[CustomerName])</f>
        <v>Island Trading</v>
      </c>
      <c r="H188" t="str">
        <f>_xlfn.XLOOKUP(tbl_FACTS[[#This Row],[CustomerID]],Πίνακας1[CustomerID],Πίνακας1[Country])</f>
        <v>UK</v>
      </c>
      <c r="I188">
        <f>_xlfn.XLOOKUP(tbl_FACTS[[#This Row],[OrderID]],Πίνακας64[OrderID],Πίνακας64[EmployeeID])</f>
        <v>8</v>
      </c>
      <c r="J188">
        <f>_xlfn.XLOOKUP(tbl_FACTS[[#This Row],[OrderID]],Πίνακας64[OrderID],Πίνακας64[ShipperID])</f>
        <v>2</v>
      </c>
      <c r="K188" t="str">
        <f>_xlfn.XLOOKUP(tbl_FACTS[[#This Row],[ShipperID]],Πίνακας8[ShipperID],Πίνακας8[ShipperName])</f>
        <v>United Package</v>
      </c>
      <c r="L188" t="str">
        <f>_xlfn.XLOOKUP(tbl_FACTS[[#This Row],[ProductID]],Πίνακας7[ProductID],Πίνακας7[ProductName])</f>
        <v>Lakkalikoori</v>
      </c>
      <c r="M188">
        <f>_xlfn.XLOOKUP(tbl_FACTS[[#This Row],[ProductID]],Πίνακας7[ProductID],Πίνακας7[CategoryID])</f>
        <v>1</v>
      </c>
      <c r="N188" t="str">
        <f>_xlfn.XLOOKUP(tbl_FACTS[[#This Row],[CategoryID]],Πίνακας4[CategoryID],Πίνακας4[CategoryName])</f>
        <v>Beverages</v>
      </c>
      <c r="O188">
        <f>_xlfn.XLOOKUP(tbl_FACTS[[#This Row],[ProductID]],Πίνακας7[ProductID],Πίνακας7[SupplierID])</f>
        <v>23</v>
      </c>
      <c r="P188" t="str">
        <f>_xlfn.XLOOKUP(tbl_FACTS[[#This Row],[SupplierID]],Πίνακας9[SupplierID],Πίνακας9[SupplierName])</f>
        <v>Karkki Oy</v>
      </c>
      <c r="Q188" s="21">
        <f>_xlfn.XLOOKUP(tbl_FACTS[[#This Row],[ProductID]],Πίνακας7[ProductID],Πίνακας7[Price])</f>
        <v>18</v>
      </c>
      <c r="R188" s="21">
        <f>tbl_FACTS[[#This Row],[Quantity]]*tbl_FACTS[[#This Row],[Price]]</f>
        <v>108</v>
      </c>
      <c r="S188" s="19">
        <f>IF(COUNTIFS(tbl_FACTS[OrderID],tbl_FACTS[[#This Row],[OrderID]],tbl_FACTS[OrderDetailID],"&lt;"&amp;tbl_FACTS[[#This Row],[OrderDetailID]])=0,1,0)</f>
        <v>0</v>
      </c>
      <c r="T188" s="19">
        <f>YEAR(tbl_FACTS[[#This Row],[OrderDate]])</f>
        <v>1996</v>
      </c>
      <c r="U188" s="22">
        <f>DATE(YEAR(tbl_FACTS[[#This Row],[OrderDate]]),MONTH(tbl_FACTS[[#This Row],[OrderDate]]),1)</f>
        <v>35339</v>
      </c>
      <c r="V188" s="22" t="str">
        <f>IF(tbl_FACTS[[#This Row],[Quantity]]&lt;=10,"0–10",IF(tbl_FACTS[[#This Row],[Quantity]]&lt;=20,"11–20",IF(tbl_FACTS[[#This Row],[Quantity]]&lt;=30,"21–30",IF(tbl_FACTS[[#This Row],[Quantity]]&lt;=40,"31–40",IF(tbl_FACTS[[#This Row],[Quantity]]&lt;=50,"41–50","51+")))))</f>
        <v>0–10</v>
      </c>
    </row>
    <row r="189" spans="1:22">
      <c r="A189">
        <v>188</v>
      </c>
      <c r="B189">
        <v>10319</v>
      </c>
      <c r="C189">
        <v>17</v>
      </c>
      <c r="D189" s="19">
        <v>8</v>
      </c>
      <c r="E189" s="20">
        <f>_xlfn.XLOOKUP(tbl_FACTS[[#This Row],[OrderID]],Πίνακας64[OrderID],Πίνακας64[OrderDate])</f>
        <v>35340</v>
      </c>
      <c r="F189">
        <f>_xlfn.XLOOKUP(tbl_FACTS[[#This Row],[OrderID]],Πίνακας64[OrderID],Πίνακας64[CustomerID])</f>
        <v>80</v>
      </c>
      <c r="G189" t="str">
        <f>_xlfn.XLOOKUP(tbl_FACTS[[#This Row],[CustomerID]],Πίνακας1[CustomerID],Πίνακας1[CustomerName])</f>
        <v>Tortuga Restaurante</v>
      </c>
      <c r="H189" t="str">
        <f>_xlfn.XLOOKUP(tbl_FACTS[[#This Row],[CustomerID]],Πίνακας1[CustomerID],Πίνακας1[Country])</f>
        <v>Mexico</v>
      </c>
      <c r="I189">
        <f>_xlfn.XLOOKUP(tbl_FACTS[[#This Row],[OrderID]],Πίνακας64[OrderID],Πίνακας64[EmployeeID])</f>
        <v>7</v>
      </c>
      <c r="J189">
        <f>_xlfn.XLOOKUP(tbl_FACTS[[#This Row],[OrderID]],Πίνακας64[OrderID],Πίνακας64[ShipperID])</f>
        <v>3</v>
      </c>
      <c r="K189" t="str">
        <f>_xlfn.XLOOKUP(tbl_FACTS[[#This Row],[ShipperID]],Πίνακας8[ShipperID],Πίνακας8[ShipperName])</f>
        <v>Federal Shipping</v>
      </c>
      <c r="L189" t="str">
        <f>_xlfn.XLOOKUP(tbl_FACTS[[#This Row],[ProductID]],Πίνακας7[ProductID],Πίνακας7[ProductName])</f>
        <v>Alice Mutton</v>
      </c>
      <c r="M189">
        <f>_xlfn.XLOOKUP(tbl_FACTS[[#This Row],[ProductID]],Πίνακας7[ProductID],Πίνακας7[CategoryID])</f>
        <v>6</v>
      </c>
      <c r="N189" t="str">
        <f>_xlfn.XLOOKUP(tbl_FACTS[[#This Row],[CategoryID]],Πίνακας4[CategoryID],Πίνακας4[CategoryName])</f>
        <v>Meat/Poultry</v>
      </c>
      <c r="O189">
        <f>_xlfn.XLOOKUP(tbl_FACTS[[#This Row],[ProductID]],Πίνακας7[ProductID],Πίνακας7[SupplierID])</f>
        <v>7</v>
      </c>
      <c r="P189" t="str">
        <f>_xlfn.XLOOKUP(tbl_FACTS[[#This Row],[SupplierID]],Πίνακας9[SupplierID],Πίνακας9[SupplierName])</f>
        <v>Pavlova, Ltd.</v>
      </c>
      <c r="Q189" s="21">
        <f>_xlfn.XLOOKUP(tbl_FACTS[[#This Row],[ProductID]],Πίνακας7[ProductID],Πίνακας7[Price])</f>
        <v>39</v>
      </c>
      <c r="R189" s="21">
        <f>tbl_FACTS[[#This Row],[Quantity]]*tbl_FACTS[[#This Row],[Price]]</f>
        <v>312</v>
      </c>
      <c r="S189" s="19">
        <f>IF(COUNTIFS(tbl_FACTS[OrderID],tbl_FACTS[[#This Row],[OrderID]],tbl_FACTS[OrderDetailID],"&lt;"&amp;tbl_FACTS[[#This Row],[OrderDetailID]])=0,1,0)</f>
        <v>1</v>
      </c>
      <c r="T189" s="19">
        <f>YEAR(tbl_FACTS[[#This Row],[OrderDate]])</f>
        <v>1996</v>
      </c>
      <c r="U189" s="22">
        <f>DATE(YEAR(tbl_FACTS[[#This Row],[OrderDate]]),MONTH(tbl_FACTS[[#This Row],[OrderDate]]),1)</f>
        <v>35339</v>
      </c>
      <c r="V189" s="22" t="str">
        <f>IF(tbl_FACTS[[#This Row],[Quantity]]&lt;=10,"0–10",IF(tbl_FACTS[[#This Row],[Quantity]]&lt;=20,"11–20",IF(tbl_FACTS[[#This Row],[Quantity]]&lt;=30,"21–30",IF(tbl_FACTS[[#This Row],[Quantity]]&lt;=40,"31–40",IF(tbl_FACTS[[#This Row],[Quantity]]&lt;=50,"41–50","51+")))))</f>
        <v>0–10</v>
      </c>
    </row>
    <row r="190" spans="1:22">
      <c r="A190">
        <v>189</v>
      </c>
      <c r="B190">
        <v>10319</v>
      </c>
      <c r="C190">
        <v>28</v>
      </c>
      <c r="D190" s="19">
        <v>14</v>
      </c>
      <c r="E190" s="20">
        <f>_xlfn.XLOOKUP(tbl_FACTS[[#This Row],[OrderID]],Πίνακας64[OrderID],Πίνακας64[OrderDate])</f>
        <v>35340</v>
      </c>
      <c r="F190">
        <f>_xlfn.XLOOKUP(tbl_FACTS[[#This Row],[OrderID]],Πίνακας64[OrderID],Πίνακας64[CustomerID])</f>
        <v>80</v>
      </c>
      <c r="G190" t="str">
        <f>_xlfn.XLOOKUP(tbl_FACTS[[#This Row],[CustomerID]],Πίνακας1[CustomerID],Πίνακας1[CustomerName])</f>
        <v>Tortuga Restaurante</v>
      </c>
      <c r="H190" t="str">
        <f>_xlfn.XLOOKUP(tbl_FACTS[[#This Row],[CustomerID]],Πίνακας1[CustomerID],Πίνακας1[Country])</f>
        <v>Mexico</v>
      </c>
      <c r="I190">
        <f>_xlfn.XLOOKUP(tbl_FACTS[[#This Row],[OrderID]],Πίνακας64[OrderID],Πίνακας64[EmployeeID])</f>
        <v>7</v>
      </c>
      <c r="J190">
        <f>_xlfn.XLOOKUP(tbl_FACTS[[#This Row],[OrderID]],Πίνακας64[OrderID],Πίνακας64[ShipperID])</f>
        <v>3</v>
      </c>
      <c r="K190" t="str">
        <f>_xlfn.XLOOKUP(tbl_FACTS[[#This Row],[ShipperID]],Πίνακας8[ShipperID],Πίνακας8[ShipperName])</f>
        <v>Federal Shipping</v>
      </c>
      <c r="L190" t="str">
        <f>_xlfn.XLOOKUP(tbl_FACTS[[#This Row],[ProductID]],Πίνακας7[ProductID],Πίνακας7[ProductName])</f>
        <v>Rossle Sauerkraut</v>
      </c>
      <c r="M190">
        <f>_xlfn.XLOOKUP(tbl_FACTS[[#This Row],[ProductID]],Πίνακας7[ProductID],Πίνακας7[CategoryID])</f>
        <v>7</v>
      </c>
      <c r="N190" t="str">
        <f>_xlfn.XLOOKUP(tbl_FACTS[[#This Row],[CategoryID]],Πίνακας4[CategoryID],Πίνακας4[CategoryName])</f>
        <v>Produce</v>
      </c>
      <c r="O190">
        <f>_xlfn.XLOOKUP(tbl_FACTS[[#This Row],[ProductID]],Πίνακας7[ProductID],Πίνακας7[SupplierID])</f>
        <v>12</v>
      </c>
      <c r="P190" t="str">
        <f>_xlfn.XLOOKUP(tbl_FACTS[[#This Row],[SupplierID]],Πίνακας9[SupplierID],Πίνακας9[SupplierName])</f>
        <v>Plutzer Lebensmittelgro├ƒmarkte AG</v>
      </c>
      <c r="Q190" s="21">
        <f>_xlfn.XLOOKUP(tbl_FACTS[[#This Row],[ProductID]],Πίνακας7[ProductID],Πίνακας7[Price])</f>
        <v>46</v>
      </c>
      <c r="R190" s="21">
        <f>tbl_FACTS[[#This Row],[Quantity]]*tbl_FACTS[[#This Row],[Price]]</f>
        <v>644</v>
      </c>
      <c r="S190" s="19">
        <f>IF(COUNTIFS(tbl_FACTS[OrderID],tbl_FACTS[[#This Row],[OrderID]],tbl_FACTS[OrderDetailID],"&lt;"&amp;tbl_FACTS[[#This Row],[OrderDetailID]])=0,1,0)</f>
        <v>0</v>
      </c>
      <c r="T190" s="19">
        <f>YEAR(tbl_FACTS[[#This Row],[OrderDate]])</f>
        <v>1996</v>
      </c>
      <c r="U190" s="22">
        <f>DATE(YEAR(tbl_FACTS[[#This Row],[OrderDate]]),MONTH(tbl_FACTS[[#This Row],[OrderDate]]),1)</f>
        <v>35339</v>
      </c>
      <c r="V190" s="22" t="str">
        <f>IF(tbl_FACTS[[#This Row],[Quantity]]&lt;=10,"0–10",IF(tbl_FACTS[[#This Row],[Quantity]]&lt;=20,"11–20",IF(tbl_FACTS[[#This Row],[Quantity]]&lt;=30,"21–30",IF(tbl_FACTS[[#This Row],[Quantity]]&lt;=40,"31–40",IF(tbl_FACTS[[#This Row],[Quantity]]&lt;=50,"41–50","51+")))))</f>
        <v>11–20</v>
      </c>
    </row>
    <row r="191" spans="1:22">
      <c r="A191">
        <v>190</v>
      </c>
      <c r="B191">
        <v>10319</v>
      </c>
      <c r="C191">
        <v>76</v>
      </c>
      <c r="D191" s="19">
        <v>30</v>
      </c>
      <c r="E191" s="20">
        <f>_xlfn.XLOOKUP(tbl_FACTS[[#This Row],[OrderID]],Πίνακας64[OrderID],Πίνακας64[OrderDate])</f>
        <v>35340</v>
      </c>
      <c r="F191">
        <f>_xlfn.XLOOKUP(tbl_FACTS[[#This Row],[OrderID]],Πίνακας64[OrderID],Πίνακας64[CustomerID])</f>
        <v>80</v>
      </c>
      <c r="G191" t="str">
        <f>_xlfn.XLOOKUP(tbl_FACTS[[#This Row],[CustomerID]],Πίνακας1[CustomerID],Πίνακας1[CustomerName])</f>
        <v>Tortuga Restaurante</v>
      </c>
      <c r="H191" t="str">
        <f>_xlfn.XLOOKUP(tbl_FACTS[[#This Row],[CustomerID]],Πίνακας1[CustomerID],Πίνακας1[Country])</f>
        <v>Mexico</v>
      </c>
      <c r="I191">
        <f>_xlfn.XLOOKUP(tbl_FACTS[[#This Row],[OrderID]],Πίνακας64[OrderID],Πίνακας64[EmployeeID])</f>
        <v>7</v>
      </c>
      <c r="J191">
        <f>_xlfn.XLOOKUP(tbl_FACTS[[#This Row],[OrderID]],Πίνακας64[OrderID],Πίνακας64[ShipperID])</f>
        <v>3</v>
      </c>
      <c r="K191" t="str">
        <f>_xlfn.XLOOKUP(tbl_FACTS[[#This Row],[ShipperID]],Πίνακας8[ShipperID],Πίνακας8[ShipperName])</f>
        <v>Federal Shipping</v>
      </c>
      <c r="L191" t="str">
        <f>_xlfn.XLOOKUP(tbl_FACTS[[#This Row],[ProductID]],Πίνακας7[ProductID],Πίνακας7[ProductName])</f>
        <v>Lakkalikoori</v>
      </c>
      <c r="M191">
        <f>_xlfn.XLOOKUP(tbl_FACTS[[#This Row],[ProductID]],Πίνακας7[ProductID],Πίνακας7[CategoryID])</f>
        <v>1</v>
      </c>
      <c r="N191" t="str">
        <f>_xlfn.XLOOKUP(tbl_FACTS[[#This Row],[CategoryID]],Πίνακας4[CategoryID],Πίνακας4[CategoryName])</f>
        <v>Beverages</v>
      </c>
      <c r="O191">
        <f>_xlfn.XLOOKUP(tbl_FACTS[[#This Row],[ProductID]],Πίνακας7[ProductID],Πίνακας7[SupplierID])</f>
        <v>23</v>
      </c>
      <c r="P191" t="str">
        <f>_xlfn.XLOOKUP(tbl_FACTS[[#This Row],[SupplierID]],Πίνακας9[SupplierID],Πίνακας9[SupplierName])</f>
        <v>Karkki Oy</v>
      </c>
      <c r="Q191" s="21">
        <f>_xlfn.XLOOKUP(tbl_FACTS[[#This Row],[ProductID]],Πίνακας7[ProductID],Πίνακας7[Price])</f>
        <v>18</v>
      </c>
      <c r="R191" s="21">
        <f>tbl_FACTS[[#This Row],[Quantity]]*tbl_FACTS[[#This Row],[Price]]</f>
        <v>540</v>
      </c>
      <c r="S191" s="19">
        <f>IF(COUNTIFS(tbl_FACTS[OrderID],tbl_FACTS[[#This Row],[OrderID]],tbl_FACTS[OrderDetailID],"&lt;"&amp;tbl_FACTS[[#This Row],[OrderDetailID]])=0,1,0)</f>
        <v>0</v>
      </c>
      <c r="T191" s="19">
        <f>YEAR(tbl_FACTS[[#This Row],[OrderDate]])</f>
        <v>1996</v>
      </c>
      <c r="U191" s="22">
        <f>DATE(YEAR(tbl_FACTS[[#This Row],[OrderDate]]),MONTH(tbl_FACTS[[#This Row],[OrderDate]]),1)</f>
        <v>35339</v>
      </c>
      <c r="V191" s="22" t="str">
        <f>IF(tbl_FACTS[[#This Row],[Quantity]]&lt;=10,"0–10",IF(tbl_FACTS[[#This Row],[Quantity]]&lt;=20,"11–20",IF(tbl_FACTS[[#This Row],[Quantity]]&lt;=30,"21–30",IF(tbl_FACTS[[#This Row],[Quantity]]&lt;=40,"31–40",IF(tbl_FACTS[[#This Row],[Quantity]]&lt;=50,"41–50","51+")))))</f>
        <v>21–30</v>
      </c>
    </row>
    <row r="192" spans="1:22">
      <c r="A192">
        <v>191</v>
      </c>
      <c r="B192">
        <v>10320</v>
      </c>
      <c r="C192">
        <v>71</v>
      </c>
      <c r="D192" s="19">
        <v>30</v>
      </c>
      <c r="E192" s="20">
        <f>_xlfn.XLOOKUP(tbl_FACTS[[#This Row],[OrderID]],Πίνακας64[OrderID],Πίνακας64[OrderDate])</f>
        <v>35341</v>
      </c>
      <c r="F192">
        <f>_xlfn.XLOOKUP(tbl_FACTS[[#This Row],[OrderID]],Πίνακας64[OrderID],Πίνακας64[CustomerID])</f>
        <v>87</v>
      </c>
      <c r="G192" t="str">
        <f>_xlfn.XLOOKUP(tbl_FACTS[[#This Row],[CustomerID]],Πίνακας1[CustomerID],Πίνακας1[CustomerName])</f>
        <v>Wartian Herkku</v>
      </c>
      <c r="H192" t="str">
        <f>_xlfn.XLOOKUP(tbl_FACTS[[#This Row],[CustomerID]],Πίνακας1[CustomerID],Πίνακας1[Country])</f>
        <v>Finland</v>
      </c>
      <c r="I192">
        <f>_xlfn.XLOOKUP(tbl_FACTS[[#This Row],[OrderID]],Πίνακας64[OrderID],Πίνακας64[EmployeeID])</f>
        <v>5</v>
      </c>
      <c r="J192">
        <f>_xlfn.XLOOKUP(tbl_FACTS[[#This Row],[OrderID]],Πίνακας64[OrderID],Πίνακας64[ShipperID])</f>
        <v>3</v>
      </c>
      <c r="K192" t="str">
        <f>_xlfn.XLOOKUP(tbl_FACTS[[#This Row],[ShipperID]],Πίνακας8[ShipperID],Πίνακας8[ShipperName])</f>
        <v>Federal Shipping</v>
      </c>
      <c r="L192" t="str">
        <f>_xlfn.XLOOKUP(tbl_FACTS[[#This Row],[ProductID]],Πίνακας7[ProductID],Πίνακας7[ProductName])</f>
        <v>Fl├©temysost</v>
      </c>
      <c r="M192">
        <f>_xlfn.XLOOKUP(tbl_FACTS[[#This Row],[ProductID]],Πίνακας7[ProductID],Πίνακας7[CategoryID])</f>
        <v>4</v>
      </c>
      <c r="N192" t="str">
        <f>_xlfn.XLOOKUP(tbl_FACTS[[#This Row],[CategoryID]],Πίνακας4[CategoryID],Πίνακας4[CategoryName])</f>
        <v>Dairy Products</v>
      </c>
      <c r="O192">
        <f>_xlfn.XLOOKUP(tbl_FACTS[[#This Row],[ProductID]],Πίνακας7[ProductID],Πίνακας7[SupplierID])</f>
        <v>15</v>
      </c>
      <c r="P192" t="str">
        <f>_xlfn.XLOOKUP(tbl_FACTS[[#This Row],[SupplierID]],Πίνακας9[SupplierID],Πίνακας9[SupplierName])</f>
        <v>Norske Meierier</v>
      </c>
      <c r="Q192" s="21">
        <f>_xlfn.XLOOKUP(tbl_FACTS[[#This Row],[ProductID]],Πίνακας7[ProductID],Πίνακας7[Price])</f>
        <v>22</v>
      </c>
      <c r="R192" s="21">
        <f>tbl_FACTS[[#This Row],[Quantity]]*tbl_FACTS[[#This Row],[Price]]</f>
        <v>660</v>
      </c>
      <c r="S192" s="19">
        <f>IF(COUNTIFS(tbl_FACTS[OrderID],tbl_FACTS[[#This Row],[OrderID]],tbl_FACTS[OrderDetailID],"&lt;"&amp;tbl_FACTS[[#This Row],[OrderDetailID]])=0,1,0)</f>
        <v>1</v>
      </c>
      <c r="T192" s="19">
        <f>YEAR(tbl_FACTS[[#This Row],[OrderDate]])</f>
        <v>1996</v>
      </c>
      <c r="U192" s="22">
        <f>DATE(YEAR(tbl_FACTS[[#This Row],[OrderDate]]),MONTH(tbl_FACTS[[#This Row],[OrderDate]]),1)</f>
        <v>35339</v>
      </c>
      <c r="V192" s="22" t="str">
        <f>IF(tbl_FACTS[[#This Row],[Quantity]]&lt;=10,"0–10",IF(tbl_FACTS[[#This Row],[Quantity]]&lt;=20,"11–20",IF(tbl_FACTS[[#This Row],[Quantity]]&lt;=30,"21–30",IF(tbl_FACTS[[#This Row],[Quantity]]&lt;=40,"31–40",IF(tbl_FACTS[[#This Row],[Quantity]]&lt;=50,"41–50","51+")))))</f>
        <v>21–30</v>
      </c>
    </row>
    <row r="193" spans="1:22">
      <c r="A193">
        <v>192</v>
      </c>
      <c r="B193">
        <v>10321</v>
      </c>
      <c r="C193">
        <v>35</v>
      </c>
      <c r="D193" s="19">
        <v>10</v>
      </c>
      <c r="E193" s="20">
        <f>_xlfn.XLOOKUP(tbl_FACTS[[#This Row],[OrderID]],Πίνακας64[OrderID],Πίνακας64[OrderDate])</f>
        <v>35341</v>
      </c>
      <c r="F193">
        <f>_xlfn.XLOOKUP(tbl_FACTS[[#This Row],[OrderID]],Πίνακας64[OrderID],Πίνακας64[CustomerID])</f>
        <v>38</v>
      </c>
      <c r="G193" t="str">
        <f>_xlfn.XLOOKUP(tbl_FACTS[[#This Row],[CustomerID]],Πίνακας1[CustomerID],Πίνακας1[CustomerName])</f>
        <v>Island Trading</v>
      </c>
      <c r="H193" t="str">
        <f>_xlfn.XLOOKUP(tbl_FACTS[[#This Row],[CustomerID]],Πίνακας1[CustomerID],Πίνακας1[Country])</f>
        <v>UK</v>
      </c>
      <c r="I193">
        <f>_xlfn.XLOOKUP(tbl_FACTS[[#This Row],[OrderID]],Πίνακας64[OrderID],Πίνακας64[EmployeeID])</f>
        <v>3</v>
      </c>
      <c r="J193">
        <f>_xlfn.XLOOKUP(tbl_FACTS[[#This Row],[OrderID]],Πίνακας64[OrderID],Πίνακας64[ShipperID])</f>
        <v>2</v>
      </c>
      <c r="K193" t="str">
        <f>_xlfn.XLOOKUP(tbl_FACTS[[#This Row],[ShipperID]],Πίνακας8[ShipperID],Πίνακας8[ShipperName])</f>
        <v>United Package</v>
      </c>
      <c r="L193" t="str">
        <f>_xlfn.XLOOKUP(tbl_FACTS[[#This Row],[ProductID]],Πίνακας7[ProductID],Πίνακας7[ProductName])</f>
        <v>Steeleye Stout</v>
      </c>
      <c r="M193">
        <f>_xlfn.XLOOKUP(tbl_FACTS[[#This Row],[ProductID]],Πίνακας7[ProductID],Πίνακας7[CategoryID])</f>
        <v>1</v>
      </c>
      <c r="N193" t="str">
        <f>_xlfn.XLOOKUP(tbl_FACTS[[#This Row],[CategoryID]],Πίνακας4[CategoryID],Πίνακας4[CategoryName])</f>
        <v>Beverages</v>
      </c>
      <c r="O193">
        <f>_xlfn.XLOOKUP(tbl_FACTS[[#This Row],[ProductID]],Πίνακας7[ProductID],Πίνακας7[SupplierID])</f>
        <v>16</v>
      </c>
      <c r="P193" t="str">
        <f>_xlfn.XLOOKUP(tbl_FACTS[[#This Row],[SupplierID]],Πίνακας9[SupplierID],Πίνακας9[SupplierName])</f>
        <v>Bigfoot Breweries</v>
      </c>
      <c r="Q193" s="21">
        <f>_xlfn.XLOOKUP(tbl_FACTS[[#This Row],[ProductID]],Πίνακας7[ProductID],Πίνακας7[Price])</f>
        <v>18</v>
      </c>
      <c r="R193" s="21">
        <f>tbl_FACTS[[#This Row],[Quantity]]*tbl_FACTS[[#This Row],[Price]]</f>
        <v>180</v>
      </c>
      <c r="S193" s="19">
        <f>IF(COUNTIFS(tbl_FACTS[OrderID],tbl_FACTS[[#This Row],[OrderID]],tbl_FACTS[OrderDetailID],"&lt;"&amp;tbl_FACTS[[#This Row],[OrderDetailID]])=0,1,0)</f>
        <v>1</v>
      </c>
      <c r="T193" s="19">
        <f>YEAR(tbl_FACTS[[#This Row],[OrderDate]])</f>
        <v>1996</v>
      </c>
      <c r="U193" s="22">
        <f>DATE(YEAR(tbl_FACTS[[#This Row],[OrderDate]]),MONTH(tbl_FACTS[[#This Row],[OrderDate]]),1)</f>
        <v>35339</v>
      </c>
      <c r="V193" s="22" t="str">
        <f>IF(tbl_FACTS[[#This Row],[Quantity]]&lt;=10,"0–10",IF(tbl_FACTS[[#This Row],[Quantity]]&lt;=20,"11–20",IF(tbl_FACTS[[#This Row],[Quantity]]&lt;=30,"21–30",IF(tbl_FACTS[[#This Row],[Quantity]]&lt;=40,"31–40",IF(tbl_FACTS[[#This Row],[Quantity]]&lt;=50,"41–50","51+")))))</f>
        <v>0–10</v>
      </c>
    </row>
    <row r="194" spans="1:22">
      <c r="A194">
        <v>193</v>
      </c>
      <c r="B194">
        <v>10322</v>
      </c>
      <c r="C194">
        <v>52</v>
      </c>
      <c r="D194" s="19">
        <v>20</v>
      </c>
      <c r="E194" s="20">
        <f>_xlfn.XLOOKUP(tbl_FACTS[[#This Row],[OrderID]],Πίνακας64[OrderID],Πίνακας64[OrderDate])</f>
        <v>35342</v>
      </c>
      <c r="F194">
        <f>_xlfn.XLOOKUP(tbl_FACTS[[#This Row],[OrderID]],Πίνακας64[OrderID],Πίνακας64[CustomerID])</f>
        <v>58</v>
      </c>
      <c r="G194" t="str">
        <f>_xlfn.XLOOKUP(tbl_FACTS[[#This Row],[CustomerID]],Πίνακας1[CustomerID],Πίνακας1[CustomerName])</f>
        <v>Pericles Comidas clasicas</v>
      </c>
      <c r="H194" t="str">
        <f>_xlfn.XLOOKUP(tbl_FACTS[[#This Row],[CustomerID]],Πίνακας1[CustomerID],Πίνακας1[Country])</f>
        <v>Mexico</v>
      </c>
      <c r="I194">
        <f>_xlfn.XLOOKUP(tbl_FACTS[[#This Row],[OrderID]],Πίνακας64[OrderID],Πίνακας64[EmployeeID])</f>
        <v>7</v>
      </c>
      <c r="J194">
        <f>_xlfn.XLOOKUP(tbl_FACTS[[#This Row],[OrderID]],Πίνακας64[OrderID],Πίνακας64[ShipperID])</f>
        <v>3</v>
      </c>
      <c r="K194" t="str">
        <f>_xlfn.XLOOKUP(tbl_FACTS[[#This Row],[ShipperID]],Πίνακας8[ShipperID],Πίνακας8[ShipperName])</f>
        <v>Federal Shipping</v>
      </c>
      <c r="L194" t="str">
        <f>_xlfn.XLOOKUP(tbl_FACTS[[#This Row],[ProductID]],Πίνακας7[ProductID],Πίνακας7[ProductName])</f>
        <v>Filo Mix</v>
      </c>
      <c r="M194">
        <f>_xlfn.XLOOKUP(tbl_FACTS[[#This Row],[ProductID]],Πίνακας7[ProductID],Πίνακας7[CategoryID])</f>
        <v>5</v>
      </c>
      <c r="N194" t="str">
        <f>_xlfn.XLOOKUP(tbl_FACTS[[#This Row],[CategoryID]],Πίνακας4[CategoryID],Πίνακας4[CategoryName])</f>
        <v>Grains/Cereals</v>
      </c>
      <c r="O194">
        <f>_xlfn.XLOOKUP(tbl_FACTS[[#This Row],[ProductID]],Πίνακας7[ProductID],Πίνακας7[SupplierID])</f>
        <v>24</v>
      </c>
      <c r="P194" t="str">
        <f>_xlfn.XLOOKUP(tbl_FACTS[[#This Row],[SupplierID]],Πίνακας9[SupplierID],Πίνακας9[SupplierName])</f>
        <v>G'day, Mate</v>
      </c>
      <c r="Q194" s="21">
        <f>_xlfn.XLOOKUP(tbl_FACTS[[#This Row],[ProductID]],Πίνακας7[ProductID],Πίνακας7[Price])</f>
        <v>7</v>
      </c>
      <c r="R194" s="21">
        <f>tbl_FACTS[[#This Row],[Quantity]]*tbl_FACTS[[#This Row],[Price]]</f>
        <v>140</v>
      </c>
      <c r="S194" s="19">
        <f>IF(COUNTIFS(tbl_FACTS[OrderID],tbl_FACTS[[#This Row],[OrderID]],tbl_FACTS[OrderDetailID],"&lt;"&amp;tbl_FACTS[[#This Row],[OrderDetailID]])=0,1,0)</f>
        <v>1</v>
      </c>
      <c r="T194" s="19">
        <f>YEAR(tbl_FACTS[[#This Row],[OrderDate]])</f>
        <v>1996</v>
      </c>
      <c r="U194" s="22">
        <f>DATE(YEAR(tbl_FACTS[[#This Row],[OrderDate]]),MONTH(tbl_FACTS[[#This Row],[OrderDate]]),1)</f>
        <v>35339</v>
      </c>
      <c r="V194" s="22" t="str">
        <f>IF(tbl_FACTS[[#This Row],[Quantity]]&lt;=10,"0–10",IF(tbl_FACTS[[#This Row],[Quantity]]&lt;=20,"11–20",IF(tbl_FACTS[[#This Row],[Quantity]]&lt;=30,"21–30",IF(tbl_FACTS[[#This Row],[Quantity]]&lt;=40,"31–40",IF(tbl_FACTS[[#This Row],[Quantity]]&lt;=50,"41–50","51+")))))</f>
        <v>11–20</v>
      </c>
    </row>
    <row r="195" spans="1:22">
      <c r="A195">
        <v>194</v>
      </c>
      <c r="B195">
        <v>10323</v>
      </c>
      <c r="C195">
        <v>15</v>
      </c>
      <c r="D195" s="19">
        <v>5</v>
      </c>
      <c r="E195" s="20">
        <f>_xlfn.XLOOKUP(tbl_FACTS[[#This Row],[OrderID]],Πίνακας64[OrderID],Πίνακας64[OrderDate])</f>
        <v>35345</v>
      </c>
      <c r="F195">
        <f>_xlfn.XLOOKUP(tbl_FACTS[[#This Row],[OrderID]],Πίνακας64[OrderID],Πίνακας64[CustomerID])</f>
        <v>39</v>
      </c>
      <c r="G195" t="str">
        <f>_xlfn.XLOOKUP(tbl_FACTS[[#This Row],[CustomerID]],Πίνακας1[CustomerID],Πίνακας1[CustomerName])</f>
        <v>Koniglich Essen</v>
      </c>
      <c r="H195" t="str">
        <f>_xlfn.XLOOKUP(tbl_FACTS[[#This Row],[CustomerID]],Πίνακας1[CustomerID],Πίνακας1[Country])</f>
        <v>Germany</v>
      </c>
      <c r="I195">
        <f>_xlfn.XLOOKUP(tbl_FACTS[[#This Row],[OrderID]],Πίνακας64[OrderID],Πίνακας64[EmployeeID])</f>
        <v>4</v>
      </c>
      <c r="J195">
        <f>_xlfn.XLOOKUP(tbl_FACTS[[#This Row],[OrderID]],Πίνακας64[OrderID],Πίνακας64[ShipperID])</f>
        <v>1</v>
      </c>
      <c r="K195" t="str">
        <f>_xlfn.XLOOKUP(tbl_FACTS[[#This Row],[ShipperID]],Πίνακας8[ShipperID],Πίνακας8[ShipperName])</f>
        <v>Speedy Express</v>
      </c>
      <c r="L195" t="str">
        <f>_xlfn.XLOOKUP(tbl_FACTS[[#This Row],[ProductID]],Πίνακας7[ProductID],Πίνακας7[ProductName])</f>
        <v>Genen Shouyu</v>
      </c>
      <c r="M195">
        <f>_xlfn.XLOOKUP(tbl_FACTS[[#This Row],[ProductID]],Πίνακας7[ProductID],Πίνακας7[CategoryID])</f>
        <v>2</v>
      </c>
      <c r="N195" t="str">
        <f>_xlfn.XLOOKUP(tbl_FACTS[[#This Row],[CategoryID]],Πίνακας4[CategoryID],Πίνακας4[CategoryName])</f>
        <v>Condiments</v>
      </c>
      <c r="O195">
        <f>_xlfn.XLOOKUP(tbl_FACTS[[#This Row],[ProductID]],Πίνακας7[ProductID],Πίνακας7[SupplierID])</f>
        <v>6</v>
      </c>
      <c r="P195" t="str">
        <f>_xlfn.XLOOKUP(tbl_FACTS[[#This Row],[SupplierID]],Πίνακας9[SupplierID],Πίνακας9[SupplierName])</f>
        <v>Mayumi's</v>
      </c>
      <c r="Q195" s="21">
        <f>_xlfn.XLOOKUP(tbl_FACTS[[#This Row],[ProductID]],Πίνακας7[ProductID],Πίνακας7[Price])</f>
        <v>16</v>
      </c>
      <c r="R195" s="21">
        <f>tbl_FACTS[[#This Row],[Quantity]]*tbl_FACTS[[#This Row],[Price]]</f>
        <v>80</v>
      </c>
      <c r="S195" s="19">
        <f>IF(COUNTIFS(tbl_FACTS[OrderID],tbl_FACTS[[#This Row],[OrderID]],tbl_FACTS[OrderDetailID],"&lt;"&amp;tbl_FACTS[[#This Row],[OrderDetailID]])=0,1,0)</f>
        <v>1</v>
      </c>
      <c r="T195" s="19">
        <f>YEAR(tbl_FACTS[[#This Row],[OrderDate]])</f>
        <v>1996</v>
      </c>
      <c r="U195" s="22">
        <f>DATE(YEAR(tbl_FACTS[[#This Row],[OrderDate]]),MONTH(tbl_FACTS[[#This Row],[OrderDate]]),1)</f>
        <v>35339</v>
      </c>
      <c r="V195" s="22" t="str">
        <f>IF(tbl_FACTS[[#This Row],[Quantity]]&lt;=10,"0–10",IF(tbl_FACTS[[#This Row],[Quantity]]&lt;=20,"11–20",IF(tbl_FACTS[[#This Row],[Quantity]]&lt;=30,"21–30",IF(tbl_FACTS[[#This Row],[Quantity]]&lt;=40,"31–40",IF(tbl_FACTS[[#This Row],[Quantity]]&lt;=50,"41–50","51+")))))</f>
        <v>0–10</v>
      </c>
    </row>
    <row r="196" spans="1:22">
      <c r="A196">
        <v>195</v>
      </c>
      <c r="B196">
        <v>10323</v>
      </c>
      <c r="C196">
        <v>25</v>
      </c>
      <c r="D196" s="19">
        <v>4</v>
      </c>
      <c r="E196" s="20">
        <f>_xlfn.XLOOKUP(tbl_FACTS[[#This Row],[OrderID]],Πίνακας64[OrderID],Πίνακας64[OrderDate])</f>
        <v>35345</v>
      </c>
      <c r="F196">
        <f>_xlfn.XLOOKUP(tbl_FACTS[[#This Row],[OrderID]],Πίνακας64[OrderID],Πίνακας64[CustomerID])</f>
        <v>39</v>
      </c>
      <c r="G196" t="str">
        <f>_xlfn.XLOOKUP(tbl_FACTS[[#This Row],[CustomerID]],Πίνακας1[CustomerID],Πίνακας1[CustomerName])</f>
        <v>Koniglich Essen</v>
      </c>
      <c r="H196" t="str">
        <f>_xlfn.XLOOKUP(tbl_FACTS[[#This Row],[CustomerID]],Πίνακας1[CustomerID],Πίνακας1[Country])</f>
        <v>Germany</v>
      </c>
      <c r="I196">
        <f>_xlfn.XLOOKUP(tbl_FACTS[[#This Row],[OrderID]],Πίνακας64[OrderID],Πίνακας64[EmployeeID])</f>
        <v>4</v>
      </c>
      <c r="J196">
        <f>_xlfn.XLOOKUP(tbl_FACTS[[#This Row],[OrderID]],Πίνακας64[OrderID],Πίνακας64[ShipperID])</f>
        <v>1</v>
      </c>
      <c r="K196" t="str">
        <f>_xlfn.XLOOKUP(tbl_FACTS[[#This Row],[ShipperID]],Πίνακας8[ShipperID],Πίνακας8[ShipperName])</f>
        <v>Speedy Express</v>
      </c>
      <c r="L196" t="str">
        <f>_xlfn.XLOOKUP(tbl_FACTS[[#This Row],[ProductID]],Πίνακας7[ProductID],Πίνακας7[ProductName])</f>
        <v>NuNuCa Nu├ƒ-Nougat-Creme</v>
      </c>
      <c r="M196">
        <f>_xlfn.XLOOKUP(tbl_FACTS[[#This Row],[ProductID]],Πίνακας7[ProductID],Πίνακας7[CategoryID])</f>
        <v>3</v>
      </c>
      <c r="N196" t="str">
        <f>_xlfn.XLOOKUP(tbl_FACTS[[#This Row],[CategoryID]],Πίνακας4[CategoryID],Πίνακας4[CategoryName])</f>
        <v>Confections</v>
      </c>
      <c r="O196">
        <f>_xlfn.XLOOKUP(tbl_FACTS[[#This Row],[ProductID]],Πίνακας7[ProductID],Πίνακας7[SupplierID])</f>
        <v>11</v>
      </c>
      <c r="P196" t="str">
        <f>_xlfn.XLOOKUP(tbl_FACTS[[#This Row],[SupplierID]],Πίνακας9[SupplierID],Πίνακας9[SupplierName])</f>
        <v>Heli Su├ƒwaren GmbH &amp; Co. KG</v>
      </c>
      <c r="Q196" s="21">
        <f>_xlfn.XLOOKUP(tbl_FACTS[[#This Row],[ProductID]],Πίνακας7[ProductID],Πίνακας7[Price])</f>
        <v>14</v>
      </c>
      <c r="R196" s="21">
        <f>tbl_FACTS[[#This Row],[Quantity]]*tbl_FACTS[[#This Row],[Price]]</f>
        <v>56</v>
      </c>
      <c r="S196" s="19">
        <f>IF(COUNTIFS(tbl_FACTS[OrderID],tbl_FACTS[[#This Row],[OrderID]],tbl_FACTS[OrderDetailID],"&lt;"&amp;tbl_FACTS[[#This Row],[OrderDetailID]])=0,1,0)</f>
        <v>0</v>
      </c>
      <c r="T196" s="19">
        <f>YEAR(tbl_FACTS[[#This Row],[OrderDate]])</f>
        <v>1996</v>
      </c>
      <c r="U196" s="22">
        <f>DATE(YEAR(tbl_FACTS[[#This Row],[OrderDate]]),MONTH(tbl_FACTS[[#This Row],[OrderDate]]),1)</f>
        <v>35339</v>
      </c>
      <c r="V196" s="22" t="str">
        <f>IF(tbl_FACTS[[#This Row],[Quantity]]&lt;=10,"0–10",IF(tbl_FACTS[[#This Row],[Quantity]]&lt;=20,"11–20",IF(tbl_FACTS[[#This Row],[Quantity]]&lt;=30,"21–30",IF(tbl_FACTS[[#This Row],[Quantity]]&lt;=40,"31–40",IF(tbl_FACTS[[#This Row],[Quantity]]&lt;=50,"41–50","51+")))))</f>
        <v>0–10</v>
      </c>
    </row>
    <row r="197" spans="1:22">
      <c r="A197">
        <v>196</v>
      </c>
      <c r="B197">
        <v>10323</v>
      </c>
      <c r="C197">
        <v>39</v>
      </c>
      <c r="D197" s="19">
        <v>4</v>
      </c>
      <c r="E197" s="20">
        <f>_xlfn.XLOOKUP(tbl_FACTS[[#This Row],[OrderID]],Πίνακας64[OrderID],Πίνακας64[OrderDate])</f>
        <v>35345</v>
      </c>
      <c r="F197">
        <f>_xlfn.XLOOKUP(tbl_FACTS[[#This Row],[OrderID]],Πίνακας64[OrderID],Πίνακας64[CustomerID])</f>
        <v>39</v>
      </c>
      <c r="G197" t="str">
        <f>_xlfn.XLOOKUP(tbl_FACTS[[#This Row],[CustomerID]],Πίνακας1[CustomerID],Πίνακας1[CustomerName])</f>
        <v>Koniglich Essen</v>
      </c>
      <c r="H197" t="str">
        <f>_xlfn.XLOOKUP(tbl_FACTS[[#This Row],[CustomerID]],Πίνακας1[CustomerID],Πίνακας1[Country])</f>
        <v>Germany</v>
      </c>
      <c r="I197">
        <f>_xlfn.XLOOKUP(tbl_FACTS[[#This Row],[OrderID]],Πίνακας64[OrderID],Πίνακας64[EmployeeID])</f>
        <v>4</v>
      </c>
      <c r="J197">
        <f>_xlfn.XLOOKUP(tbl_FACTS[[#This Row],[OrderID]],Πίνακας64[OrderID],Πίνακας64[ShipperID])</f>
        <v>1</v>
      </c>
      <c r="K197" t="str">
        <f>_xlfn.XLOOKUP(tbl_FACTS[[#This Row],[ShipperID]],Πίνακας8[ShipperID],Πίνακας8[ShipperName])</f>
        <v>Speedy Express</v>
      </c>
      <c r="L197" t="str">
        <f>_xlfn.XLOOKUP(tbl_FACTS[[#This Row],[ProductID]],Πίνακας7[ProductID],Πίνακας7[ProductName])</f>
        <v>Chartreuse verte</v>
      </c>
      <c r="M197">
        <f>_xlfn.XLOOKUP(tbl_FACTS[[#This Row],[ProductID]],Πίνακας7[ProductID],Πίνακας7[CategoryID])</f>
        <v>1</v>
      </c>
      <c r="N197" t="str">
        <f>_xlfn.XLOOKUP(tbl_FACTS[[#This Row],[CategoryID]],Πίνακας4[CategoryID],Πίνακας4[CategoryName])</f>
        <v>Beverages</v>
      </c>
      <c r="O197">
        <f>_xlfn.XLOOKUP(tbl_FACTS[[#This Row],[ProductID]],Πίνακας7[ProductID],Πίνακας7[SupplierID])</f>
        <v>18</v>
      </c>
      <c r="P197" t="str">
        <f>_xlfn.XLOOKUP(tbl_FACTS[[#This Row],[SupplierID]],Πίνακας9[SupplierID],Πίνακας9[SupplierName])</f>
        <v>Aux joyeux ecclesiastiques</v>
      </c>
      <c r="Q197" s="21">
        <f>_xlfn.XLOOKUP(tbl_FACTS[[#This Row],[ProductID]],Πίνακας7[ProductID],Πίνακας7[Price])</f>
        <v>18</v>
      </c>
      <c r="R197" s="21">
        <f>tbl_FACTS[[#This Row],[Quantity]]*tbl_FACTS[[#This Row],[Price]]</f>
        <v>72</v>
      </c>
      <c r="S197" s="19">
        <f>IF(COUNTIFS(tbl_FACTS[OrderID],tbl_FACTS[[#This Row],[OrderID]],tbl_FACTS[OrderDetailID],"&lt;"&amp;tbl_FACTS[[#This Row],[OrderDetailID]])=0,1,0)</f>
        <v>0</v>
      </c>
      <c r="T197" s="19">
        <f>YEAR(tbl_FACTS[[#This Row],[OrderDate]])</f>
        <v>1996</v>
      </c>
      <c r="U197" s="22">
        <f>DATE(YEAR(tbl_FACTS[[#This Row],[OrderDate]]),MONTH(tbl_FACTS[[#This Row],[OrderDate]]),1)</f>
        <v>35339</v>
      </c>
      <c r="V197" s="22" t="str">
        <f>IF(tbl_FACTS[[#This Row],[Quantity]]&lt;=10,"0–10",IF(tbl_FACTS[[#This Row],[Quantity]]&lt;=20,"11–20",IF(tbl_FACTS[[#This Row],[Quantity]]&lt;=30,"21–30",IF(tbl_FACTS[[#This Row],[Quantity]]&lt;=40,"31–40",IF(tbl_FACTS[[#This Row],[Quantity]]&lt;=50,"41–50","51+")))))</f>
        <v>0–10</v>
      </c>
    </row>
    <row r="198" spans="1:22">
      <c r="A198">
        <v>197</v>
      </c>
      <c r="B198">
        <v>10324</v>
      </c>
      <c r="C198">
        <v>16</v>
      </c>
      <c r="D198" s="19">
        <v>21</v>
      </c>
      <c r="E198" s="20">
        <f>_xlfn.XLOOKUP(tbl_FACTS[[#This Row],[OrderID]],Πίνακας64[OrderID],Πίνακας64[OrderDate])</f>
        <v>35346</v>
      </c>
      <c r="F198">
        <f>_xlfn.XLOOKUP(tbl_FACTS[[#This Row],[OrderID]],Πίνακας64[OrderID],Πίνακας64[CustomerID])</f>
        <v>71</v>
      </c>
      <c r="G198" t="str">
        <f>_xlfn.XLOOKUP(tbl_FACTS[[#This Row],[CustomerID]],Πίνακας1[CustomerID],Πίνακας1[CustomerName])</f>
        <v>Save-a-lot Markets</v>
      </c>
      <c r="H198" t="str">
        <f>_xlfn.XLOOKUP(tbl_FACTS[[#This Row],[CustomerID]],Πίνακας1[CustomerID],Πίνακας1[Country])</f>
        <v>USA</v>
      </c>
      <c r="I198">
        <f>_xlfn.XLOOKUP(tbl_FACTS[[#This Row],[OrderID]],Πίνακας64[OrderID],Πίνακας64[EmployeeID])</f>
        <v>9</v>
      </c>
      <c r="J198">
        <f>_xlfn.XLOOKUP(tbl_FACTS[[#This Row],[OrderID]],Πίνακας64[OrderID],Πίνακας64[ShipperID])</f>
        <v>1</v>
      </c>
      <c r="K198" t="str">
        <f>_xlfn.XLOOKUP(tbl_FACTS[[#This Row],[ShipperID]],Πίνακας8[ShipperID],Πίνακας8[ShipperName])</f>
        <v>Speedy Express</v>
      </c>
      <c r="L198" t="str">
        <f>_xlfn.XLOOKUP(tbl_FACTS[[#This Row],[ProductID]],Πίνακας7[ProductID],Πίνακας7[ProductName])</f>
        <v>Pavlova</v>
      </c>
      <c r="M198">
        <f>_xlfn.XLOOKUP(tbl_FACTS[[#This Row],[ProductID]],Πίνακας7[ProductID],Πίνακας7[CategoryID])</f>
        <v>3</v>
      </c>
      <c r="N198" t="str">
        <f>_xlfn.XLOOKUP(tbl_FACTS[[#This Row],[CategoryID]],Πίνακας4[CategoryID],Πίνακας4[CategoryName])</f>
        <v>Confections</v>
      </c>
      <c r="O198">
        <f>_xlfn.XLOOKUP(tbl_FACTS[[#This Row],[ProductID]],Πίνακας7[ProductID],Πίνακας7[SupplierID])</f>
        <v>7</v>
      </c>
      <c r="P198" t="str">
        <f>_xlfn.XLOOKUP(tbl_FACTS[[#This Row],[SupplierID]],Πίνακας9[SupplierID],Πίνακας9[SupplierName])</f>
        <v>Pavlova, Ltd.</v>
      </c>
      <c r="Q198" s="21">
        <f>_xlfn.XLOOKUP(tbl_FACTS[[#This Row],[ProductID]],Πίνακας7[ProductID],Πίνακας7[Price])</f>
        <v>17</v>
      </c>
      <c r="R198" s="21">
        <f>tbl_FACTS[[#This Row],[Quantity]]*tbl_FACTS[[#This Row],[Price]]</f>
        <v>357</v>
      </c>
      <c r="S198" s="19">
        <f>IF(COUNTIFS(tbl_FACTS[OrderID],tbl_FACTS[[#This Row],[OrderID]],tbl_FACTS[OrderDetailID],"&lt;"&amp;tbl_FACTS[[#This Row],[OrderDetailID]])=0,1,0)</f>
        <v>1</v>
      </c>
      <c r="T198" s="19">
        <f>YEAR(tbl_FACTS[[#This Row],[OrderDate]])</f>
        <v>1996</v>
      </c>
      <c r="U198" s="22">
        <f>DATE(YEAR(tbl_FACTS[[#This Row],[OrderDate]]),MONTH(tbl_FACTS[[#This Row],[OrderDate]]),1)</f>
        <v>35339</v>
      </c>
      <c r="V198" s="22" t="str">
        <f>IF(tbl_FACTS[[#This Row],[Quantity]]&lt;=10,"0–10",IF(tbl_FACTS[[#This Row],[Quantity]]&lt;=20,"11–20",IF(tbl_FACTS[[#This Row],[Quantity]]&lt;=30,"21–30",IF(tbl_FACTS[[#This Row],[Quantity]]&lt;=40,"31–40",IF(tbl_FACTS[[#This Row],[Quantity]]&lt;=50,"41–50","51+")))))</f>
        <v>21–30</v>
      </c>
    </row>
    <row r="199" spans="1:22">
      <c r="A199">
        <v>198</v>
      </c>
      <c r="B199">
        <v>10324</v>
      </c>
      <c r="C199">
        <v>35</v>
      </c>
      <c r="D199" s="19">
        <v>70</v>
      </c>
      <c r="E199" s="20">
        <f>_xlfn.XLOOKUP(tbl_FACTS[[#This Row],[OrderID]],Πίνακας64[OrderID],Πίνακας64[OrderDate])</f>
        <v>35346</v>
      </c>
      <c r="F199">
        <f>_xlfn.XLOOKUP(tbl_FACTS[[#This Row],[OrderID]],Πίνακας64[OrderID],Πίνακας64[CustomerID])</f>
        <v>71</v>
      </c>
      <c r="G199" t="str">
        <f>_xlfn.XLOOKUP(tbl_FACTS[[#This Row],[CustomerID]],Πίνακας1[CustomerID],Πίνακας1[CustomerName])</f>
        <v>Save-a-lot Markets</v>
      </c>
      <c r="H199" t="str">
        <f>_xlfn.XLOOKUP(tbl_FACTS[[#This Row],[CustomerID]],Πίνακας1[CustomerID],Πίνακας1[Country])</f>
        <v>USA</v>
      </c>
      <c r="I199">
        <f>_xlfn.XLOOKUP(tbl_FACTS[[#This Row],[OrderID]],Πίνακας64[OrderID],Πίνακας64[EmployeeID])</f>
        <v>9</v>
      </c>
      <c r="J199">
        <f>_xlfn.XLOOKUP(tbl_FACTS[[#This Row],[OrderID]],Πίνακας64[OrderID],Πίνακας64[ShipperID])</f>
        <v>1</v>
      </c>
      <c r="K199" t="str">
        <f>_xlfn.XLOOKUP(tbl_FACTS[[#This Row],[ShipperID]],Πίνακας8[ShipperID],Πίνακας8[ShipperName])</f>
        <v>Speedy Express</v>
      </c>
      <c r="L199" t="str">
        <f>_xlfn.XLOOKUP(tbl_FACTS[[#This Row],[ProductID]],Πίνακας7[ProductID],Πίνακας7[ProductName])</f>
        <v>Steeleye Stout</v>
      </c>
      <c r="M199">
        <f>_xlfn.XLOOKUP(tbl_FACTS[[#This Row],[ProductID]],Πίνακας7[ProductID],Πίνακας7[CategoryID])</f>
        <v>1</v>
      </c>
      <c r="N199" t="str">
        <f>_xlfn.XLOOKUP(tbl_FACTS[[#This Row],[CategoryID]],Πίνακας4[CategoryID],Πίνακας4[CategoryName])</f>
        <v>Beverages</v>
      </c>
      <c r="O199">
        <f>_xlfn.XLOOKUP(tbl_FACTS[[#This Row],[ProductID]],Πίνακας7[ProductID],Πίνακας7[SupplierID])</f>
        <v>16</v>
      </c>
      <c r="P199" t="str">
        <f>_xlfn.XLOOKUP(tbl_FACTS[[#This Row],[SupplierID]],Πίνακας9[SupplierID],Πίνακας9[SupplierName])</f>
        <v>Bigfoot Breweries</v>
      </c>
      <c r="Q199" s="21">
        <f>_xlfn.XLOOKUP(tbl_FACTS[[#This Row],[ProductID]],Πίνακας7[ProductID],Πίνακας7[Price])</f>
        <v>18</v>
      </c>
      <c r="R199" s="21">
        <f>tbl_FACTS[[#This Row],[Quantity]]*tbl_FACTS[[#This Row],[Price]]</f>
        <v>1260</v>
      </c>
      <c r="S199" s="19">
        <f>IF(COUNTIFS(tbl_FACTS[OrderID],tbl_FACTS[[#This Row],[OrderID]],tbl_FACTS[OrderDetailID],"&lt;"&amp;tbl_FACTS[[#This Row],[OrderDetailID]])=0,1,0)</f>
        <v>0</v>
      </c>
      <c r="T199" s="19">
        <f>YEAR(tbl_FACTS[[#This Row],[OrderDate]])</f>
        <v>1996</v>
      </c>
      <c r="U199" s="22">
        <f>DATE(YEAR(tbl_FACTS[[#This Row],[OrderDate]]),MONTH(tbl_FACTS[[#This Row],[OrderDate]]),1)</f>
        <v>35339</v>
      </c>
      <c r="V199" s="22" t="str">
        <f>IF(tbl_FACTS[[#This Row],[Quantity]]&lt;=10,"0–10",IF(tbl_FACTS[[#This Row],[Quantity]]&lt;=20,"11–20",IF(tbl_FACTS[[#This Row],[Quantity]]&lt;=30,"21–30",IF(tbl_FACTS[[#This Row],[Quantity]]&lt;=40,"31–40",IF(tbl_FACTS[[#This Row],[Quantity]]&lt;=50,"41–50","51+")))))</f>
        <v>51+</v>
      </c>
    </row>
    <row r="200" spans="1:22">
      <c r="A200">
        <v>199</v>
      </c>
      <c r="B200">
        <v>10324</v>
      </c>
      <c r="C200">
        <v>46</v>
      </c>
      <c r="D200" s="19">
        <v>30</v>
      </c>
      <c r="E200" s="20">
        <f>_xlfn.XLOOKUP(tbl_FACTS[[#This Row],[OrderID]],Πίνακας64[OrderID],Πίνακας64[OrderDate])</f>
        <v>35346</v>
      </c>
      <c r="F200">
        <f>_xlfn.XLOOKUP(tbl_FACTS[[#This Row],[OrderID]],Πίνακας64[OrderID],Πίνακας64[CustomerID])</f>
        <v>71</v>
      </c>
      <c r="G200" t="str">
        <f>_xlfn.XLOOKUP(tbl_FACTS[[#This Row],[CustomerID]],Πίνακας1[CustomerID],Πίνακας1[CustomerName])</f>
        <v>Save-a-lot Markets</v>
      </c>
      <c r="H200" t="str">
        <f>_xlfn.XLOOKUP(tbl_FACTS[[#This Row],[CustomerID]],Πίνακας1[CustomerID],Πίνακας1[Country])</f>
        <v>USA</v>
      </c>
      <c r="I200">
        <f>_xlfn.XLOOKUP(tbl_FACTS[[#This Row],[OrderID]],Πίνακας64[OrderID],Πίνακας64[EmployeeID])</f>
        <v>9</v>
      </c>
      <c r="J200">
        <f>_xlfn.XLOOKUP(tbl_FACTS[[#This Row],[OrderID]],Πίνακας64[OrderID],Πίνακας64[ShipperID])</f>
        <v>1</v>
      </c>
      <c r="K200" t="str">
        <f>_xlfn.XLOOKUP(tbl_FACTS[[#This Row],[ShipperID]],Πίνακας8[ShipperID],Πίνακας8[ShipperName])</f>
        <v>Speedy Express</v>
      </c>
      <c r="L200" t="str">
        <f>_xlfn.XLOOKUP(tbl_FACTS[[#This Row],[ProductID]],Πίνακας7[ProductID],Πίνακας7[ProductName])</f>
        <v>Spegesild</v>
      </c>
      <c r="M200">
        <f>_xlfn.XLOOKUP(tbl_FACTS[[#This Row],[ProductID]],Πίνακας7[ProductID],Πίνακας7[CategoryID])</f>
        <v>8</v>
      </c>
      <c r="N200" t="str">
        <f>_xlfn.XLOOKUP(tbl_FACTS[[#This Row],[CategoryID]],Πίνακας4[CategoryID],Πίνακας4[CategoryName])</f>
        <v>Seafood</v>
      </c>
      <c r="O200">
        <f>_xlfn.XLOOKUP(tbl_FACTS[[#This Row],[ProductID]],Πίνακας7[ProductID],Πίνακας7[SupplierID])</f>
        <v>21</v>
      </c>
      <c r="P200" t="str">
        <f>_xlfn.XLOOKUP(tbl_FACTS[[#This Row],[SupplierID]],Πίνακας9[SupplierID],Πίνακας9[SupplierName])</f>
        <v>Lyngbysild</v>
      </c>
      <c r="Q200" s="21">
        <f>_xlfn.XLOOKUP(tbl_FACTS[[#This Row],[ProductID]],Πίνακας7[ProductID],Πίνακας7[Price])</f>
        <v>12</v>
      </c>
      <c r="R200" s="21">
        <f>tbl_FACTS[[#This Row],[Quantity]]*tbl_FACTS[[#This Row],[Price]]</f>
        <v>360</v>
      </c>
      <c r="S200" s="19">
        <f>IF(COUNTIFS(tbl_FACTS[OrderID],tbl_FACTS[[#This Row],[OrderID]],tbl_FACTS[OrderDetailID],"&lt;"&amp;tbl_FACTS[[#This Row],[OrderDetailID]])=0,1,0)</f>
        <v>0</v>
      </c>
      <c r="T200" s="19">
        <f>YEAR(tbl_FACTS[[#This Row],[OrderDate]])</f>
        <v>1996</v>
      </c>
      <c r="U200" s="22">
        <f>DATE(YEAR(tbl_FACTS[[#This Row],[OrderDate]]),MONTH(tbl_FACTS[[#This Row],[OrderDate]]),1)</f>
        <v>35339</v>
      </c>
      <c r="V200" s="22" t="str">
        <f>IF(tbl_FACTS[[#This Row],[Quantity]]&lt;=10,"0–10",IF(tbl_FACTS[[#This Row],[Quantity]]&lt;=20,"11–20",IF(tbl_FACTS[[#This Row],[Quantity]]&lt;=30,"21–30",IF(tbl_FACTS[[#This Row],[Quantity]]&lt;=40,"31–40",IF(tbl_FACTS[[#This Row],[Quantity]]&lt;=50,"41–50","51+")))))</f>
        <v>21–30</v>
      </c>
    </row>
    <row r="201" spans="1:22">
      <c r="A201">
        <v>200</v>
      </c>
      <c r="B201">
        <v>10324</v>
      </c>
      <c r="C201">
        <v>59</v>
      </c>
      <c r="D201" s="19">
        <v>40</v>
      </c>
      <c r="E201" s="20">
        <f>_xlfn.XLOOKUP(tbl_FACTS[[#This Row],[OrderID]],Πίνακας64[OrderID],Πίνακας64[OrderDate])</f>
        <v>35346</v>
      </c>
      <c r="F201">
        <f>_xlfn.XLOOKUP(tbl_FACTS[[#This Row],[OrderID]],Πίνακας64[OrderID],Πίνακας64[CustomerID])</f>
        <v>71</v>
      </c>
      <c r="G201" t="str">
        <f>_xlfn.XLOOKUP(tbl_FACTS[[#This Row],[CustomerID]],Πίνακας1[CustomerID],Πίνακας1[CustomerName])</f>
        <v>Save-a-lot Markets</v>
      </c>
      <c r="H201" t="str">
        <f>_xlfn.XLOOKUP(tbl_FACTS[[#This Row],[CustomerID]],Πίνακας1[CustomerID],Πίνακας1[Country])</f>
        <v>USA</v>
      </c>
      <c r="I201">
        <f>_xlfn.XLOOKUP(tbl_FACTS[[#This Row],[OrderID]],Πίνακας64[OrderID],Πίνακας64[EmployeeID])</f>
        <v>9</v>
      </c>
      <c r="J201">
        <f>_xlfn.XLOOKUP(tbl_FACTS[[#This Row],[OrderID]],Πίνακας64[OrderID],Πίνακας64[ShipperID])</f>
        <v>1</v>
      </c>
      <c r="K201" t="str">
        <f>_xlfn.XLOOKUP(tbl_FACTS[[#This Row],[ShipperID]],Πίνακας8[ShipperID],Πίνακας8[ShipperName])</f>
        <v>Speedy Express</v>
      </c>
      <c r="L201" t="str">
        <f>_xlfn.XLOOKUP(tbl_FACTS[[#This Row],[ProductID]],Πίνακας7[ProductID],Πίνακας7[ProductName])</f>
        <v>Raclette Courdavault</v>
      </c>
      <c r="M201">
        <f>_xlfn.XLOOKUP(tbl_FACTS[[#This Row],[ProductID]],Πίνακας7[ProductID],Πίνακας7[CategoryID])</f>
        <v>4</v>
      </c>
      <c r="N201" t="str">
        <f>_xlfn.XLOOKUP(tbl_FACTS[[#This Row],[CategoryID]],Πίνακας4[CategoryID],Πίνακας4[CategoryName])</f>
        <v>Dairy Products</v>
      </c>
      <c r="O201">
        <f>_xlfn.XLOOKUP(tbl_FACTS[[#This Row],[ProductID]],Πίνακας7[ProductID],Πίνακας7[SupplierID])</f>
        <v>28</v>
      </c>
      <c r="P201" t="str">
        <f>_xlfn.XLOOKUP(tbl_FACTS[[#This Row],[SupplierID]],Πίνακας9[SupplierID],Πίνακας9[SupplierName])</f>
        <v>Gai paturage</v>
      </c>
      <c r="Q201" s="21">
        <f>_xlfn.XLOOKUP(tbl_FACTS[[#This Row],[ProductID]],Πίνακας7[ProductID],Πίνακας7[Price])</f>
        <v>55</v>
      </c>
      <c r="R201" s="21">
        <f>tbl_FACTS[[#This Row],[Quantity]]*tbl_FACTS[[#This Row],[Price]]</f>
        <v>2200</v>
      </c>
      <c r="S201" s="19">
        <f>IF(COUNTIFS(tbl_FACTS[OrderID],tbl_FACTS[[#This Row],[OrderID]],tbl_FACTS[OrderDetailID],"&lt;"&amp;tbl_FACTS[[#This Row],[OrderDetailID]])=0,1,0)</f>
        <v>0</v>
      </c>
      <c r="T201" s="19">
        <f>YEAR(tbl_FACTS[[#This Row],[OrderDate]])</f>
        <v>1996</v>
      </c>
      <c r="U201" s="22">
        <f>DATE(YEAR(tbl_FACTS[[#This Row],[OrderDate]]),MONTH(tbl_FACTS[[#This Row],[OrderDate]]),1)</f>
        <v>35339</v>
      </c>
      <c r="V201" s="22" t="str">
        <f>IF(tbl_FACTS[[#This Row],[Quantity]]&lt;=10,"0–10",IF(tbl_FACTS[[#This Row],[Quantity]]&lt;=20,"11–20",IF(tbl_FACTS[[#This Row],[Quantity]]&lt;=30,"21–30",IF(tbl_FACTS[[#This Row],[Quantity]]&lt;=40,"31–40",IF(tbl_FACTS[[#This Row],[Quantity]]&lt;=50,"41–50","51+")))))</f>
        <v>31–40</v>
      </c>
    </row>
    <row r="202" spans="1:22">
      <c r="A202">
        <v>201</v>
      </c>
      <c r="B202">
        <v>10324</v>
      </c>
      <c r="C202">
        <v>63</v>
      </c>
      <c r="D202" s="19">
        <v>80</v>
      </c>
      <c r="E202" s="20">
        <f>_xlfn.XLOOKUP(tbl_FACTS[[#This Row],[OrderID]],Πίνακας64[OrderID],Πίνακας64[OrderDate])</f>
        <v>35346</v>
      </c>
      <c r="F202">
        <f>_xlfn.XLOOKUP(tbl_FACTS[[#This Row],[OrderID]],Πίνακας64[OrderID],Πίνακας64[CustomerID])</f>
        <v>71</v>
      </c>
      <c r="G202" t="str">
        <f>_xlfn.XLOOKUP(tbl_FACTS[[#This Row],[CustomerID]],Πίνακας1[CustomerID],Πίνακας1[CustomerName])</f>
        <v>Save-a-lot Markets</v>
      </c>
      <c r="H202" t="str">
        <f>_xlfn.XLOOKUP(tbl_FACTS[[#This Row],[CustomerID]],Πίνακας1[CustomerID],Πίνακας1[Country])</f>
        <v>USA</v>
      </c>
      <c r="I202">
        <f>_xlfn.XLOOKUP(tbl_FACTS[[#This Row],[OrderID]],Πίνακας64[OrderID],Πίνακας64[EmployeeID])</f>
        <v>9</v>
      </c>
      <c r="J202">
        <f>_xlfn.XLOOKUP(tbl_FACTS[[#This Row],[OrderID]],Πίνακας64[OrderID],Πίνακας64[ShipperID])</f>
        <v>1</v>
      </c>
      <c r="K202" t="str">
        <f>_xlfn.XLOOKUP(tbl_FACTS[[#This Row],[ShipperID]],Πίνακας8[ShipperID],Πίνακας8[ShipperName])</f>
        <v>Speedy Express</v>
      </c>
      <c r="L202" t="str">
        <f>_xlfn.XLOOKUP(tbl_FACTS[[#This Row],[ProductID]],Πίνακας7[ProductID],Πίνακας7[ProductName])</f>
        <v>Vegie-spread</v>
      </c>
      <c r="M202">
        <f>_xlfn.XLOOKUP(tbl_FACTS[[#This Row],[ProductID]],Πίνακας7[ProductID],Πίνακας7[CategoryID])</f>
        <v>2</v>
      </c>
      <c r="N202" t="str">
        <f>_xlfn.XLOOKUP(tbl_FACTS[[#This Row],[CategoryID]],Πίνακας4[CategoryID],Πίνακας4[CategoryName])</f>
        <v>Condiments</v>
      </c>
      <c r="O202">
        <f>_xlfn.XLOOKUP(tbl_FACTS[[#This Row],[ProductID]],Πίνακας7[ProductID],Πίνακας7[SupplierID])</f>
        <v>7</v>
      </c>
      <c r="P202" t="str">
        <f>_xlfn.XLOOKUP(tbl_FACTS[[#This Row],[SupplierID]],Πίνακας9[SupplierID],Πίνακας9[SupplierName])</f>
        <v>Pavlova, Ltd.</v>
      </c>
      <c r="Q202" s="21">
        <f>_xlfn.XLOOKUP(tbl_FACTS[[#This Row],[ProductID]],Πίνακας7[ProductID],Πίνακας7[Price])</f>
        <v>44</v>
      </c>
      <c r="R202" s="21">
        <f>tbl_FACTS[[#This Row],[Quantity]]*tbl_FACTS[[#This Row],[Price]]</f>
        <v>3520</v>
      </c>
      <c r="S202" s="19">
        <f>IF(COUNTIFS(tbl_FACTS[OrderID],tbl_FACTS[[#This Row],[OrderID]],tbl_FACTS[OrderDetailID],"&lt;"&amp;tbl_FACTS[[#This Row],[OrderDetailID]])=0,1,0)</f>
        <v>0</v>
      </c>
      <c r="T202" s="19">
        <f>YEAR(tbl_FACTS[[#This Row],[OrderDate]])</f>
        <v>1996</v>
      </c>
      <c r="U202" s="22">
        <f>DATE(YEAR(tbl_FACTS[[#This Row],[OrderDate]]),MONTH(tbl_FACTS[[#This Row],[OrderDate]]),1)</f>
        <v>35339</v>
      </c>
      <c r="V202" s="22" t="str">
        <f>IF(tbl_FACTS[[#This Row],[Quantity]]&lt;=10,"0–10",IF(tbl_FACTS[[#This Row],[Quantity]]&lt;=20,"11–20",IF(tbl_FACTS[[#This Row],[Quantity]]&lt;=30,"21–30",IF(tbl_FACTS[[#This Row],[Quantity]]&lt;=40,"31–40",IF(tbl_FACTS[[#This Row],[Quantity]]&lt;=50,"41–50","51+")))))</f>
        <v>51+</v>
      </c>
    </row>
    <row r="203" spans="1:22">
      <c r="A203">
        <v>202</v>
      </c>
      <c r="B203">
        <v>10325</v>
      </c>
      <c r="C203">
        <v>6</v>
      </c>
      <c r="D203" s="19">
        <v>6</v>
      </c>
      <c r="E203" s="20">
        <f>_xlfn.XLOOKUP(tbl_FACTS[[#This Row],[OrderID]],Πίνακας64[OrderID],Πίνακας64[OrderDate])</f>
        <v>35347</v>
      </c>
      <c r="F203">
        <f>_xlfn.XLOOKUP(tbl_FACTS[[#This Row],[OrderID]],Πίνακας64[OrderID],Πίνακας64[CustomerID])</f>
        <v>39</v>
      </c>
      <c r="G203" t="str">
        <f>_xlfn.XLOOKUP(tbl_FACTS[[#This Row],[CustomerID]],Πίνακας1[CustomerID],Πίνακας1[CustomerName])</f>
        <v>Koniglich Essen</v>
      </c>
      <c r="H203" t="str">
        <f>_xlfn.XLOOKUP(tbl_FACTS[[#This Row],[CustomerID]],Πίνακας1[CustomerID],Πίνακας1[Country])</f>
        <v>Germany</v>
      </c>
      <c r="I203">
        <f>_xlfn.XLOOKUP(tbl_FACTS[[#This Row],[OrderID]],Πίνακας64[OrderID],Πίνακας64[EmployeeID])</f>
        <v>1</v>
      </c>
      <c r="J203">
        <f>_xlfn.XLOOKUP(tbl_FACTS[[#This Row],[OrderID]],Πίνακας64[OrderID],Πίνακας64[ShipperID])</f>
        <v>3</v>
      </c>
      <c r="K203" t="str">
        <f>_xlfn.XLOOKUP(tbl_FACTS[[#This Row],[ShipperID]],Πίνακας8[ShipperID],Πίνακας8[ShipperName])</f>
        <v>Federal Shipping</v>
      </c>
      <c r="L203" t="str">
        <f>_xlfn.XLOOKUP(tbl_FACTS[[#This Row],[ProductID]],Πίνακας7[ProductID],Πίνακας7[ProductName])</f>
        <v>Grandma's Boysenberry Spread</v>
      </c>
      <c r="M203">
        <f>_xlfn.XLOOKUP(tbl_FACTS[[#This Row],[ProductID]],Πίνακας7[ProductID],Πίνακας7[CategoryID])</f>
        <v>2</v>
      </c>
      <c r="N203" t="str">
        <f>_xlfn.XLOOKUP(tbl_FACTS[[#This Row],[CategoryID]],Πίνακας4[CategoryID],Πίνακας4[CategoryName])</f>
        <v>Condiments</v>
      </c>
      <c r="O203">
        <f>_xlfn.XLOOKUP(tbl_FACTS[[#This Row],[ProductID]],Πίνακας7[ProductID],Πίνακας7[SupplierID])</f>
        <v>3</v>
      </c>
      <c r="P203" t="str">
        <f>_xlfn.XLOOKUP(tbl_FACTS[[#This Row],[SupplierID]],Πίνακας9[SupplierID],Πίνακας9[SupplierName])</f>
        <v>Grandma Kelly's Homestead</v>
      </c>
      <c r="Q203" s="21">
        <f>_xlfn.XLOOKUP(tbl_FACTS[[#This Row],[ProductID]],Πίνακας7[ProductID],Πίνακας7[Price])</f>
        <v>25</v>
      </c>
      <c r="R203" s="21">
        <f>tbl_FACTS[[#This Row],[Quantity]]*tbl_FACTS[[#This Row],[Price]]</f>
        <v>150</v>
      </c>
      <c r="S203" s="19">
        <f>IF(COUNTIFS(tbl_FACTS[OrderID],tbl_FACTS[[#This Row],[OrderID]],tbl_FACTS[OrderDetailID],"&lt;"&amp;tbl_FACTS[[#This Row],[OrderDetailID]])=0,1,0)</f>
        <v>1</v>
      </c>
      <c r="T203" s="19">
        <f>YEAR(tbl_FACTS[[#This Row],[OrderDate]])</f>
        <v>1996</v>
      </c>
      <c r="U203" s="22">
        <f>DATE(YEAR(tbl_FACTS[[#This Row],[OrderDate]]),MONTH(tbl_FACTS[[#This Row],[OrderDate]]),1)</f>
        <v>35339</v>
      </c>
      <c r="V203" s="22" t="str">
        <f>IF(tbl_FACTS[[#This Row],[Quantity]]&lt;=10,"0–10",IF(tbl_FACTS[[#This Row],[Quantity]]&lt;=20,"11–20",IF(tbl_FACTS[[#This Row],[Quantity]]&lt;=30,"21–30",IF(tbl_FACTS[[#This Row],[Quantity]]&lt;=40,"31–40",IF(tbl_FACTS[[#This Row],[Quantity]]&lt;=50,"41–50","51+")))))</f>
        <v>0–10</v>
      </c>
    </row>
    <row r="204" spans="1:22">
      <c r="A204">
        <v>203</v>
      </c>
      <c r="B204">
        <v>10325</v>
      </c>
      <c r="C204">
        <v>13</v>
      </c>
      <c r="D204" s="19">
        <v>12</v>
      </c>
      <c r="E204" s="20">
        <f>_xlfn.XLOOKUP(tbl_FACTS[[#This Row],[OrderID]],Πίνακας64[OrderID],Πίνακας64[OrderDate])</f>
        <v>35347</v>
      </c>
      <c r="F204">
        <f>_xlfn.XLOOKUP(tbl_FACTS[[#This Row],[OrderID]],Πίνακας64[OrderID],Πίνακας64[CustomerID])</f>
        <v>39</v>
      </c>
      <c r="G204" t="str">
        <f>_xlfn.XLOOKUP(tbl_FACTS[[#This Row],[CustomerID]],Πίνακας1[CustomerID],Πίνακας1[CustomerName])</f>
        <v>Koniglich Essen</v>
      </c>
      <c r="H204" t="str">
        <f>_xlfn.XLOOKUP(tbl_FACTS[[#This Row],[CustomerID]],Πίνακας1[CustomerID],Πίνακας1[Country])</f>
        <v>Germany</v>
      </c>
      <c r="I204">
        <f>_xlfn.XLOOKUP(tbl_FACTS[[#This Row],[OrderID]],Πίνακας64[OrderID],Πίνακας64[EmployeeID])</f>
        <v>1</v>
      </c>
      <c r="J204">
        <f>_xlfn.XLOOKUP(tbl_FACTS[[#This Row],[OrderID]],Πίνακας64[OrderID],Πίνακας64[ShipperID])</f>
        <v>3</v>
      </c>
      <c r="K204" t="str">
        <f>_xlfn.XLOOKUP(tbl_FACTS[[#This Row],[ShipperID]],Πίνακας8[ShipperID],Πίνακας8[ShipperName])</f>
        <v>Federal Shipping</v>
      </c>
      <c r="L204" t="str">
        <f>_xlfn.XLOOKUP(tbl_FACTS[[#This Row],[ProductID]],Πίνακας7[ProductID],Πίνακας7[ProductName])</f>
        <v>Konbu</v>
      </c>
      <c r="M204">
        <f>_xlfn.XLOOKUP(tbl_FACTS[[#This Row],[ProductID]],Πίνακας7[ProductID],Πίνακας7[CategoryID])</f>
        <v>8</v>
      </c>
      <c r="N204" t="str">
        <f>_xlfn.XLOOKUP(tbl_FACTS[[#This Row],[CategoryID]],Πίνακας4[CategoryID],Πίνακας4[CategoryName])</f>
        <v>Seafood</v>
      </c>
      <c r="O204">
        <f>_xlfn.XLOOKUP(tbl_FACTS[[#This Row],[ProductID]],Πίνακας7[ProductID],Πίνακας7[SupplierID])</f>
        <v>6</v>
      </c>
      <c r="P204" t="str">
        <f>_xlfn.XLOOKUP(tbl_FACTS[[#This Row],[SupplierID]],Πίνακας9[SupplierID],Πίνακας9[SupplierName])</f>
        <v>Mayumi's</v>
      </c>
      <c r="Q204" s="21">
        <f>_xlfn.XLOOKUP(tbl_FACTS[[#This Row],[ProductID]],Πίνακας7[ProductID],Πίνακας7[Price])</f>
        <v>6</v>
      </c>
      <c r="R204" s="21">
        <f>tbl_FACTS[[#This Row],[Quantity]]*tbl_FACTS[[#This Row],[Price]]</f>
        <v>72</v>
      </c>
      <c r="S204" s="19">
        <f>IF(COUNTIFS(tbl_FACTS[OrderID],tbl_FACTS[[#This Row],[OrderID]],tbl_FACTS[OrderDetailID],"&lt;"&amp;tbl_FACTS[[#This Row],[OrderDetailID]])=0,1,0)</f>
        <v>0</v>
      </c>
      <c r="T204" s="19">
        <f>YEAR(tbl_FACTS[[#This Row],[OrderDate]])</f>
        <v>1996</v>
      </c>
      <c r="U204" s="22">
        <f>DATE(YEAR(tbl_FACTS[[#This Row],[OrderDate]]),MONTH(tbl_FACTS[[#This Row],[OrderDate]]),1)</f>
        <v>35339</v>
      </c>
      <c r="V204" s="22" t="str">
        <f>IF(tbl_FACTS[[#This Row],[Quantity]]&lt;=10,"0–10",IF(tbl_FACTS[[#This Row],[Quantity]]&lt;=20,"11–20",IF(tbl_FACTS[[#This Row],[Quantity]]&lt;=30,"21–30",IF(tbl_FACTS[[#This Row],[Quantity]]&lt;=40,"31–40",IF(tbl_FACTS[[#This Row],[Quantity]]&lt;=50,"41–50","51+")))))</f>
        <v>11–20</v>
      </c>
    </row>
    <row r="205" spans="1:22">
      <c r="A205">
        <v>204</v>
      </c>
      <c r="B205">
        <v>10325</v>
      </c>
      <c r="C205">
        <v>14</v>
      </c>
      <c r="D205" s="19">
        <v>9</v>
      </c>
      <c r="E205" s="20">
        <f>_xlfn.XLOOKUP(tbl_FACTS[[#This Row],[OrderID]],Πίνακας64[OrderID],Πίνακας64[OrderDate])</f>
        <v>35347</v>
      </c>
      <c r="F205">
        <f>_xlfn.XLOOKUP(tbl_FACTS[[#This Row],[OrderID]],Πίνακας64[OrderID],Πίνακας64[CustomerID])</f>
        <v>39</v>
      </c>
      <c r="G205" t="str">
        <f>_xlfn.XLOOKUP(tbl_FACTS[[#This Row],[CustomerID]],Πίνακας1[CustomerID],Πίνακας1[CustomerName])</f>
        <v>Koniglich Essen</v>
      </c>
      <c r="H205" t="str">
        <f>_xlfn.XLOOKUP(tbl_FACTS[[#This Row],[CustomerID]],Πίνακας1[CustomerID],Πίνακας1[Country])</f>
        <v>Germany</v>
      </c>
      <c r="I205">
        <f>_xlfn.XLOOKUP(tbl_FACTS[[#This Row],[OrderID]],Πίνακας64[OrderID],Πίνακας64[EmployeeID])</f>
        <v>1</v>
      </c>
      <c r="J205">
        <f>_xlfn.XLOOKUP(tbl_FACTS[[#This Row],[OrderID]],Πίνακας64[OrderID],Πίνακας64[ShipperID])</f>
        <v>3</v>
      </c>
      <c r="K205" t="str">
        <f>_xlfn.XLOOKUP(tbl_FACTS[[#This Row],[ShipperID]],Πίνακας8[ShipperID],Πίνακας8[ShipperName])</f>
        <v>Federal Shipping</v>
      </c>
      <c r="L205" t="str">
        <f>_xlfn.XLOOKUP(tbl_FACTS[[#This Row],[ProductID]],Πίνακας7[ProductID],Πίνακας7[ProductName])</f>
        <v>Tofu</v>
      </c>
      <c r="M205">
        <f>_xlfn.XLOOKUP(tbl_FACTS[[#This Row],[ProductID]],Πίνακας7[ProductID],Πίνακας7[CategoryID])</f>
        <v>7</v>
      </c>
      <c r="N205" t="str">
        <f>_xlfn.XLOOKUP(tbl_FACTS[[#This Row],[CategoryID]],Πίνακας4[CategoryID],Πίνακας4[CategoryName])</f>
        <v>Produce</v>
      </c>
      <c r="O205">
        <f>_xlfn.XLOOKUP(tbl_FACTS[[#This Row],[ProductID]],Πίνακας7[ProductID],Πίνακας7[SupplierID])</f>
        <v>6</v>
      </c>
      <c r="P205" t="str">
        <f>_xlfn.XLOOKUP(tbl_FACTS[[#This Row],[SupplierID]],Πίνακας9[SupplierID],Πίνακας9[SupplierName])</f>
        <v>Mayumi's</v>
      </c>
      <c r="Q205" s="21">
        <f>_xlfn.XLOOKUP(tbl_FACTS[[#This Row],[ProductID]],Πίνακας7[ProductID],Πίνακας7[Price])</f>
        <v>23</v>
      </c>
      <c r="R205" s="21">
        <f>tbl_FACTS[[#This Row],[Quantity]]*tbl_FACTS[[#This Row],[Price]]</f>
        <v>207</v>
      </c>
      <c r="S205" s="19">
        <f>IF(COUNTIFS(tbl_FACTS[OrderID],tbl_FACTS[[#This Row],[OrderID]],tbl_FACTS[OrderDetailID],"&lt;"&amp;tbl_FACTS[[#This Row],[OrderDetailID]])=0,1,0)</f>
        <v>0</v>
      </c>
      <c r="T205" s="19">
        <f>YEAR(tbl_FACTS[[#This Row],[OrderDate]])</f>
        <v>1996</v>
      </c>
      <c r="U205" s="22">
        <f>DATE(YEAR(tbl_FACTS[[#This Row],[OrderDate]]),MONTH(tbl_FACTS[[#This Row],[OrderDate]]),1)</f>
        <v>35339</v>
      </c>
      <c r="V205" s="22" t="str">
        <f>IF(tbl_FACTS[[#This Row],[Quantity]]&lt;=10,"0–10",IF(tbl_FACTS[[#This Row],[Quantity]]&lt;=20,"11–20",IF(tbl_FACTS[[#This Row],[Quantity]]&lt;=30,"21–30",IF(tbl_FACTS[[#This Row],[Quantity]]&lt;=40,"31–40",IF(tbl_FACTS[[#This Row],[Quantity]]&lt;=50,"41–50","51+")))))</f>
        <v>0–10</v>
      </c>
    </row>
    <row r="206" spans="1:22">
      <c r="A206">
        <v>205</v>
      </c>
      <c r="B206">
        <v>10325</v>
      </c>
      <c r="C206">
        <v>31</v>
      </c>
      <c r="D206" s="19">
        <v>4</v>
      </c>
      <c r="E206" s="20">
        <f>_xlfn.XLOOKUP(tbl_FACTS[[#This Row],[OrderID]],Πίνακας64[OrderID],Πίνακας64[OrderDate])</f>
        <v>35347</v>
      </c>
      <c r="F206">
        <f>_xlfn.XLOOKUP(tbl_FACTS[[#This Row],[OrderID]],Πίνακας64[OrderID],Πίνακας64[CustomerID])</f>
        <v>39</v>
      </c>
      <c r="G206" t="str">
        <f>_xlfn.XLOOKUP(tbl_FACTS[[#This Row],[CustomerID]],Πίνακας1[CustomerID],Πίνακας1[CustomerName])</f>
        <v>Koniglich Essen</v>
      </c>
      <c r="H206" t="str">
        <f>_xlfn.XLOOKUP(tbl_FACTS[[#This Row],[CustomerID]],Πίνακας1[CustomerID],Πίνακας1[Country])</f>
        <v>Germany</v>
      </c>
      <c r="I206">
        <f>_xlfn.XLOOKUP(tbl_FACTS[[#This Row],[OrderID]],Πίνακας64[OrderID],Πίνακας64[EmployeeID])</f>
        <v>1</v>
      </c>
      <c r="J206">
        <f>_xlfn.XLOOKUP(tbl_FACTS[[#This Row],[OrderID]],Πίνακας64[OrderID],Πίνακας64[ShipperID])</f>
        <v>3</v>
      </c>
      <c r="K206" t="str">
        <f>_xlfn.XLOOKUP(tbl_FACTS[[#This Row],[ShipperID]],Πίνακας8[ShipperID],Πίνακας8[ShipperName])</f>
        <v>Federal Shipping</v>
      </c>
      <c r="L206" t="str">
        <f>_xlfn.XLOOKUP(tbl_FACTS[[#This Row],[ProductID]],Πίνακας7[ProductID],Πίνακας7[ProductName])</f>
        <v>Gorgonzola Telino</v>
      </c>
      <c r="M206">
        <f>_xlfn.XLOOKUP(tbl_FACTS[[#This Row],[ProductID]],Πίνακας7[ProductID],Πίνακας7[CategoryID])</f>
        <v>4</v>
      </c>
      <c r="N206" t="str">
        <f>_xlfn.XLOOKUP(tbl_FACTS[[#This Row],[CategoryID]],Πίνακας4[CategoryID],Πίνακας4[CategoryName])</f>
        <v>Dairy Products</v>
      </c>
      <c r="O206">
        <f>_xlfn.XLOOKUP(tbl_FACTS[[#This Row],[ProductID]],Πίνακας7[ProductID],Πίνακας7[SupplierID])</f>
        <v>14</v>
      </c>
      <c r="P206" t="str">
        <f>_xlfn.XLOOKUP(tbl_FACTS[[#This Row],[SupplierID]],Πίνακας9[SupplierID],Πίνακας9[SupplierName])</f>
        <v>Formaggi Fortini s.r.l.</v>
      </c>
      <c r="Q206" s="21">
        <f>_xlfn.XLOOKUP(tbl_FACTS[[#This Row],[ProductID]],Πίνακας7[ProductID],Πίνακας7[Price])</f>
        <v>13</v>
      </c>
      <c r="R206" s="21">
        <f>tbl_FACTS[[#This Row],[Quantity]]*tbl_FACTS[[#This Row],[Price]]</f>
        <v>52</v>
      </c>
      <c r="S206" s="19">
        <f>IF(COUNTIFS(tbl_FACTS[OrderID],tbl_FACTS[[#This Row],[OrderID]],tbl_FACTS[OrderDetailID],"&lt;"&amp;tbl_FACTS[[#This Row],[OrderDetailID]])=0,1,0)</f>
        <v>0</v>
      </c>
      <c r="T206" s="19">
        <f>YEAR(tbl_FACTS[[#This Row],[OrderDate]])</f>
        <v>1996</v>
      </c>
      <c r="U206" s="22">
        <f>DATE(YEAR(tbl_FACTS[[#This Row],[OrderDate]]),MONTH(tbl_FACTS[[#This Row],[OrderDate]]),1)</f>
        <v>35339</v>
      </c>
      <c r="V206" s="22" t="str">
        <f>IF(tbl_FACTS[[#This Row],[Quantity]]&lt;=10,"0–10",IF(tbl_FACTS[[#This Row],[Quantity]]&lt;=20,"11–20",IF(tbl_FACTS[[#This Row],[Quantity]]&lt;=30,"21–30",IF(tbl_FACTS[[#This Row],[Quantity]]&lt;=40,"31–40",IF(tbl_FACTS[[#This Row],[Quantity]]&lt;=50,"41–50","51+")))))</f>
        <v>0–10</v>
      </c>
    </row>
    <row r="207" spans="1:22">
      <c r="A207">
        <v>206</v>
      </c>
      <c r="B207">
        <v>10325</v>
      </c>
      <c r="C207">
        <v>72</v>
      </c>
      <c r="D207" s="19">
        <v>40</v>
      </c>
      <c r="E207" s="20">
        <f>_xlfn.XLOOKUP(tbl_FACTS[[#This Row],[OrderID]],Πίνακας64[OrderID],Πίνακας64[OrderDate])</f>
        <v>35347</v>
      </c>
      <c r="F207">
        <f>_xlfn.XLOOKUP(tbl_FACTS[[#This Row],[OrderID]],Πίνακας64[OrderID],Πίνακας64[CustomerID])</f>
        <v>39</v>
      </c>
      <c r="G207" t="str">
        <f>_xlfn.XLOOKUP(tbl_FACTS[[#This Row],[CustomerID]],Πίνακας1[CustomerID],Πίνακας1[CustomerName])</f>
        <v>Koniglich Essen</v>
      </c>
      <c r="H207" t="str">
        <f>_xlfn.XLOOKUP(tbl_FACTS[[#This Row],[CustomerID]],Πίνακας1[CustomerID],Πίνακας1[Country])</f>
        <v>Germany</v>
      </c>
      <c r="I207">
        <f>_xlfn.XLOOKUP(tbl_FACTS[[#This Row],[OrderID]],Πίνακας64[OrderID],Πίνακας64[EmployeeID])</f>
        <v>1</v>
      </c>
      <c r="J207">
        <f>_xlfn.XLOOKUP(tbl_FACTS[[#This Row],[OrderID]],Πίνακας64[OrderID],Πίνακας64[ShipperID])</f>
        <v>3</v>
      </c>
      <c r="K207" t="str">
        <f>_xlfn.XLOOKUP(tbl_FACTS[[#This Row],[ShipperID]],Πίνακας8[ShipperID],Πίνακας8[ShipperName])</f>
        <v>Federal Shipping</v>
      </c>
      <c r="L207" t="str">
        <f>_xlfn.XLOOKUP(tbl_FACTS[[#This Row],[ProductID]],Πίνακας7[ProductID],Πίνακας7[ProductName])</f>
        <v>Mozzarella di Giovanni</v>
      </c>
      <c r="M207">
        <f>_xlfn.XLOOKUP(tbl_FACTS[[#This Row],[ProductID]],Πίνακας7[ProductID],Πίνακας7[CategoryID])</f>
        <v>4</v>
      </c>
      <c r="N207" t="str">
        <f>_xlfn.XLOOKUP(tbl_FACTS[[#This Row],[CategoryID]],Πίνακας4[CategoryID],Πίνακας4[CategoryName])</f>
        <v>Dairy Products</v>
      </c>
      <c r="O207">
        <f>_xlfn.XLOOKUP(tbl_FACTS[[#This Row],[ProductID]],Πίνακας7[ProductID],Πίνακας7[SupplierID])</f>
        <v>14</v>
      </c>
      <c r="P207" t="str">
        <f>_xlfn.XLOOKUP(tbl_FACTS[[#This Row],[SupplierID]],Πίνακας9[SupplierID],Πίνακας9[SupplierName])</f>
        <v>Formaggi Fortini s.r.l.</v>
      </c>
      <c r="Q207" s="21">
        <f>_xlfn.XLOOKUP(tbl_FACTS[[#This Row],[ProductID]],Πίνακας7[ProductID],Πίνακας7[Price])</f>
        <v>35</v>
      </c>
      <c r="R207" s="21">
        <f>tbl_FACTS[[#This Row],[Quantity]]*tbl_FACTS[[#This Row],[Price]]</f>
        <v>1400</v>
      </c>
      <c r="S207" s="19">
        <f>IF(COUNTIFS(tbl_FACTS[OrderID],tbl_FACTS[[#This Row],[OrderID]],tbl_FACTS[OrderDetailID],"&lt;"&amp;tbl_FACTS[[#This Row],[OrderDetailID]])=0,1,0)</f>
        <v>0</v>
      </c>
      <c r="T207" s="19">
        <f>YEAR(tbl_FACTS[[#This Row],[OrderDate]])</f>
        <v>1996</v>
      </c>
      <c r="U207" s="22">
        <f>DATE(YEAR(tbl_FACTS[[#This Row],[OrderDate]]),MONTH(tbl_FACTS[[#This Row],[OrderDate]]),1)</f>
        <v>35339</v>
      </c>
      <c r="V207" s="22" t="str">
        <f>IF(tbl_FACTS[[#This Row],[Quantity]]&lt;=10,"0–10",IF(tbl_FACTS[[#This Row],[Quantity]]&lt;=20,"11–20",IF(tbl_FACTS[[#This Row],[Quantity]]&lt;=30,"21–30",IF(tbl_FACTS[[#This Row],[Quantity]]&lt;=40,"31–40",IF(tbl_FACTS[[#This Row],[Quantity]]&lt;=50,"41–50","51+")))))</f>
        <v>31–40</v>
      </c>
    </row>
    <row r="208" spans="1:22">
      <c r="A208">
        <v>207</v>
      </c>
      <c r="B208">
        <v>10326</v>
      </c>
      <c r="C208">
        <v>4</v>
      </c>
      <c r="D208" s="19">
        <v>24</v>
      </c>
      <c r="E208" s="20">
        <f>_xlfn.XLOOKUP(tbl_FACTS[[#This Row],[OrderID]],Πίνακας64[OrderID],Πίνακας64[OrderDate])</f>
        <v>35348</v>
      </c>
      <c r="F208">
        <f>_xlfn.XLOOKUP(tbl_FACTS[[#This Row],[OrderID]],Πίνακας64[OrderID],Πίνακας64[CustomerID])</f>
        <v>8</v>
      </c>
      <c r="G208" t="str">
        <f>_xlfn.XLOOKUP(tbl_FACTS[[#This Row],[CustomerID]],Πίνακας1[CustomerID],Πίνακας1[CustomerName])</f>
        <v>Bolido Comidas preparadas</v>
      </c>
      <c r="H208" t="str">
        <f>_xlfn.XLOOKUP(tbl_FACTS[[#This Row],[CustomerID]],Πίνακας1[CustomerID],Πίνακας1[Country])</f>
        <v>Spain</v>
      </c>
      <c r="I208">
        <f>_xlfn.XLOOKUP(tbl_FACTS[[#This Row],[OrderID]],Πίνακας64[OrderID],Πίνακας64[EmployeeID])</f>
        <v>4</v>
      </c>
      <c r="J208">
        <f>_xlfn.XLOOKUP(tbl_FACTS[[#This Row],[OrderID]],Πίνακας64[OrderID],Πίνακας64[ShipperID])</f>
        <v>2</v>
      </c>
      <c r="K208" t="str">
        <f>_xlfn.XLOOKUP(tbl_FACTS[[#This Row],[ShipperID]],Πίνακας8[ShipperID],Πίνακας8[ShipperName])</f>
        <v>United Package</v>
      </c>
      <c r="L208" t="str">
        <f>_xlfn.XLOOKUP(tbl_FACTS[[#This Row],[ProductID]],Πίνακας7[ProductID],Πίνακας7[ProductName])</f>
        <v>Chef Anton's Cajun Seasoning</v>
      </c>
      <c r="M208">
        <f>_xlfn.XLOOKUP(tbl_FACTS[[#This Row],[ProductID]],Πίνακας7[ProductID],Πίνακας7[CategoryID])</f>
        <v>2</v>
      </c>
      <c r="N208" t="str">
        <f>_xlfn.XLOOKUP(tbl_FACTS[[#This Row],[CategoryID]],Πίνακας4[CategoryID],Πίνακας4[CategoryName])</f>
        <v>Condiments</v>
      </c>
      <c r="O208">
        <f>_xlfn.XLOOKUP(tbl_FACTS[[#This Row],[ProductID]],Πίνακας7[ProductID],Πίνακας7[SupplierID])</f>
        <v>2</v>
      </c>
      <c r="P208" t="str">
        <f>_xlfn.XLOOKUP(tbl_FACTS[[#This Row],[SupplierID]],Πίνακας9[SupplierID],Πίνακας9[SupplierName])</f>
        <v>New Orleans Cajun Delights</v>
      </c>
      <c r="Q208" s="21">
        <f>_xlfn.XLOOKUP(tbl_FACTS[[#This Row],[ProductID]],Πίνακας7[ProductID],Πίνακας7[Price])</f>
        <v>22</v>
      </c>
      <c r="R208" s="21">
        <f>tbl_FACTS[[#This Row],[Quantity]]*tbl_FACTS[[#This Row],[Price]]</f>
        <v>528</v>
      </c>
      <c r="S208" s="19">
        <f>IF(COUNTIFS(tbl_FACTS[OrderID],tbl_FACTS[[#This Row],[OrderID]],tbl_FACTS[OrderDetailID],"&lt;"&amp;tbl_FACTS[[#This Row],[OrderDetailID]])=0,1,0)</f>
        <v>1</v>
      </c>
      <c r="T208" s="19">
        <f>YEAR(tbl_FACTS[[#This Row],[OrderDate]])</f>
        <v>1996</v>
      </c>
      <c r="U208" s="22">
        <f>DATE(YEAR(tbl_FACTS[[#This Row],[OrderDate]]),MONTH(tbl_FACTS[[#This Row],[OrderDate]]),1)</f>
        <v>35339</v>
      </c>
      <c r="V208" s="22" t="str">
        <f>IF(tbl_FACTS[[#This Row],[Quantity]]&lt;=10,"0–10",IF(tbl_FACTS[[#This Row],[Quantity]]&lt;=20,"11–20",IF(tbl_FACTS[[#This Row],[Quantity]]&lt;=30,"21–30",IF(tbl_FACTS[[#This Row],[Quantity]]&lt;=40,"31–40",IF(tbl_FACTS[[#This Row],[Quantity]]&lt;=50,"41–50","51+")))))</f>
        <v>21–30</v>
      </c>
    </row>
    <row r="209" spans="1:22">
      <c r="A209">
        <v>208</v>
      </c>
      <c r="B209">
        <v>10326</v>
      </c>
      <c r="C209">
        <v>57</v>
      </c>
      <c r="D209" s="19">
        <v>16</v>
      </c>
      <c r="E209" s="20">
        <f>_xlfn.XLOOKUP(tbl_FACTS[[#This Row],[OrderID]],Πίνακας64[OrderID],Πίνακας64[OrderDate])</f>
        <v>35348</v>
      </c>
      <c r="F209">
        <f>_xlfn.XLOOKUP(tbl_FACTS[[#This Row],[OrderID]],Πίνακας64[OrderID],Πίνακας64[CustomerID])</f>
        <v>8</v>
      </c>
      <c r="G209" t="str">
        <f>_xlfn.XLOOKUP(tbl_FACTS[[#This Row],[CustomerID]],Πίνακας1[CustomerID],Πίνακας1[CustomerName])</f>
        <v>Bolido Comidas preparadas</v>
      </c>
      <c r="H209" t="str">
        <f>_xlfn.XLOOKUP(tbl_FACTS[[#This Row],[CustomerID]],Πίνακας1[CustomerID],Πίνακας1[Country])</f>
        <v>Spain</v>
      </c>
      <c r="I209">
        <f>_xlfn.XLOOKUP(tbl_FACTS[[#This Row],[OrderID]],Πίνακας64[OrderID],Πίνακας64[EmployeeID])</f>
        <v>4</v>
      </c>
      <c r="J209">
        <f>_xlfn.XLOOKUP(tbl_FACTS[[#This Row],[OrderID]],Πίνακας64[OrderID],Πίνακας64[ShipperID])</f>
        <v>2</v>
      </c>
      <c r="K209" t="str">
        <f>_xlfn.XLOOKUP(tbl_FACTS[[#This Row],[ShipperID]],Πίνακας8[ShipperID],Πίνακας8[ShipperName])</f>
        <v>United Package</v>
      </c>
      <c r="L209" t="str">
        <f>_xlfn.XLOOKUP(tbl_FACTS[[#This Row],[ProductID]],Πίνακας7[ProductID],Πίνακας7[ProductName])</f>
        <v>Ravioli Angelo</v>
      </c>
      <c r="M209">
        <f>_xlfn.XLOOKUP(tbl_FACTS[[#This Row],[ProductID]],Πίνακας7[ProductID],Πίνακας7[CategoryID])</f>
        <v>5</v>
      </c>
      <c r="N209" t="str">
        <f>_xlfn.XLOOKUP(tbl_FACTS[[#This Row],[CategoryID]],Πίνακας4[CategoryID],Πίνακας4[CategoryName])</f>
        <v>Grains/Cereals</v>
      </c>
      <c r="O209">
        <f>_xlfn.XLOOKUP(tbl_FACTS[[#This Row],[ProductID]],Πίνακας7[ProductID],Πίνακας7[SupplierID])</f>
        <v>26</v>
      </c>
      <c r="P209" t="str">
        <f>_xlfn.XLOOKUP(tbl_FACTS[[#This Row],[SupplierID]],Πίνακας9[SupplierID],Πίνακας9[SupplierName])</f>
        <v>Pasta Buttini s.r.l.</v>
      </c>
      <c r="Q209" s="21">
        <f>_xlfn.XLOOKUP(tbl_FACTS[[#This Row],[ProductID]],Πίνακας7[ProductID],Πίνακας7[Price])</f>
        <v>20</v>
      </c>
      <c r="R209" s="21">
        <f>tbl_FACTS[[#This Row],[Quantity]]*tbl_FACTS[[#This Row],[Price]]</f>
        <v>320</v>
      </c>
      <c r="S209" s="19">
        <f>IF(COUNTIFS(tbl_FACTS[OrderID],tbl_FACTS[[#This Row],[OrderID]],tbl_FACTS[OrderDetailID],"&lt;"&amp;tbl_FACTS[[#This Row],[OrderDetailID]])=0,1,0)</f>
        <v>0</v>
      </c>
      <c r="T209" s="19">
        <f>YEAR(tbl_FACTS[[#This Row],[OrderDate]])</f>
        <v>1996</v>
      </c>
      <c r="U209" s="22">
        <f>DATE(YEAR(tbl_FACTS[[#This Row],[OrderDate]]),MONTH(tbl_FACTS[[#This Row],[OrderDate]]),1)</f>
        <v>35339</v>
      </c>
      <c r="V209" s="22" t="str">
        <f>IF(tbl_FACTS[[#This Row],[Quantity]]&lt;=10,"0–10",IF(tbl_FACTS[[#This Row],[Quantity]]&lt;=20,"11–20",IF(tbl_FACTS[[#This Row],[Quantity]]&lt;=30,"21–30",IF(tbl_FACTS[[#This Row],[Quantity]]&lt;=40,"31–40",IF(tbl_FACTS[[#This Row],[Quantity]]&lt;=50,"41–50","51+")))))</f>
        <v>11–20</v>
      </c>
    </row>
    <row r="210" spans="1:22">
      <c r="A210">
        <v>209</v>
      </c>
      <c r="B210">
        <v>10326</v>
      </c>
      <c r="C210">
        <v>75</v>
      </c>
      <c r="D210" s="19">
        <v>50</v>
      </c>
      <c r="E210" s="20">
        <f>_xlfn.XLOOKUP(tbl_FACTS[[#This Row],[OrderID]],Πίνακας64[OrderID],Πίνακας64[OrderDate])</f>
        <v>35348</v>
      </c>
      <c r="F210">
        <f>_xlfn.XLOOKUP(tbl_FACTS[[#This Row],[OrderID]],Πίνακας64[OrderID],Πίνακας64[CustomerID])</f>
        <v>8</v>
      </c>
      <c r="G210" t="str">
        <f>_xlfn.XLOOKUP(tbl_FACTS[[#This Row],[CustomerID]],Πίνακας1[CustomerID],Πίνακας1[CustomerName])</f>
        <v>Bolido Comidas preparadas</v>
      </c>
      <c r="H210" t="str">
        <f>_xlfn.XLOOKUP(tbl_FACTS[[#This Row],[CustomerID]],Πίνακας1[CustomerID],Πίνακας1[Country])</f>
        <v>Spain</v>
      </c>
      <c r="I210">
        <f>_xlfn.XLOOKUP(tbl_FACTS[[#This Row],[OrderID]],Πίνακας64[OrderID],Πίνακας64[EmployeeID])</f>
        <v>4</v>
      </c>
      <c r="J210">
        <f>_xlfn.XLOOKUP(tbl_FACTS[[#This Row],[OrderID]],Πίνακας64[OrderID],Πίνακας64[ShipperID])</f>
        <v>2</v>
      </c>
      <c r="K210" t="str">
        <f>_xlfn.XLOOKUP(tbl_FACTS[[#This Row],[ShipperID]],Πίνακας8[ShipperID],Πίνακας8[ShipperName])</f>
        <v>United Package</v>
      </c>
      <c r="L210" t="str">
        <f>_xlfn.XLOOKUP(tbl_FACTS[[#This Row],[ProductID]],Πίνακας7[ProductID],Πίνακας7[ProductName])</f>
        <v>Rhonbrau Klosterbier</v>
      </c>
      <c r="M210">
        <f>_xlfn.XLOOKUP(tbl_FACTS[[#This Row],[ProductID]],Πίνακας7[ProductID],Πίνακας7[CategoryID])</f>
        <v>1</v>
      </c>
      <c r="N210" t="str">
        <f>_xlfn.XLOOKUP(tbl_FACTS[[#This Row],[CategoryID]],Πίνακας4[CategoryID],Πίνακας4[CategoryName])</f>
        <v>Beverages</v>
      </c>
      <c r="O210">
        <f>_xlfn.XLOOKUP(tbl_FACTS[[#This Row],[ProductID]],Πίνακας7[ProductID],Πίνακας7[SupplierID])</f>
        <v>12</v>
      </c>
      <c r="P210" t="str">
        <f>_xlfn.XLOOKUP(tbl_FACTS[[#This Row],[SupplierID]],Πίνακας9[SupplierID],Πίνακας9[SupplierName])</f>
        <v>Plutzer Lebensmittelgro├ƒmarkte AG</v>
      </c>
      <c r="Q210" s="21">
        <f>_xlfn.XLOOKUP(tbl_FACTS[[#This Row],[ProductID]],Πίνακας7[ProductID],Πίνακας7[Price])</f>
        <v>8</v>
      </c>
      <c r="R210" s="21">
        <f>tbl_FACTS[[#This Row],[Quantity]]*tbl_FACTS[[#This Row],[Price]]</f>
        <v>400</v>
      </c>
      <c r="S210" s="19">
        <f>IF(COUNTIFS(tbl_FACTS[OrderID],tbl_FACTS[[#This Row],[OrderID]],tbl_FACTS[OrderDetailID],"&lt;"&amp;tbl_FACTS[[#This Row],[OrderDetailID]])=0,1,0)</f>
        <v>0</v>
      </c>
      <c r="T210" s="19">
        <f>YEAR(tbl_FACTS[[#This Row],[OrderDate]])</f>
        <v>1996</v>
      </c>
      <c r="U210" s="22">
        <f>DATE(YEAR(tbl_FACTS[[#This Row],[OrderDate]]),MONTH(tbl_FACTS[[#This Row],[OrderDate]]),1)</f>
        <v>35339</v>
      </c>
      <c r="V210" s="22" t="str">
        <f>IF(tbl_FACTS[[#This Row],[Quantity]]&lt;=10,"0–10",IF(tbl_FACTS[[#This Row],[Quantity]]&lt;=20,"11–20",IF(tbl_FACTS[[#This Row],[Quantity]]&lt;=30,"21–30",IF(tbl_FACTS[[#This Row],[Quantity]]&lt;=40,"31–40",IF(tbl_FACTS[[#This Row],[Quantity]]&lt;=50,"41–50","51+")))))</f>
        <v>41–50</v>
      </c>
    </row>
    <row r="211" spans="1:22">
      <c r="A211">
        <v>210</v>
      </c>
      <c r="B211">
        <v>10327</v>
      </c>
      <c r="C211">
        <v>2</v>
      </c>
      <c r="D211" s="19">
        <v>25</v>
      </c>
      <c r="E211" s="20">
        <f>_xlfn.XLOOKUP(tbl_FACTS[[#This Row],[OrderID]],Πίνακας64[OrderID],Πίνακας64[OrderDate])</f>
        <v>35349</v>
      </c>
      <c r="F211">
        <f>_xlfn.XLOOKUP(tbl_FACTS[[#This Row],[OrderID]],Πίνακας64[OrderID],Πίνακας64[CustomerID])</f>
        <v>24</v>
      </c>
      <c r="G211" t="str">
        <f>_xlfn.XLOOKUP(tbl_FACTS[[#This Row],[CustomerID]],Πίνακας1[CustomerID],Πίνακας1[CustomerName])</f>
        <v>Folk och fa HB</v>
      </c>
      <c r="H211" t="str">
        <f>_xlfn.XLOOKUP(tbl_FACTS[[#This Row],[CustomerID]],Πίνακας1[CustomerID],Πίνακας1[Country])</f>
        <v>Sweden</v>
      </c>
      <c r="I211">
        <f>_xlfn.XLOOKUP(tbl_FACTS[[#This Row],[OrderID]],Πίνακας64[OrderID],Πίνακας64[EmployeeID])</f>
        <v>2</v>
      </c>
      <c r="J211">
        <f>_xlfn.XLOOKUP(tbl_FACTS[[#This Row],[OrderID]],Πίνακας64[OrderID],Πίνακας64[ShipperID])</f>
        <v>1</v>
      </c>
      <c r="K211" t="str">
        <f>_xlfn.XLOOKUP(tbl_FACTS[[#This Row],[ShipperID]],Πίνακας8[ShipperID],Πίνακας8[ShipperName])</f>
        <v>Speedy Express</v>
      </c>
      <c r="L211" t="str">
        <f>_xlfn.XLOOKUP(tbl_FACTS[[#This Row],[ProductID]],Πίνακας7[ProductID],Πίνακας7[ProductName])</f>
        <v>Chang</v>
      </c>
      <c r="M211">
        <f>_xlfn.XLOOKUP(tbl_FACTS[[#This Row],[ProductID]],Πίνακας7[ProductID],Πίνακας7[CategoryID])</f>
        <v>1</v>
      </c>
      <c r="N211" t="str">
        <f>_xlfn.XLOOKUP(tbl_FACTS[[#This Row],[CategoryID]],Πίνακας4[CategoryID],Πίνακας4[CategoryName])</f>
        <v>Beverages</v>
      </c>
      <c r="O211">
        <f>_xlfn.XLOOKUP(tbl_FACTS[[#This Row],[ProductID]],Πίνακας7[ProductID],Πίνακας7[SupplierID])</f>
        <v>1</v>
      </c>
      <c r="P211" t="str">
        <f>_xlfn.XLOOKUP(tbl_FACTS[[#This Row],[SupplierID]],Πίνακας9[SupplierID],Πίνακας9[SupplierName])</f>
        <v>Exotic Liquid</v>
      </c>
      <c r="Q211" s="21">
        <f>_xlfn.XLOOKUP(tbl_FACTS[[#This Row],[ProductID]],Πίνακας7[ProductID],Πίνακας7[Price])</f>
        <v>19</v>
      </c>
      <c r="R211" s="21">
        <f>tbl_FACTS[[#This Row],[Quantity]]*tbl_FACTS[[#This Row],[Price]]</f>
        <v>475</v>
      </c>
      <c r="S211" s="19">
        <f>IF(COUNTIFS(tbl_FACTS[OrderID],tbl_FACTS[[#This Row],[OrderID]],tbl_FACTS[OrderDetailID],"&lt;"&amp;tbl_FACTS[[#This Row],[OrderDetailID]])=0,1,0)</f>
        <v>1</v>
      </c>
      <c r="T211" s="19">
        <f>YEAR(tbl_FACTS[[#This Row],[OrderDate]])</f>
        <v>1996</v>
      </c>
      <c r="U211" s="22">
        <f>DATE(YEAR(tbl_FACTS[[#This Row],[OrderDate]]),MONTH(tbl_FACTS[[#This Row],[OrderDate]]),1)</f>
        <v>35339</v>
      </c>
      <c r="V211" s="22" t="str">
        <f>IF(tbl_FACTS[[#This Row],[Quantity]]&lt;=10,"0–10",IF(tbl_FACTS[[#This Row],[Quantity]]&lt;=20,"11–20",IF(tbl_FACTS[[#This Row],[Quantity]]&lt;=30,"21–30",IF(tbl_FACTS[[#This Row],[Quantity]]&lt;=40,"31–40",IF(tbl_FACTS[[#This Row],[Quantity]]&lt;=50,"41–50","51+")))))</f>
        <v>21–30</v>
      </c>
    </row>
    <row r="212" spans="1:22">
      <c r="A212">
        <v>211</v>
      </c>
      <c r="B212">
        <v>10327</v>
      </c>
      <c r="C212">
        <v>11</v>
      </c>
      <c r="D212" s="19">
        <v>50</v>
      </c>
      <c r="E212" s="20">
        <f>_xlfn.XLOOKUP(tbl_FACTS[[#This Row],[OrderID]],Πίνακας64[OrderID],Πίνακας64[OrderDate])</f>
        <v>35349</v>
      </c>
      <c r="F212">
        <f>_xlfn.XLOOKUP(tbl_FACTS[[#This Row],[OrderID]],Πίνακας64[OrderID],Πίνακας64[CustomerID])</f>
        <v>24</v>
      </c>
      <c r="G212" t="str">
        <f>_xlfn.XLOOKUP(tbl_FACTS[[#This Row],[CustomerID]],Πίνακας1[CustomerID],Πίνακας1[CustomerName])</f>
        <v>Folk och fa HB</v>
      </c>
      <c r="H212" t="str">
        <f>_xlfn.XLOOKUP(tbl_FACTS[[#This Row],[CustomerID]],Πίνακας1[CustomerID],Πίνακας1[Country])</f>
        <v>Sweden</v>
      </c>
      <c r="I212">
        <f>_xlfn.XLOOKUP(tbl_FACTS[[#This Row],[OrderID]],Πίνακας64[OrderID],Πίνακας64[EmployeeID])</f>
        <v>2</v>
      </c>
      <c r="J212">
        <f>_xlfn.XLOOKUP(tbl_FACTS[[#This Row],[OrderID]],Πίνακας64[OrderID],Πίνακας64[ShipperID])</f>
        <v>1</v>
      </c>
      <c r="K212" t="str">
        <f>_xlfn.XLOOKUP(tbl_FACTS[[#This Row],[ShipperID]],Πίνακας8[ShipperID],Πίνακας8[ShipperName])</f>
        <v>Speedy Express</v>
      </c>
      <c r="L212" t="str">
        <f>_xlfn.XLOOKUP(tbl_FACTS[[#This Row],[ProductID]],Πίνακας7[ProductID],Πίνακας7[ProductName])</f>
        <v>Queso Cabrales</v>
      </c>
      <c r="M212">
        <f>_xlfn.XLOOKUP(tbl_FACTS[[#This Row],[ProductID]],Πίνακας7[ProductID],Πίνακας7[CategoryID])</f>
        <v>4</v>
      </c>
      <c r="N212" t="str">
        <f>_xlfn.XLOOKUP(tbl_FACTS[[#This Row],[CategoryID]],Πίνακας4[CategoryID],Πίνακας4[CategoryName])</f>
        <v>Dairy Products</v>
      </c>
      <c r="O212">
        <f>_xlfn.XLOOKUP(tbl_FACTS[[#This Row],[ProductID]],Πίνακας7[ProductID],Πίνακας7[SupplierID])</f>
        <v>5</v>
      </c>
      <c r="P212" t="str">
        <f>_xlfn.XLOOKUP(tbl_FACTS[[#This Row],[SupplierID]],Πίνακας9[SupplierID],Πίνακας9[SupplierName])</f>
        <v>Cooperativa de Quesos 'Las Cabras'</v>
      </c>
      <c r="Q212" s="21">
        <f>_xlfn.XLOOKUP(tbl_FACTS[[#This Row],[ProductID]],Πίνακας7[ProductID],Πίνακας7[Price])</f>
        <v>21</v>
      </c>
      <c r="R212" s="21">
        <f>tbl_FACTS[[#This Row],[Quantity]]*tbl_FACTS[[#This Row],[Price]]</f>
        <v>1050</v>
      </c>
      <c r="S212" s="19">
        <f>IF(COUNTIFS(tbl_FACTS[OrderID],tbl_FACTS[[#This Row],[OrderID]],tbl_FACTS[OrderDetailID],"&lt;"&amp;tbl_FACTS[[#This Row],[OrderDetailID]])=0,1,0)</f>
        <v>0</v>
      </c>
      <c r="T212" s="19">
        <f>YEAR(tbl_FACTS[[#This Row],[OrderDate]])</f>
        <v>1996</v>
      </c>
      <c r="U212" s="22">
        <f>DATE(YEAR(tbl_FACTS[[#This Row],[OrderDate]]),MONTH(tbl_FACTS[[#This Row],[OrderDate]]),1)</f>
        <v>35339</v>
      </c>
      <c r="V212" s="22" t="str">
        <f>IF(tbl_FACTS[[#This Row],[Quantity]]&lt;=10,"0–10",IF(tbl_FACTS[[#This Row],[Quantity]]&lt;=20,"11–20",IF(tbl_FACTS[[#This Row],[Quantity]]&lt;=30,"21–30",IF(tbl_FACTS[[#This Row],[Quantity]]&lt;=40,"31–40",IF(tbl_FACTS[[#This Row],[Quantity]]&lt;=50,"41–50","51+")))))</f>
        <v>41–50</v>
      </c>
    </row>
    <row r="213" spans="1:22">
      <c r="A213">
        <v>212</v>
      </c>
      <c r="B213">
        <v>10327</v>
      </c>
      <c r="C213">
        <v>30</v>
      </c>
      <c r="D213" s="19">
        <v>35</v>
      </c>
      <c r="E213" s="20">
        <f>_xlfn.XLOOKUP(tbl_FACTS[[#This Row],[OrderID]],Πίνακας64[OrderID],Πίνακας64[OrderDate])</f>
        <v>35349</v>
      </c>
      <c r="F213">
        <f>_xlfn.XLOOKUP(tbl_FACTS[[#This Row],[OrderID]],Πίνακας64[OrderID],Πίνακας64[CustomerID])</f>
        <v>24</v>
      </c>
      <c r="G213" t="str">
        <f>_xlfn.XLOOKUP(tbl_FACTS[[#This Row],[CustomerID]],Πίνακας1[CustomerID],Πίνακας1[CustomerName])</f>
        <v>Folk och fa HB</v>
      </c>
      <c r="H213" t="str">
        <f>_xlfn.XLOOKUP(tbl_FACTS[[#This Row],[CustomerID]],Πίνακας1[CustomerID],Πίνακας1[Country])</f>
        <v>Sweden</v>
      </c>
      <c r="I213">
        <f>_xlfn.XLOOKUP(tbl_FACTS[[#This Row],[OrderID]],Πίνακας64[OrderID],Πίνακας64[EmployeeID])</f>
        <v>2</v>
      </c>
      <c r="J213">
        <f>_xlfn.XLOOKUP(tbl_FACTS[[#This Row],[OrderID]],Πίνακας64[OrderID],Πίνακας64[ShipperID])</f>
        <v>1</v>
      </c>
      <c r="K213" t="str">
        <f>_xlfn.XLOOKUP(tbl_FACTS[[#This Row],[ShipperID]],Πίνακας8[ShipperID],Πίνακας8[ShipperName])</f>
        <v>Speedy Express</v>
      </c>
      <c r="L213" t="str">
        <f>_xlfn.XLOOKUP(tbl_FACTS[[#This Row],[ProductID]],Πίνακας7[ProductID],Πίνακας7[ProductName])</f>
        <v>Nord-Ost Matjeshering</v>
      </c>
      <c r="M213">
        <f>_xlfn.XLOOKUP(tbl_FACTS[[#This Row],[ProductID]],Πίνακας7[ProductID],Πίνακας7[CategoryID])</f>
        <v>8</v>
      </c>
      <c r="N213" t="str">
        <f>_xlfn.XLOOKUP(tbl_FACTS[[#This Row],[CategoryID]],Πίνακας4[CategoryID],Πίνακας4[CategoryName])</f>
        <v>Seafood</v>
      </c>
      <c r="O213">
        <f>_xlfn.XLOOKUP(tbl_FACTS[[#This Row],[ProductID]],Πίνακας7[ProductID],Πίνακας7[SupplierID])</f>
        <v>13</v>
      </c>
      <c r="P213" t="str">
        <f>_xlfn.XLOOKUP(tbl_FACTS[[#This Row],[SupplierID]],Πίνακας9[SupplierID],Πίνακας9[SupplierName])</f>
        <v>Nord-Ost-Fisch Handelsgesellschaft mbH</v>
      </c>
      <c r="Q213" s="21">
        <f>_xlfn.XLOOKUP(tbl_FACTS[[#This Row],[ProductID]],Πίνακας7[ProductID],Πίνακας7[Price])</f>
        <v>26</v>
      </c>
      <c r="R213" s="21">
        <f>tbl_FACTS[[#This Row],[Quantity]]*tbl_FACTS[[#This Row],[Price]]</f>
        <v>910</v>
      </c>
      <c r="S213" s="19">
        <f>IF(COUNTIFS(tbl_FACTS[OrderID],tbl_FACTS[[#This Row],[OrderID]],tbl_FACTS[OrderDetailID],"&lt;"&amp;tbl_FACTS[[#This Row],[OrderDetailID]])=0,1,0)</f>
        <v>0</v>
      </c>
      <c r="T213" s="19">
        <f>YEAR(tbl_FACTS[[#This Row],[OrderDate]])</f>
        <v>1996</v>
      </c>
      <c r="U213" s="22">
        <f>DATE(YEAR(tbl_FACTS[[#This Row],[OrderDate]]),MONTH(tbl_FACTS[[#This Row],[OrderDate]]),1)</f>
        <v>35339</v>
      </c>
      <c r="V213" s="22" t="str">
        <f>IF(tbl_FACTS[[#This Row],[Quantity]]&lt;=10,"0–10",IF(tbl_FACTS[[#This Row],[Quantity]]&lt;=20,"11–20",IF(tbl_FACTS[[#This Row],[Quantity]]&lt;=30,"21–30",IF(tbl_FACTS[[#This Row],[Quantity]]&lt;=40,"31–40",IF(tbl_FACTS[[#This Row],[Quantity]]&lt;=50,"41–50","51+")))))</f>
        <v>31–40</v>
      </c>
    </row>
    <row r="214" spans="1:22">
      <c r="A214">
        <v>213</v>
      </c>
      <c r="B214">
        <v>10327</v>
      </c>
      <c r="C214">
        <v>58</v>
      </c>
      <c r="D214" s="19">
        <v>30</v>
      </c>
      <c r="E214" s="20">
        <f>_xlfn.XLOOKUP(tbl_FACTS[[#This Row],[OrderID]],Πίνακας64[OrderID],Πίνακας64[OrderDate])</f>
        <v>35349</v>
      </c>
      <c r="F214">
        <f>_xlfn.XLOOKUP(tbl_FACTS[[#This Row],[OrderID]],Πίνακας64[OrderID],Πίνακας64[CustomerID])</f>
        <v>24</v>
      </c>
      <c r="G214" t="str">
        <f>_xlfn.XLOOKUP(tbl_FACTS[[#This Row],[CustomerID]],Πίνακας1[CustomerID],Πίνακας1[CustomerName])</f>
        <v>Folk och fa HB</v>
      </c>
      <c r="H214" t="str">
        <f>_xlfn.XLOOKUP(tbl_FACTS[[#This Row],[CustomerID]],Πίνακας1[CustomerID],Πίνακας1[Country])</f>
        <v>Sweden</v>
      </c>
      <c r="I214">
        <f>_xlfn.XLOOKUP(tbl_FACTS[[#This Row],[OrderID]],Πίνακας64[OrderID],Πίνακας64[EmployeeID])</f>
        <v>2</v>
      </c>
      <c r="J214">
        <f>_xlfn.XLOOKUP(tbl_FACTS[[#This Row],[OrderID]],Πίνακας64[OrderID],Πίνακας64[ShipperID])</f>
        <v>1</v>
      </c>
      <c r="K214" t="str">
        <f>_xlfn.XLOOKUP(tbl_FACTS[[#This Row],[ShipperID]],Πίνακας8[ShipperID],Πίνακας8[ShipperName])</f>
        <v>Speedy Express</v>
      </c>
      <c r="L214" t="str">
        <f>_xlfn.XLOOKUP(tbl_FACTS[[#This Row],[ProductID]],Πίνακας7[ProductID],Πίνακας7[ProductName])</f>
        <v>Escargots de Bourgogne</v>
      </c>
      <c r="M214">
        <f>_xlfn.XLOOKUP(tbl_FACTS[[#This Row],[ProductID]],Πίνακας7[ProductID],Πίνακας7[CategoryID])</f>
        <v>8</v>
      </c>
      <c r="N214" t="str">
        <f>_xlfn.XLOOKUP(tbl_FACTS[[#This Row],[CategoryID]],Πίνακας4[CategoryID],Πίνακας4[CategoryName])</f>
        <v>Seafood</v>
      </c>
      <c r="O214">
        <f>_xlfn.XLOOKUP(tbl_FACTS[[#This Row],[ProductID]],Πίνακας7[ProductID],Πίνακας7[SupplierID])</f>
        <v>27</v>
      </c>
      <c r="P214" t="str">
        <f>_xlfn.XLOOKUP(tbl_FACTS[[#This Row],[SupplierID]],Πίνακας9[SupplierID],Πίνακας9[SupplierName])</f>
        <v>Escargots Nouveaux</v>
      </c>
      <c r="Q214" s="21">
        <f>_xlfn.XLOOKUP(tbl_FACTS[[#This Row],[ProductID]],Πίνακας7[ProductID],Πίνακας7[Price])</f>
        <v>13</v>
      </c>
      <c r="R214" s="21">
        <f>tbl_FACTS[[#This Row],[Quantity]]*tbl_FACTS[[#This Row],[Price]]</f>
        <v>390</v>
      </c>
      <c r="S214" s="19">
        <f>IF(COUNTIFS(tbl_FACTS[OrderID],tbl_FACTS[[#This Row],[OrderID]],tbl_FACTS[OrderDetailID],"&lt;"&amp;tbl_FACTS[[#This Row],[OrderDetailID]])=0,1,0)</f>
        <v>0</v>
      </c>
      <c r="T214" s="19">
        <f>YEAR(tbl_FACTS[[#This Row],[OrderDate]])</f>
        <v>1996</v>
      </c>
      <c r="U214" s="22">
        <f>DATE(YEAR(tbl_FACTS[[#This Row],[OrderDate]]),MONTH(tbl_FACTS[[#This Row],[OrderDate]]),1)</f>
        <v>35339</v>
      </c>
      <c r="V214" s="22" t="str">
        <f>IF(tbl_FACTS[[#This Row],[Quantity]]&lt;=10,"0–10",IF(tbl_FACTS[[#This Row],[Quantity]]&lt;=20,"11–20",IF(tbl_FACTS[[#This Row],[Quantity]]&lt;=30,"21–30",IF(tbl_FACTS[[#This Row],[Quantity]]&lt;=40,"31–40",IF(tbl_FACTS[[#This Row],[Quantity]]&lt;=50,"41–50","51+")))))</f>
        <v>21–30</v>
      </c>
    </row>
    <row r="215" spans="1:22">
      <c r="A215">
        <v>214</v>
      </c>
      <c r="B215">
        <v>10328</v>
      </c>
      <c r="C215">
        <v>59</v>
      </c>
      <c r="D215" s="19">
        <v>9</v>
      </c>
      <c r="E215" s="20">
        <f>_xlfn.XLOOKUP(tbl_FACTS[[#This Row],[OrderID]],Πίνακας64[OrderID],Πίνακας64[OrderDate])</f>
        <v>35352</v>
      </c>
      <c r="F215">
        <f>_xlfn.XLOOKUP(tbl_FACTS[[#This Row],[OrderID]],Πίνακας64[OrderID],Πίνακας64[CustomerID])</f>
        <v>28</v>
      </c>
      <c r="G215" t="str">
        <f>_xlfn.XLOOKUP(tbl_FACTS[[#This Row],[CustomerID]],Πίνακας1[CustomerID],Πίνακας1[CustomerName])</f>
        <v>Furia Bacalhau e Frutos do Mar</v>
      </c>
      <c r="H215" t="str">
        <f>_xlfn.XLOOKUP(tbl_FACTS[[#This Row],[CustomerID]],Πίνακας1[CustomerID],Πίνακας1[Country])</f>
        <v>Portugal</v>
      </c>
      <c r="I215">
        <f>_xlfn.XLOOKUP(tbl_FACTS[[#This Row],[OrderID]],Πίνακας64[OrderID],Πίνακας64[EmployeeID])</f>
        <v>4</v>
      </c>
      <c r="J215">
        <f>_xlfn.XLOOKUP(tbl_FACTS[[#This Row],[OrderID]],Πίνακας64[OrderID],Πίνακας64[ShipperID])</f>
        <v>3</v>
      </c>
      <c r="K215" t="str">
        <f>_xlfn.XLOOKUP(tbl_FACTS[[#This Row],[ShipperID]],Πίνακας8[ShipperID],Πίνακας8[ShipperName])</f>
        <v>Federal Shipping</v>
      </c>
      <c r="L215" t="str">
        <f>_xlfn.XLOOKUP(tbl_FACTS[[#This Row],[ProductID]],Πίνακας7[ProductID],Πίνακας7[ProductName])</f>
        <v>Raclette Courdavault</v>
      </c>
      <c r="M215">
        <f>_xlfn.XLOOKUP(tbl_FACTS[[#This Row],[ProductID]],Πίνακας7[ProductID],Πίνακας7[CategoryID])</f>
        <v>4</v>
      </c>
      <c r="N215" t="str">
        <f>_xlfn.XLOOKUP(tbl_FACTS[[#This Row],[CategoryID]],Πίνακας4[CategoryID],Πίνακας4[CategoryName])</f>
        <v>Dairy Products</v>
      </c>
      <c r="O215">
        <f>_xlfn.XLOOKUP(tbl_FACTS[[#This Row],[ProductID]],Πίνακας7[ProductID],Πίνακας7[SupplierID])</f>
        <v>28</v>
      </c>
      <c r="P215" t="str">
        <f>_xlfn.XLOOKUP(tbl_FACTS[[#This Row],[SupplierID]],Πίνακας9[SupplierID],Πίνακας9[SupplierName])</f>
        <v>Gai paturage</v>
      </c>
      <c r="Q215" s="21">
        <f>_xlfn.XLOOKUP(tbl_FACTS[[#This Row],[ProductID]],Πίνακας7[ProductID],Πίνακας7[Price])</f>
        <v>55</v>
      </c>
      <c r="R215" s="21">
        <f>tbl_FACTS[[#This Row],[Quantity]]*tbl_FACTS[[#This Row],[Price]]</f>
        <v>495</v>
      </c>
      <c r="S215" s="19">
        <f>IF(COUNTIFS(tbl_FACTS[OrderID],tbl_FACTS[[#This Row],[OrderID]],tbl_FACTS[OrderDetailID],"&lt;"&amp;tbl_FACTS[[#This Row],[OrderDetailID]])=0,1,0)</f>
        <v>1</v>
      </c>
      <c r="T215" s="19">
        <f>YEAR(tbl_FACTS[[#This Row],[OrderDate]])</f>
        <v>1996</v>
      </c>
      <c r="U215" s="22">
        <f>DATE(YEAR(tbl_FACTS[[#This Row],[OrderDate]]),MONTH(tbl_FACTS[[#This Row],[OrderDate]]),1)</f>
        <v>35339</v>
      </c>
      <c r="V215" s="22" t="str">
        <f>IF(tbl_FACTS[[#This Row],[Quantity]]&lt;=10,"0–10",IF(tbl_FACTS[[#This Row],[Quantity]]&lt;=20,"11–20",IF(tbl_FACTS[[#This Row],[Quantity]]&lt;=30,"21–30",IF(tbl_FACTS[[#This Row],[Quantity]]&lt;=40,"31–40",IF(tbl_FACTS[[#This Row],[Quantity]]&lt;=50,"41–50","51+")))))</f>
        <v>0–10</v>
      </c>
    </row>
    <row r="216" spans="1:22">
      <c r="A216">
        <v>215</v>
      </c>
      <c r="B216">
        <v>10328</v>
      </c>
      <c r="C216">
        <v>65</v>
      </c>
      <c r="D216" s="19">
        <v>40</v>
      </c>
      <c r="E216" s="20">
        <f>_xlfn.XLOOKUP(tbl_FACTS[[#This Row],[OrderID]],Πίνακας64[OrderID],Πίνακας64[OrderDate])</f>
        <v>35352</v>
      </c>
      <c r="F216">
        <f>_xlfn.XLOOKUP(tbl_FACTS[[#This Row],[OrderID]],Πίνακας64[OrderID],Πίνακας64[CustomerID])</f>
        <v>28</v>
      </c>
      <c r="G216" t="str">
        <f>_xlfn.XLOOKUP(tbl_FACTS[[#This Row],[CustomerID]],Πίνακας1[CustomerID],Πίνακας1[CustomerName])</f>
        <v>Furia Bacalhau e Frutos do Mar</v>
      </c>
      <c r="H216" t="str">
        <f>_xlfn.XLOOKUP(tbl_FACTS[[#This Row],[CustomerID]],Πίνακας1[CustomerID],Πίνακας1[Country])</f>
        <v>Portugal</v>
      </c>
      <c r="I216">
        <f>_xlfn.XLOOKUP(tbl_FACTS[[#This Row],[OrderID]],Πίνακας64[OrderID],Πίνακας64[EmployeeID])</f>
        <v>4</v>
      </c>
      <c r="J216">
        <f>_xlfn.XLOOKUP(tbl_FACTS[[#This Row],[OrderID]],Πίνακας64[OrderID],Πίνακας64[ShipperID])</f>
        <v>3</v>
      </c>
      <c r="K216" t="str">
        <f>_xlfn.XLOOKUP(tbl_FACTS[[#This Row],[ShipperID]],Πίνακας8[ShipperID],Πίνακας8[ShipperName])</f>
        <v>Federal Shipping</v>
      </c>
      <c r="L216" t="str">
        <f>_xlfn.XLOOKUP(tbl_FACTS[[#This Row],[ProductID]],Πίνακας7[ProductID],Πίνακας7[ProductName])</f>
        <v>Louisiana Fiery Hot Pepper Sauce</v>
      </c>
      <c r="M216">
        <f>_xlfn.XLOOKUP(tbl_FACTS[[#This Row],[ProductID]],Πίνακας7[ProductID],Πίνακας7[CategoryID])</f>
        <v>2</v>
      </c>
      <c r="N216" t="str">
        <f>_xlfn.XLOOKUP(tbl_FACTS[[#This Row],[CategoryID]],Πίνακας4[CategoryID],Πίνακας4[CategoryName])</f>
        <v>Condiments</v>
      </c>
      <c r="O216">
        <f>_xlfn.XLOOKUP(tbl_FACTS[[#This Row],[ProductID]],Πίνακας7[ProductID],Πίνακας7[SupplierID])</f>
        <v>2</v>
      </c>
      <c r="P216" t="str">
        <f>_xlfn.XLOOKUP(tbl_FACTS[[#This Row],[SupplierID]],Πίνακας9[SupplierID],Πίνακας9[SupplierName])</f>
        <v>New Orleans Cajun Delights</v>
      </c>
      <c r="Q216" s="21">
        <f>_xlfn.XLOOKUP(tbl_FACTS[[#This Row],[ProductID]],Πίνακας7[ProductID],Πίνακας7[Price])</f>
        <v>21</v>
      </c>
      <c r="R216" s="21">
        <f>tbl_FACTS[[#This Row],[Quantity]]*tbl_FACTS[[#This Row],[Price]]</f>
        <v>840</v>
      </c>
      <c r="S216" s="19">
        <f>IF(COUNTIFS(tbl_FACTS[OrderID],tbl_FACTS[[#This Row],[OrderID]],tbl_FACTS[OrderDetailID],"&lt;"&amp;tbl_FACTS[[#This Row],[OrderDetailID]])=0,1,0)</f>
        <v>0</v>
      </c>
      <c r="T216" s="19">
        <f>YEAR(tbl_FACTS[[#This Row],[OrderDate]])</f>
        <v>1996</v>
      </c>
      <c r="U216" s="22">
        <f>DATE(YEAR(tbl_FACTS[[#This Row],[OrderDate]]),MONTH(tbl_FACTS[[#This Row],[OrderDate]]),1)</f>
        <v>35339</v>
      </c>
      <c r="V216" s="22" t="str">
        <f>IF(tbl_FACTS[[#This Row],[Quantity]]&lt;=10,"0–10",IF(tbl_FACTS[[#This Row],[Quantity]]&lt;=20,"11–20",IF(tbl_FACTS[[#This Row],[Quantity]]&lt;=30,"21–30",IF(tbl_FACTS[[#This Row],[Quantity]]&lt;=40,"31–40",IF(tbl_FACTS[[#This Row],[Quantity]]&lt;=50,"41–50","51+")))))</f>
        <v>31–40</v>
      </c>
    </row>
    <row r="217" spans="1:22">
      <c r="A217">
        <v>216</v>
      </c>
      <c r="B217">
        <v>10328</v>
      </c>
      <c r="C217">
        <v>68</v>
      </c>
      <c r="D217" s="19">
        <v>10</v>
      </c>
      <c r="E217" s="20">
        <f>_xlfn.XLOOKUP(tbl_FACTS[[#This Row],[OrderID]],Πίνακας64[OrderID],Πίνακας64[OrderDate])</f>
        <v>35352</v>
      </c>
      <c r="F217">
        <f>_xlfn.XLOOKUP(tbl_FACTS[[#This Row],[OrderID]],Πίνακας64[OrderID],Πίνακας64[CustomerID])</f>
        <v>28</v>
      </c>
      <c r="G217" t="str">
        <f>_xlfn.XLOOKUP(tbl_FACTS[[#This Row],[CustomerID]],Πίνακας1[CustomerID],Πίνακας1[CustomerName])</f>
        <v>Furia Bacalhau e Frutos do Mar</v>
      </c>
      <c r="H217" t="str">
        <f>_xlfn.XLOOKUP(tbl_FACTS[[#This Row],[CustomerID]],Πίνακας1[CustomerID],Πίνακας1[Country])</f>
        <v>Portugal</v>
      </c>
      <c r="I217">
        <f>_xlfn.XLOOKUP(tbl_FACTS[[#This Row],[OrderID]],Πίνακας64[OrderID],Πίνακας64[EmployeeID])</f>
        <v>4</v>
      </c>
      <c r="J217">
        <f>_xlfn.XLOOKUP(tbl_FACTS[[#This Row],[OrderID]],Πίνακας64[OrderID],Πίνακας64[ShipperID])</f>
        <v>3</v>
      </c>
      <c r="K217" t="str">
        <f>_xlfn.XLOOKUP(tbl_FACTS[[#This Row],[ShipperID]],Πίνακας8[ShipperID],Πίνακας8[ShipperName])</f>
        <v>Federal Shipping</v>
      </c>
      <c r="L217" t="str">
        <f>_xlfn.XLOOKUP(tbl_FACTS[[#This Row],[ProductID]],Πίνακας7[ProductID],Πίνακας7[ProductName])</f>
        <v>Scottish Longbreads</v>
      </c>
      <c r="M217">
        <f>_xlfn.XLOOKUP(tbl_FACTS[[#This Row],[ProductID]],Πίνακας7[ProductID],Πίνακας7[CategoryID])</f>
        <v>3</v>
      </c>
      <c r="N217" t="str">
        <f>_xlfn.XLOOKUP(tbl_FACTS[[#This Row],[CategoryID]],Πίνακας4[CategoryID],Πίνακας4[CategoryName])</f>
        <v>Confections</v>
      </c>
      <c r="O217">
        <f>_xlfn.XLOOKUP(tbl_FACTS[[#This Row],[ProductID]],Πίνακας7[ProductID],Πίνακας7[SupplierID])</f>
        <v>8</v>
      </c>
      <c r="P217" t="str">
        <f>_xlfn.XLOOKUP(tbl_FACTS[[#This Row],[SupplierID]],Πίνακας9[SupplierID],Πίνακας9[SupplierName])</f>
        <v>Specialty Biscuits, Ltd.</v>
      </c>
      <c r="Q217" s="21">
        <f>_xlfn.XLOOKUP(tbl_FACTS[[#This Row],[ProductID]],Πίνακας7[ProductID],Πίνακας7[Price])</f>
        <v>13</v>
      </c>
      <c r="R217" s="21">
        <f>tbl_FACTS[[#This Row],[Quantity]]*tbl_FACTS[[#This Row],[Price]]</f>
        <v>130</v>
      </c>
      <c r="S217" s="19">
        <f>IF(COUNTIFS(tbl_FACTS[OrderID],tbl_FACTS[[#This Row],[OrderID]],tbl_FACTS[OrderDetailID],"&lt;"&amp;tbl_FACTS[[#This Row],[OrderDetailID]])=0,1,0)</f>
        <v>0</v>
      </c>
      <c r="T217" s="19">
        <f>YEAR(tbl_FACTS[[#This Row],[OrderDate]])</f>
        <v>1996</v>
      </c>
      <c r="U217" s="22">
        <f>DATE(YEAR(tbl_FACTS[[#This Row],[OrderDate]]),MONTH(tbl_FACTS[[#This Row],[OrderDate]]),1)</f>
        <v>35339</v>
      </c>
      <c r="V217" s="22" t="str">
        <f>IF(tbl_FACTS[[#This Row],[Quantity]]&lt;=10,"0–10",IF(tbl_FACTS[[#This Row],[Quantity]]&lt;=20,"11–20",IF(tbl_FACTS[[#This Row],[Quantity]]&lt;=30,"21–30",IF(tbl_FACTS[[#This Row],[Quantity]]&lt;=40,"31–40",IF(tbl_FACTS[[#This Row],[Quantity]]&lt;=50,"41–50","51+")))))</f>
        <v>0–10</v>
      </c>
    </row>
    <row r="218" spans="1:22">
      <c r="A218">
        <v>217</v>
      </c>
      <c r="B218">
        <v>10329</v>
      </c>
      <c r="C218">
        <v>19</v>
      </c>
      <c r="D218" s="19">
        <v>10</v>
      </c>
      <c r="E218" s="20">
        <f>_xlfn.XLOOKUP(tbl_FACTS[[#This Row],[OrderID]],Πίνακας64[OrderID],Πίνακας64[OrderDate])</f>
        <v>35353</v>
      </c>
      <c r="F218">
        <f>_xlfn.XLOOKUP(tbl_FACTS[[#This Row],[OrderID]],Πίνακας64[OrderID],Πίνακας64[CustomerID])</f>
        <v>75</v>
      </c>
      <c r="G218" t="str">
        <f>_xlfn.XLOOKUP(tbl_FACTS[[#This Row],[CustomerID]],Πίνακας1[CustomerID],Πίνακας1[CustomerName])</f>
        <v>Split Rail Beer &amp; Ale</v>
      </c>
      <c r="H218" t="str">
        <f>_xlfn.XLOOKUP(tbl_FACTS[[#This Row],[CustomerID]],Πίνακας1[CustomerID],Πίνακας1[Country])</f>
        <v>USA</v>
      </c>
      <c r="I218">
        <f>_xlfn.XLOOKUP(tbl_FACTS[[#This Row],[OrderID]],Πίνακας64[OrderID],Πίνακας64[EmployeeID])</f>
        <v>4</v>
      </c>
      <c r="J218">
        <f>_xlfn.XLOOKUP(tbl_FACTS[[#This Row],[OrderID]],Πίνακας64[OrderID],Πίνακας64[ShipperID])</f>
        <v>2</v>
      </c>
      <c r="K218" t="str">
        <f>_xlfn.XLOOKUP(tbl_FACTS[[#This Row],[ShipperID]],Πίνακας8[ShipperID],Πίνακας8[ShipperName])</f>
        <v>United Package</v>
      </c>
      <c r="L218" t="str">
        <f>_xlfn.XLOOKUP(tbl_FACTS[[#This Row],[ProductID]],Πίνακας7[ProductID],Πίνακας7[ProductName])</f>
        <v>Teatime Chocolate Biscuits</v>
      </c>
      <c r="M218">
        <f>_xlfn.XLOOKUP(tbl_FACTS[[#This Row],[ProductID]],Πίνακας7[ProductID],Πίνακας7[CategoryID])</f>
        <v>3</v>
      </c>
      <c r="N218" t="str">
        <f>_xlfn.XLOOKUP(tbl_FACTS[[#This Row],[CategoryID]],Πίνακας4[CategoryID],Πίνακας4[CategoryName])</f>
        <v>Confections</v>
      </c>
      <c r="O218">
        <f>_xlfn.XLOOKUP(tbl_FACTS[[#This Row],[ProductID]],Πίνακας7[ProductID],Πίνακας7[SupplierID])</f>
        <v>8</v>
      </c>
      <c r="P218" t="str">
        <f>_xlfn.XLOOKUP(tbl_FACTS[[#This Row],[SupplierID]],Πίνακας9[SupplierID],Πίνακας9[SupplierName])</f>
        <v>Specialty Biscuits, Ltd.</v>
      </c>
      <c r="Q218" s="21">
        <f>_xlfn.XLOOKUP(tbl_FACTS[[#This Row],[ProductID]],Πίνακας7[ProductID],Πίνακας7[Price])</f>
        <v>9</v>
      </c>
      <c r="R218" s="21">
        <f>tbl_FACTS[[#This Row],[Quantity]]*tbl_FACTS[[#This Row],[Price]]</f>
        <v>90</v>
      </c>
      <c r="S218" s="19">
        <f>IF(COUNTIFS(tbl_FACTS[OrderID],tbl_FACTS[[#This Row],[OrderID]],tbl_FACTS[OrderDetailID],"&lt;"&amp;tbl_FACTS[[#This Row],[OrderDetailID]])=0,1,0)</f>
        <v>1</v>
      </c>
      <c r="T218" s="19">
        <f>YEAR(tbl_FACTS[[#This Row],[OrderDate]])</f>
        <v>1996</v>
      </c>
      <c r="U218" s="22">
        <f>DATE(YEAR(tbl_FACTS[[#This Row],[OrderDate]]),MONTH(tbl_FACTS[[#This Row],[OrderDate]]),1)</f>
        <v>35339</v>
      </c>
      <c r="V218" s="22" t="str">
        <f>IF(tbl_FACTS[[#This Row],[Quantity]]&lt;=10,"0–10",IF(tbl_FACTS[[#This Row],[Quantity]]&lt;=20,"11–20",IF(tbl_FACTS[[#This Row],[Quantity]]&lt;=30,"21–30",IF(tbl_FACTS[[#This Row],[Quantity]]&lt;=40,"31–40",IF(tbl_FACTS[[#This Row],[Quantity]]&lt;=50,"41–50","51+")))))</f>
        <v>0–10</v>
      </c>
    </row>
    <row r="219" spans="1:22">
      <c r="A219">
        <v>218</v>
      </c>
      <c r="B219">
        <v>10329</v>
      </c>
      <c r="C219">
        <v>30</v>
      </c>
      <c r="D219" s="19">
        <v>8</v>
      </c>
      <c r="E219" s="20">
        <f>_xlfn.XLOOKUP(tbl_FACTS[[#This Row],[OrderID]],Πίνακας64[OrderID],Πίνακας64[OrderDate])</f>
        <v>35353</v>
      </c>
      <c r="F219">
        <f>_xlfn.XLOOKUP(tbl_FACTS[[#This Row],[OrderID]],Πίνακας64[OrderID],Πίνακας64[CustomerID])</f>
        <v>75</v>
      </c>
      <c r="G219" t="str">
        <f>_xlfn.XLOOKUP(tbl_FACTS[[#This Row],[CustomerID]],Πίνακας1[CustomerID],Πίνακας1[CustomerName])</f>
        <v>Split Rail Beer &amp; Ale</v>
      </c>
      <c r="H219" t="str">
        <f>_xlfn.XLOOKUP(tbl_FACTS[[#This Row],[CustomerID]],Πίνακας1[CustomerID],Πίνακας1[Country])</f>
        <v>USA</v>
      </c>
      <c r="I219">
        <f>_xlfn.XLOOKUP(tbl_FACTS[[#This Row],[OrderID]],Πίνακας64[OrderID],Πίνακας64[EmployeeID])</f>
        <v>4</v>
      </c>
      <c r="J219">
        <f>_xlfn.XLOOKUP(tbl_FACTS[[#This Row],[OrderID]],Πίνακας64[OrderID],Πίνακας64[ShipperID])</f>
        <v>2</v>
      </c>
      <c r="K219" t="str">
        <f>_xlfn.XLOOKUP(tbl_FACTS[[#This Row],[ShipperID]],Πίνακας8[ShipperID],Πίνακας8[ShipperName])</f>
        <v>United Package</v>
      </c>
      <c r="L219" t="str">
        <f>_xlfn.XLOOKUP(tbl_FACTS[[#This Row],[ProductID]],Πίνακας7[ProductID],Πίνακας7[ProductName])</f>
        <v>Nord-Ost Matjeshering</v>
      </c>
      <c r="M219">
        <f>_xlfn.XLOOKUP(tbl_FACTS[[#This Row],[ProductID]],Πίνακας7[ProductID],Πίνακας7[CategoryID])</f>
        <v>8</v>
      </c>
      <c r="N219" t="str">
        <f>_xlfn.XLOOKUP(tbl_FACTS[[#This Row],[CategoryID]],Πίνακας4[CategoryID],Πίνακας4[CategoryName])</f>
        <v>Seafood</v>
      </c>
      <c r="O219">
        <f>_xlfn.XLOOKUP(tbl_FACTS[[#This Row],[ProductID]],Πίνακας7[ProductID],Πίνακας7[SupplierID])</f>
        <v>13</v>
      </c>
      <c r="P219" t="str">
        <f>_xlfn.XLOOKUP(tbl_FACTS[[#This Row],[SupplierID]],Πίνακας9[SupplierID],Πίνακας9[SupplierName])</f>
        <v>Nord-Ost-Fisch Handelsgesellschaft mbH</v>
      </c>
      <c r="Q219" s="21">
        <f>_xlfn.XLOOKUP(tbl_FACTS[[#This Row],[ProductID]],Πίνακας7[ProductID],Πίνακας7[Price])</f>
        <v>26</v>
      </c>
      <c r="R219" s="21">
        <f>tbl_FACTS[[#This Row],[Quantity]]*tbl_FACTS[[#This Row],[Price]]</f>
        <v>208</v>
      </c>
      <c r="S219" s="19">
        <f>IF(COUNTIFS(tbl_FACTS[OrderID],tbl_FACTS[[#This Row],[OrderID]],tbl_FACTS[OrderDetailID],"&lt;"&amp;tbl_FACTS[[#This Row],[OrderDetailID]])=0,1,0)</f>
        <v>0</v>
      </c>
      <c r="T219" s="19">
        <f>YEAR(tbl_FACTS[[#This Row],[OrderDate]])</f>
        <v>1996</v>
      </c>
      <c r="U219" s="22">
        <f>DATE(YEAR(tbl_FACTS[[#This Row],[OrderDate]]),MONTH(tbl_FACTS[[#This Row],[OrderDate]]),1)</f>
        <v>35339</v>
      </c>
      <c r="V219" s="22" t="str">
        <f>IF(tbl_FACTS[[#This Row],[Quantity]]&lt;=10,"0–10",IF(tbl_FACTS[[#This Row],[Quantity]]&lt;=20,"11–20",IF(tbl_FACTS[[#This Row],[Quantity]]&lt;=30,"21–30",IF(tbl_FACTS[[#This Row],[Quantity]]&lt;=40,"31–40",IF(tbl_FACTS[[#This Row],[Quantity]]&lt;=50,"41–50","51+")))))</f>
        <v>0–10</v>
      </c>
    </row>
    <row r="220" spans="1:22">
      <c r="A220">
        <v>219</v>
      </c>
      <c r="B220">
        <v>10329</v>
      </c>
      <c r="C220">
        <v>38</v>
      </c>
      <c r="D220" s="19">
        <v>20</v>
      </c>
      <c r="E220" s="20">
        <f>_xlfn.XLOOKUP(tbl_FACTS[[#This Row],[OrderID]],Πίνακας64[OrderID],Πίνακας64[OrderDate])</f>
        <v>35353</v>
      </c>
      <c r="F220">
        <f>_xlfn.XLOOKUP(tbl_FACTS[[#This Row],[OrderID]],Πίνακας64[OrderID],Πίνακας64[CustomerID])</f>
        <v>75</v>
      </c>
      <c r="G220" t="str">
        <f>_xlfn.XLOOKUP(tbl_FACTS[[#This Row],[CustomerID]],Πίνακας1[CustomerID],Πίνακας1[CustomerName])</f>
        <v>Split Rail Beer &amp; Ale</v>
      </c>
      <c r="H220" t="str">
        <f>_xlfn.XLOOKUP(tbl_FACTS[[#This Row],[CustomerID]],Πίνακας1[CustomerID],Πίνακας1[Country])</f>
        <v>USA</v>
      </c>
      <c r="I220">
        <f>_xlfn.XLOOKUP(tbl_FACTS[[#This Row],[OrderID]],Πίνακας64[OrderID],Πίνακας64[EmployeeID])</f>
        <v>4</v>
      </c>
      <c r="J220">
        <f>_xlfn.XLOOKUP(tbl_FACTS[[#This Row],[OrderID]],Πίνακας64[OrderID],Πίνακας64[ShipperID])</f>
        <v>2</v>
      </c>
      <c r="K220" t="str">
        <f>_xlfn.XLOOKUP(tbl_FACTS[[#This Row],[ShipperID]],Πίνακας8[ShipperID],Πίνακας8[ShipperName])</f>
        <v>United Package</v>
      </c>
      <c r="L220" t="str">
        <f>_xlfn.XLOOKUP(tbl_FACTS[[#This Row],[ProductID]],Πίνακας7[ProductID],Πίνακας7[ProductName])</f>
        <v>Cote de Blaye</v>
      </c>
      <c r="M220">
        <f>_xlfn.XLOOKUP(tbl_FACTS[[#This Row],[ProductID]],Πίνακας7[ProductID],Πίνακας7[CategoryID])</f>
        <v>1</v>
      </c>
      <c r="N220" t="str">
        <f>_xlfn.XLOOKUP(tbl_FACTS[[#This Row],[CategoryID]],Πίνακας4[CategoryID],Πίνακας4[CategoryName])</f>
        <v>Beverages</v>
      </c>
      <c r="O220">
        <f>_xlfn.XLOOKUP(tbl_FACTS[[#This Row],[ProductID]],Πίνακας7[ProductID],Πίνακας7[SupplierID])</f>
        <v>18</v>
      </c>
      <c r="P220" t="str">
        <f>_xlfn.XLOOKUP(tbl_FACTS[[#This Row],[SupplierID]],Πίνακας9[SupplierID],Πίνακας9[SupplierName])</f>
        <v>Aux joyeux ecclesiastiques</v>
      </c>
      <c r="Q220" s="21">
        <f>_xlfn.XLOOKUP(tbl_FACTS[[#This Row],[ProductID]],Πίνακας7[ProductID],Πίνακας7[Price])</f>
        <v>264</v>
      </c>
      <c r="R220" s="21">
        <f>tbl_FACTS[[#This Row],[Quantity]]*tbl_FACTS[[#This Row],[Price]]</f>
        <v>5280</v>
      </c>
      <c r="S220" s="19">
        <f>IF(COUNTIFS(tbl_FACTS[OrderID],tbl_FACTS[[#This Row],[OrderID]],tbl_FACTS[OrderDetailID],"&lt;"&amp;tbl_FACTS[[#This Row],[OrderDetailID]])=0,1,0)</f>
        <v>0</v>
      </c>
      <c r="T220" s="19">
        <f>YEAR(tbl_FACTS[[#This Row],[OrderDate]])</f>
        <v>1996</v>
      </c>
      <c r="U220" s="22">
        <f>DATE(YEAR(tbl_FACTS[[#This Row],[OrderDate]]),MONTH(tbl_FACTS[[#This Row],[OrderDate]]),1)</f>
        <v>35339</v>
      </c>
      <c r="V220" s="22" t="str">
        <f>IF(tbl_FACTS[[#This Row],[Quantity]]&lt;=10,"0–10",IF(tbl_FACTS[[#This Row],[Quantity]]&lt;=20,"11–20",IF(tbl_FACTS[[#This Row],[Quantity]]&lt;=30,"21–30",IF(tbl_FACTS[[#This Row],[Quantity]]&lt;=40,"31–40",IF(tbl_FACTS[[#This Row],[Quantity]]&lt;=50,"41–50","51+")))))</f>
        <v>11–20</v>
      </c>
    </row>
    <row r="221" spans="1:22">
      <c r="A221">
        <v>220</v>
      </c>
      <c r="B221">
        <v>10329</v>
      </c>
      <c r="C221">
        <v>56</v>
      </c>
      <c r="D221" s="19">
        <v>12</v>
      </c>
      <c r="E221" s="20">
        <f>_xlfn.XLOOKUP(tbl_FACTS[[#This Row],[OrderID]],Πίνακας64[OrderID],Πίνακας64[OrderDate])</f>
        <v>35353</v>
      </c>
      <c r="F221">
        <f>_xlfn.XLOOKUP(tbl_FACTS[[#This Row],[OrderID]],Πίνακας64[OrderID],Πίνακας64[CustomerID])</f>
        <v>75</v>
      </c>
      <c r="G221" t="str">
        <f>_xlfn.XLOOKUP(tbl_FACTS[[#This Row],[CustomerID]],Πίνακας1[CustomerID],Πίνακας1[CustomerName])</f>
        <v>Split Rail Beer &amp; Ale</v>
      </c>
      <c r="H221" t="str">
        <f>_xlfn.XLOOKUP(tbl_FACTS[[#This Row],[CustomerID]],Πίνακας1[CustomerID],Πίνακας1[Country])</f>
        <v>USA</v>
      </c>
      <c r="I221">
        <f>_xlfn.XLOOKUP(tbl_FACTS[[#This Row],[OrderID]],Πίνακας64[OrderID],Πίνακας64[EmployeeID])</f>
        <v>4</v>
      </c>
      <c r="J221">
        <f>_xlfn.XLOOKUP(tbl_FACTS[[#This Row],[OrderID]],Πίνακας64[OrderID],Πίνακας64[ShipperID])</f>
        <v>2</v>
      </c>
      <c r="K221" t="str">
        <f>_xlfn.XLOOKUP(tbl_FACTS[[#This Row],[ShipperID]],Πίνακας8[ShipperID],Πίνακας8[ShipperName])</f>
        <v>United Package</v>
      </c>
      <c r="L221" t="str">
        <f>_xlfn.XLOOKUP(tbl_FACTS[[#This Row],[ProductID]],Πίνακας7[ProductID],Πίνακας7[ProductName])</f>
        <v>Gnocchi di nonna Alice</v>
      </c>
      <c r="M221">
        <f>_xlfn.XLOOKUP(tbl_FACTS[[#This Row],[ProductID]],Πίνακας7[ProductID],Πίνακας7[CategoryID])</f>
        <v>5</v>
      </c>
      <c r="N221" t="str">
        <f>_xlfn.XLOOKUP(tbl_FACTS[[#This Row],[CategoryID]],Πίνακας4[CategoryID],Πίνακας4[CategoryName])</f>
        <v>Grains/Cereals</v>
      </c>
      <c r="O221">
        <f>_xlfn.XLOOKUP(tbl_FACTS[[#This Row],[ProductID]],Πίνακας7[ProductID],Πίνακας7[SupplierID])</f>
        <v>26</v>
      </c>
      <c r="P221" t="str">
        <f>_xlfn.XLOOKUP(tbl_FACTS[[#This Row],[SupplierID]],Πίνακας9[SupplierID],Πίνακας9[SupplierName])</f>
        <v>Pasta Buttini s.r.l.</v>
      </c>
      <c r="Q221" s="21">
        <f>_xlfn.XLOOKUP(tbl_FACTS[[#This Row],[ProductID]],Πίνακας7[ProductID],Πίνακας7[Price])</f>
        <v>38</v>
      </c>
      <c r="R221" s="21">
        <f>tbl_FACTS[[#This Row],[Quantity]]*tbl_FACTS[[#This Row],[Price]]</f>
        <v>456</v>
      </c>
      <c r="S221" s="19">
        <f>IF(COUNTIFS(tbl_FACTS[OrderID],tbl_FACTS[[#This Row],[OrderID]],tbl_FACTS[OrderDetailID],"&lt;"&amp;tbl_FACTS[[#This Row],[OrderDetailID]])=0,1,0)</f>
        <v>0</v>
      </c>
      <c r="T221" s="19">
        <f>YEAR(tbl_FACTS[[#This Row],[OrderDate]])</f>
        <v>1996</v>
      </c>
      <c r="U221" s="22">
        <f>DATE(YEAR(tbl_FACTS[[#This Row],[OrderDate]]),MONTH(tbl_FACTS[[#This Row],[OrderDate]]),1)</f>
        <v>35339</v>
      </c>
      <c r="V221" s="22" t="str">
        <f>IF(tbl_FACTS[[#This Row],[Quantity]]&lt;=10,"0–10",IF(tbl_FACTS[[#This Row],[Quantity]]&lt;=20,"11–20",IF(tbl_FACTS[[#This Row],[Quantity]]&lt;=30,"21–30",IF(tbl_FACTS[[#This Row],[Quantity]]&lt;=40,"31–40",IF(tbl_FACTS[[#This Row],[Quantity]]&lt;=50,"41–50","51+")))))</f>
        <v>11–20</v>
      </c>
    </row>
    <row r="222" spans="1:22">
      <c r="A222">
        <v>221</v>
      </c>
      <c r="B222">
        <v>10330</v>
      </c>
      <c r="C222">
        <v>26</v>
      </c>
      <c r="D222" s="19">
        <v>50</v>
      </c>
      <c r="E222" s="20">
        <f>_xlfn.XLOOKUP(tbl_FACTS[[#This Row],[OrderID]],Πίνακας64[OrderID],Πίνακας64[OrderDate])</f>
        <v>35354</v>
      </c>
      <c r="F222">
        <f>_xlfn.XLOOKUP(tbl_FACTS[[#This Row],[OrderID]],Πίνακας64[OrderID],Πίνακας64[CustomerID])</f>
        <v>46</v>
      </c>
      <c r="G222" t="str">
        <f>_xlfn.XLOOKUP(tbl_FACTS[[#This Row],[CustomerID]],Πίνακας1[CustomerID],Πίνακας1[CustomerName])</f>
        <v>LILA-Supermercado</v>
      </c>
      <c r="H222" t="str">
        <f>_xlfn.XLOOKUP(tbl_FACTS[[#This Row],[CustomerID]],Πίνακας1[CustomerID],Πίνακας1[Country])</f>
        <v>Venezuela</v>
      </c>
      <c r="I222">
        <f>_xlfn.XLOOKUP(tbl_FACTS[[#This Row],[OrderID]],Πίνακας64[OrderID],Πίνακας64[EmployeeID])</f>
        <v>3</v>
      </c>
      <c r="J222">
        <f>_xlfn.XLOOKUP(tbl_FACTS[[#This Row],[OrderID]],Πίνακας64[OrderID],Πίνακας64[ShipperID])</f>
        <v>1</v>
      </c>
      <c r="K222" t="str">
        <f>_xlfn.XLOOKUP(tbl_FACTS[[#This Row],[ShipperID]],Πίνακας8[ShipperID],Πίνακας8[ShipperName])</f>
        <v>Speedy Express</v>
      </c>
      <c r="L222" t="str">
        <f>_xlfn.XLOOKUP(tbl_FACTS[[#This Row],[ProductID]],Πίνακας7[ProductID],Πίνακας7[ProductName])</f>
        <v>Gumbar Gummibarchen</v>
      </c>
      <c r="M222">
        <f>_xlfn.XLOOKUP(tbl_FACTS[[#This Row],[ProductID]],Πίνακας7[ProductID],Πίνακας7[CategoryID])</f>
        <v>3</v>
      </c>
      <c r="N222" t="str">
        <f>_xlfn.XLOOKUP(tbl_FACTS[[#This Row],[CategoryID]],Πίνακας4[CategoryID],Πίνακας4[CategoryName])</f>
        <v>Confections</v>
      </c>
      <c r="O222">
        <f>_xlfn.XLOOKUP(tbl_FACTS[[#This Row],[ProductID]],Πίνακας7[ProductID],Πίνακας7[SupplierID])</f>
        <v>11</v>
      </c>
      <c r="P222" t="str">
        <f>_xlfn.XLOOKUP(tbl_FACTS[[#This Row],[SupplierID]],Πίνακας9[SupplierID],Πίνακας9[SupplierName])</f>
        <v>Heli Su├ƒwaren GmbH &amp; Co. KG</v>
      </c>
      <c r="Q222" s="21">
        <f>_xlfn.XLOOKUP(tbl_FACTS[[#This Row],[ProductID]],Πίνακας7[ProductID],Πίνακας7[Price])</f>
        <v>31</v>
      </c>
      <c r="R222" s="21">
        <f>tbl_FACTS[[#This Row],[Quantity]]*tbl_FACTS[[#This Row],[Price]]</f>
        <v>1550</v>
      </c>
      <c r="S222" s="19">
        <f>IF(COUNTIFS(tbl_FACTS[OrderID],tbl_FACTS[[#This Row],[OrderID]],tbl_FACTS[OrderDetailID],"&lt;"&amp;tbl_FACTS[[#This Row],[OrderDetailID]])=0,1,0)</f>
        <v>1</v>
      </c>
      <c r="T222" s="19">
        <f>YEAR(tbl_FACTS[[#This Row],[OrderDate]])</f>
        <v>1996</v>
      </c>
      <c r="U222" s="22">
        <f>DATE(YEAR(tbl_FACTS[[#This Row],[OrderDate]]),MONTH(tbl_FACTS[[#This Row],[OrderDate]]),1)</f>
        <v>35339</v>
      </c>
      <c r="V222" s="22" t="str">
        <f>IF(tbl_FACTS[[#This Row],[Quantity]]&lt;=10,"0–10",IF(tbl_FACTS[[#This Row],[Quantity]]&lt;=20,"11–20",IF(tbl_FACTS[[#This Row],[Quantity]]&lt;=30,"21–30",IF(tbl_FACTS[[#This Row],[Quantity]]&lt;=40,"31–40",IF(tbl_FACTS[[#This Row],[Quantity]]&lt;=50,"41–50","51+")))))</f>
        <v>41–50</v>
      </c>
    </row>
    <row r="223" spans="1:22">
      <c r="A223">
        <v>222</v>
      </c>
      <c r="B223">
        <v>10330</v>
      </c>
      <c r="C223">
        <v>72</v>
      </c>
      <c r="D223" s="19">
        <v>25</v>
      </c>
      <c r="E223" s="20">
        <f>_xlfn.XLOOKUP(tbl_FACTS[[#This Row],[OrderID]],Πίνακας64[OrderID],Πίνακας64[OrderDate])</f>
        <v>35354</v>
      </c>
      <c r="F223">
        <f>_xlfn.XLOOKUP(tbl_FACTS[[#This Row],[OrderID]],Πίνακας64[OrderID],Πίνακας64[CustomerID])</f>
        <v>46</v>
      </c>
      <c r="G223" t="str">
        <f>_xlfn.XLOOKUP(tbl_FACTS[[#This Row],[CustomerID]],Πίνακας1[CustomerID],Πίνακας1[CustomerName])</f>
        <v>LILA-Supermercado</v>
      </c>
      <c r="H223" t="str">
        <f>_xlfn.XLOOKUP(tbl_FACTS[[#This Row],[CustomerID]],Πίνακας1[CustomerID],Πίνακας1[Country])</f>
        <v>Venezuela</v>
      </c>
      <c r="I223">
        <f>_xlfn.XLOOKUP(tbl_FACTS[[#This Row],[OrderID]],Πίνακας64[OrderID],Πίνακας64[EmployeeID])</f>
        <v>3</v>
      </c>
      <c r="J223">
        <f>_xlfn.XLOOKUP(tbl_FACTS[[#This Row],[OrderID]],Πίνακας64[OrderID],Πίνακας64[ShipperID])</f>
        <v>1</v>
      </c>
      <c r="K223" t="str">
        <f>_xlfn.XLOOKUP(tbl_FACTS[[#This Row],[ShipperID]],Πίνακας8[ShipperID],Πίνακας8[ShipperName])</f>
        <v>Speedy Express</v>
      </c>
      <c r="L223" t="str">
        <f>_xlfn.XLOOKUP(tbl_FACTS[[#This Row],[ProductID]],Πίνακας7[ProductID],Πίνακας7[ProductName])</f>
        <v>Mozzarella di Giovanni</v>
      </c>
      <c r="M223">
        <f>_xlfn.XLOOKUP(tbl_FACTS[[#This Row],[ProductID]],Πίνακας7[ProductID],Πίνακας7[CategoryID])</f>
        <v>4</v>
      </c>
      <c r="N223" t="str">
        <f>_xlfn.XLOOKUP(tbl_FACTS[[#This Row],[CategoryID]],Πίνακας4[CategoryID],Πίνακας4[CategoryName])</f>
        <v>Dairy Products</v>
      </c>
      <c r="O223">
        <f>_xlfn.XLOOKUP(tbl_FACTS[[#This Row],[ProductID]],Πίνακας7[ProductID],Πίνακας7[SupplierID])</f>
        <v>14</v>
      </c>
      <c r="P223" t="str">
        <f>_xlfn.XLOOKUP(tbl_FACTS[[#This Row],[SupplierID]],Πίνακας9[SupplierID],Πίνακας9[SupplierName])</f>
        <v>Formaggi Fortini s.r.l.</v>
      </c>
      <c r="Q223" s="21">
        <f>_xlfn.XLOOKUP(tbl_FACTS[[#This Row],[ProductID]],Πίνακας7[ProductID],Πίνακας7[Price])</f>
        <v>35</v>
      </c>
      <c r="R223" s="21">
        <f>tbl_FACTS[[#This Row],[Quantity]]*tbl_FACTS[[#This Row],[Price]]</f>
        <v>875</v>
      </c>
      <c r="S223" s="19">
        <f>IF(COUNTIFS(tbl_FACTS[OrderID],tbl_FACTS[[#This Row],[OrderID]],tbl_FACTS[OrderDetailID],"&lt;"&amp;tbl_FACTS[[#This Row],[OrderDetailID]])=0,1,0)</f>
        <v>0</v>
      </c>
      <c r="T223" s="19">
        <f>YEAR(tbl_FACTS[[#This Row],[OrderDate]])</f>
        <v>1996</v>
      </c>
      <c r="U223" s="22">
        <f>DATE(YEAR(tbl_FACTS[[#This Row],[OrderDate]]),MONTH(tbl_FACTS[[#This Row],[OrderDate]]),1)</f>
        <v>35339</v>
      </c>
      <c r="V223" s="22" t="str">
        <f>IF(tbl_FACTS[[#This Row],[Quantity]]&lt;=10,"0–10",IF(tbl_FACTS[[#This Row],[Quantity]]&lt;=20,"11–20",IF(tbl_FACTS[[#This Row],[Quantity]]&lt;=30,"21–30",IF(tbl_FACTS[[#This Row],[Quantity]]&lt;=40,"31–40",IF(tbl_FACTS[[#This Row],[Quantity]]&lt;=50,"41–50","51+")))))</f>
        <v>21–30</v>
      </c>
    </row>
    <row r="224" spans="1:22">
      <c r="A224">
        <v>223</v>
      </c>
      <c r="B224">
        <v>10331</v>
      </c>
      <c r="C224">
        <v>54</v>
      </c>
      <c r="D224" s="19">
        <v>15</v>
      </c>
      <c r="E224" s="20">
        <f>_xlfn.XLOOKUP(tbl_FACTS[[#This Row],[OrderID]],Πίνακας64[OrderID],Πίνακας64[OrderDate])</f>
        <v>35354</v>
      </c>
      <c r="F224">
        <f>_xlfn.XLOOKUP(tbl_FACTS[[#This Row],[OrderID]],Πίνακας64[OrderID],Πίνακας64[CustomerID])</f>
        <v>9</v>
      </c>
      <c r="G224" t="str">
        <f>_xlfn.XLOOKUP(tbl_FACTS[[#This Row],[CustomerID]],Πίνακας1[CustomerID],Πίνακας1[CustomerName])</f>
        <v>Bon app''</v>
      </c>
      <c r="H224" t="str">
        <f>_xlfn.XLOOKUP(tbl_FACTS[[#This Row],[CustomerID]],Πίνακας1[CustomerID],Πίνακας1[Country])</f>
        <v>France</v>
      </c>
      <c r="I224">
        <f>_xlfn.XLOOKUP(tbl_FACTS[[#This Row],[OrderID]],Πίνακας64[OrderID],Πίνακας64[EmployeeID])</f>
        <v>9</v>
      </c>
      <c r="J224">
        <f>_xlfn.XLOOKUP(tbl_FACTS[[#This Row],[OrderID]],Πίνακας64[OrderID],Πίνακας64[ShipperID])</f>
        <v>1</v>
      </c>
      <c r="K224" t="str">
        <f>_xlfn.XLOOKUP(tbl_FACTS[[#This Row],[ShipperID]],Πίνακας8[ShipperID],Πίνακας8[ShipperName])</f>
        <v>Speedy Express</v>
      </c>
      <c r="L224" t="str">
        <f>_xlfn.XLOOKUP(tbl_FACTS[[#This Row],[ProductID]],Πίνακας7[ProductID],Πίνακας7[ProductName])</f>
        <v>Tourtiere</v>
      </c>
      <c r="M224">
        <f>_xlfn.XLOOKUP(tbl_FACTS[[#This Row],[ProductID]],Πίνακας7[ProductID],Πίνακας7[CategoryID])</f>
        <v>6</v>
      </c>
      <c r="N224" t="str">
        <f>_xlfn.XLOOKUP(tbl_FACTS[[#This Row],[CategoryID]],Πίνακας4[CategoryID],Πίνακας4[CategoryName])</f>
        <v>Meat/Poultry</v>
      </c>
      <c r="O224">
        <f>_xlfn.XLOOKUP(tbl_FACTS[[#This Row],[ProductID]],Πίνακας7[ProductID],Πίνακας7[SupplierID])</f>
        <v>25</v>
      </c>
      <c r="P224" t="str">
        <f>_xlfn.XLOOKUP(tbl_FACTS[[#This Row],[SupplierID]],Πίνακας9[SupplierID],Πίνακας9[SupplierName])</f>
        <v>Ma Maison</v>
      </c>
      <c r="Q224" s="21">
        <f>_xlfn.XLOOKUP(tbl_FACTS[[#This Row],[ProductID]],Πίνακας7[ProductID],Πίνακας7[Price])</f>
        <v>7</v>
      </c>
      <c r="R224" s="21">
        <f>tbl_FACTS[[#This Row],[Quantity]]*tbl_FACTS[[#This Row],[Price]]</f>
        <v>105</v>
      </c>
      <c r="S224" s="19">
        <f>IF(COUNTIFS(tbl_FACTS[OrderID],tbl_FACTS[[#This Row],[OrderID]],tbl_FACTS[OrderDetailID],"&lt;"&amp;tbl_FACTS[[#This Row],[OrderDetailID]])=0,1,0)</f>
        <v>1</v>
      </c>
      <c r="T224" s="19">
        <f>YEAR(tbl_FACTS[[#This Row],[OrderDate]])</f>
        <v>1996</v>
      </c>
      <c r="U224" s="22">
        <f>DATE(YEAR(tbl_FACTS[[#This Row],[OrderDate]]),MONTH(tbl_FACTS[[#This Row],[OrderDate]]),1)</f>
        <v>35339</v>
      </c>
      <c r="V224" s="22" t="str">
        <f>IF(tbl_FACTS[[#This Row],[Quantity]]&lt;=10,"0–10",IF(tbl_FACTS[[#This Row],[Quantity]]&lt;=20,"11–20",IF(tbl_FACTS[[#This Row],[Quantity]]&lt;=30,"21–30",IF(tbl_FACTS[[#This Row],[Quantity]]&lt;=40,"31–40",IF(tbl_FACTS[[#This Row],[Quantity]]&lt;=50,"41–50","51+")))))</f>
        <v>11–20</v>
      </c>
    </row>
    <row r="225" spans="1:22">
      <c r="A225">
        <v>224</v>
      </c>
      <c r="B225">
        <v>10332</v>
      </c>
      <c r="C225">
        <v>18</v>
      </c>
      <c r="D225" s="19">
        <v>40</v>
      </c>
      <c r="E225" s="20">
        <f>_xlfn.XLOOKUP(tbl_FACTS[[#This Row],[OrderID]],Πίνακας64[OrderID],Πίνακας64[OrderDate])</f>
        <v>35355</v>
      </c>
      <c r="F225">
        <f>_xlfn.XLOOKUP(tbl_FACTS[[#This Row],[OrderID]],Πίνακας64[OrderID],Πίνακας64[CustomerID])</f>
        <v>51</v>
      </c>
      <c r="G225" t="str">
        <f>_xlfn.XLOOKUP(tbl_FACTS[[#This Row],[CustomerID]],Πίνακας1[CustomerID],Πίνακας1[CustomerName])</f>
        <v>Mere Paillarde</v>
      </c>
      <c r="H225" t="str">
        <f>_xlfn.XLOOKUP(tbl_FACTS[[#This Row],[CustomerID]],Πίνακας1[CustomerID],Πίνακας1[Country])</f>
        <v>Canada</v>
      </c>
      <c r="I225">
        <f>_xlfn.XLOOKUP(tbl_FACTS[[#This Row],[OrderID]],Πίνακας64[OrderID],Πίνακας64[EmployeeID])</f>
        <v>3</v>
      </c>
      <c r="J225">
        <f>_xlfn.XLOOKUP(tbl_FACTS[[#This Row],[OrderID]],Πίνακας64[OrderID],Πίνακας64[ShipperID])</f>
        <v>2</v>
      </c>
      <c r="K225" t="str">
        <f>_xlfn.XLOOKUP(tbl_FACTS[[#This Row],[ShipperID]],Πίνακας8[ShipperID],Πίνακας8[ShipperName])</f>
        <v>United Package</v>
      </c>
      <c r="L225" t="str">
        <f>_xlfn.XLOOKUP(tbl_FACTS[[#This Row],[ProductID]],Πίνακας7[ProductID],Πίνακας7[ProductName])</f>
        <v>Carnarvon Tigers</v>
      </c>
      <c r="M225">
        <f>_xlfn.XLOOKUP(tbl_FACTS[[#This Row],[ProductID]],Πίνακας7[ProductID],Πίνακας7[CategoryID])</f>
        <v>8</v>
      </c>
      <c r="N225" t="str">
        <f>_xlfn.XLOOKUP(tbl_FACTS[[#This Row],[CategoryID]],Πίνακας4[CategoryID],Πίνακας4[CategoryName])</f>
        <v>Seafood</v>
      </c>
      <c r="O225">
        <f>_xlfn.XLOOKUP(tbl_FACTS[[#This Row],[ProductID]],Πίνακας7[ProductID],Πίνακας7[SupplierID])</f>
        <v>7</v>
      </c>
      <c r="P225" t="str">
        <f>_xlfn.XLOOKUP(tbl_FACTS[[#This Row],[SupplierID]],Πίνακας9[SupplierID],Πίνακας9[SupplierName])</f>
        <v>Pavlova, Ltd.</v>
      </c>
      <c r="Q225" s="21">
        <f>_xlfn.XLOOKUP(tbl_FACTS[[#This Row],[ProductID]],Πίνακας7[ProductID],Πίνακας7[Price])</f>
        <v>63</v>
      </c>
      <c r="R225" s="21">
        <f>tbl_FACTS[[#This Row],[Quantity]]*tbl_FACTS[[#This Row],[Price]]</f>
        <v>2520</v>
      </c>
      <c r="S225" s="19">
        <f>IF(COUNTIFS(tbl_FACTS[OrderID],tbl_FACTS[[#This Row],[OrderID]],tbl_FACTS[OrderDetailID],"&lt;"&amp;tbl_FACTS[[#This Row],[OrderDetailID]])=0,1,0)</f>
        <v>1</v>
      </c>
      <c r="T225" s="19">
        <f>YEAR(tbl_FACTS[[#This Row],[OrderDate]])</f>
        <v>1996</v>
      </c>
      <c r="U225" s="22">
        <f>DATE(YEAR(tbl_FACTS[[#This Row],[OrderDate]]),MONTH(tbl_FACTS[[#This Row],[OrderDate]]),1)</f>
        <v>35339</v>
      </c>
      <c r="V225" s="22" t="str">
        <f>IF(tbl_FACTS[[#This Row],[Quantity]]&lt;=10,"0–10",IF(tbl_FACTS[[#This Row],[Quantity]]&lt;=20,"11–20",IF(tbl_FACTS[[#This Row],[Quantity]]&lt;=30,"21–30",IF(tbl_FACTS[[#This Row],[Quantity]]&lt;=40,"31–40",IF(tbl_FACTS[[#This Row],[Quantity]]&lt;=50,"41–50","51+")))))</f>
        <v>31–40</v>
      </c>
    </row>
    <row r="226" spans="1:22">
      <c r="A226">
        <v>225</v>
      </c>
      <c r="B226">
        <v>10332</v>
      </c>
      <c r="C226">
        <v>42</v>
      </c>
      <c r="D226" s="19">
        <v>10</v>
      </c>
      <c r="E226" s="20">
        <f>_xlfn.XLOOKUP(tbl_FACTS[[#This Row],[OrderID]],Πίνακας64[OrderID],Πίνακας64[OrderDate])</f>
        <v>35355</v>
      </c>
      <c r="F226">
        <f>_xlfn.XLOOKUP(tbl_FACTS[[#This Row],[OrderID]],Πίνακας64[OrderID],Πίνακας64[CustomerID])</f>
        <v>51</v>
      </c>
      <c r="G226" t="str">
        <f>_xlfn.XLOOKUP(tbl_FACTS[[#This Row],[CustomerID]],Πίνακας1[CustomerID],Πίνακας1[CustomerName])</f>
        <v>Mere Paillarde</v>
      </c>
      <c r="H226" t="str">
        <f>_xlfn.XLOOKUP(tbl_FACTS[[#This Row],[CustomerID]],Πίνακας1[CustomerID],Πίνακας1[Country])</f>
        <v>Canada</v>
      </c>
      <c r="I226">
        <f>_xlfn.XLOOKUP(tbl_FACTS[[#This Row],[OrderID]],Πίνακας64[OrderID],Πίνακας64[EmployeeID])</f>
        <v>3</v>
      </c>
      <c r="J226">
        <f>_xlfn.XLOOKUP(tbl_FACTS[[#This Row],[OrderID]],Πίνακας64[OrderID],Πίνακας64[ShipperID])</f>
        <v>2</v>
      </c>
      <c r="K226" t="str">
        <f>_xlfn.XLOOKUP(tbl_FACTS[[#This Row],[ShipperID]],Πίνακας8[ShipperID],Πίνακας8[ShipperName])</f>
        <v>United Package</v>
      </c>
      <c r="L226" t="str">
        <f>_xlfn.XLOOKUP(tbl_FACTS[[#This Row],[ProductID]],Πίνακας7[ProductID],Πίνακας7[ProductName])</f>
        <v>Singaporean Hokkien Fried Mee</v>
      </c>
      <c r="M226">
        <f>_xlfn.XLOOKUP(tbl_FACTS[[#This Row],[ProductID]],Πίνακας7[ProductID],Πίνακας7[CategoryID])</f>
        <v>5</v>
      </c>
      <c r="N226" t="str">
        <f>_xlfn.XLOOKUP(tbl_FACTS[[#This Row],[CategoryID]],Πίνακας4[CategoryID],Πίνακας4[CategoryName])</f>
        <v>Grains/Cereals</v>
      </c>
      <c r="O226">
        <f>_xlfn.XLOOKUP(tbl_FACTS[[#This Row],[ProductID]],Πίνακας7[ProductID],Πίνακας7[SupplierID])</f>
        <v>20</v>
      </c>
      <c r="P226" t="str">
        <f>_xlfn.XLOOKUP(tbl_FACTS[[#This Row],[SupplierID]],Πίνακας9[SupplierID],Πίνακας9[SupplierName])</f>
        <v>Leka Trading</v>
      </c>
      <c r="Q226" s="21">
        <f>_xlfn.XLOOKUP(tbl_FACTS[[#This Row],[ProductID]],Πίνακας7[ProductID],Πίνακας7[Price])</f>
        <v>14</v>
      </c>
      <c r="R226" s="21">
        <f>tbl_FACTS[[#This Row],[Quantity]]*tbl_FACTS[[#This Row],[Price]]</f>
        <v>140</v>
      </c>
      <c r="S226" s="19">
        <f>IF(COUNTIFS(tbl_FACTS[OrderID],tbl_FACTS[[#This Row],[OrderID]],tbl_FACTS[OrderDetailID],"&lt;"&amp;tbl_FACTS[[#This Row],[OrderDetailID]])=0,1,0)</f>
        <v>0</v>
      </c>
      <c r="T226" s="19">
        <f>YEAR(tbl_FACTS[[#This Row],[OrderDate]])</f>
        <v>1996</v>
      </c>
      <c r="U226" s="22">
        <f>DATE(YEAR(tbl_FACTS[[#This Row],[OrderDate]]),MONTH(tbl_FACTS[[#This Row],[OrderDate]]),1)</f>
        <v>35339</v>
      </c>
      <c r="V226" s="22" t="str">
        <f>IF(tbl_FACTS[[#This Row],[Quantity]]&lt;=10,"0–10",IF(tbl_FACTS[[#This Row],[Quantity]]&lt;=20,"11–20",IF(tbl_FACTS[[#This Row],[Quantity]]&lt;=30,"21–30",IF(tbl_FACTS[[#This Row],[Quantity]]&lt;=40,"31–40",IF(tbl_FACTS[[#This Row],[Quantity]]&lt;=50,"41–50","51+")))))</f>
        <v>0–10</v>
      </c>
    </row>
    <row r="227" spans="1:22">
      <c r="A227">
        <v>226</v>
      </c>
      <c r="B227">
        <v>10332</v>
      </c>
      <c r="C227">
        <v>47</v>
      </c>
      <c r="D227" s="19">
        <v>16</v>
      </c>
      <c r="E227" s="20">
        <f>_xlfn.XLOOKUP(tbl_FACTS[[#This Row],[OrderID]],Πίνακας64[OrderID],Πίνακας64[OrderDate])</f>
        <v>35355</v>
      </c>
      <c r="F227">
        <f>_xlfn.XLOOKUP(tbl_FACTS[[#This Row],[OrderID]],Πίνακας64[OrderID],Πίνακας64[CustomerID])</f>
        <v>51</v>
      </c>
      <c r="G227" t="str">
        <f>_xlfn.XLOOKUP(tbl_FACTS[[#This Row],[CustomerID]],Πίνακας1[CustomerID],Πίνακας1[CustomerName])</f>
        <v>Mere Paillarde</v>
      </c>
      <c r="H227" t="str">
        <f>_xlfn.XLOOKUP(tbl_FACTS[[#This Row],[CustomerID]],Πίνακας1[CustomerID],Πίνακας1[Country])</f>
        <v>Canada</v>
      </c>
      <c r="I227">
        <f>_xlfn.XLOOKUP(tbl_FACTS[[#This Row],[OrderID]],Πίνακας64[OrderID],Πίνακας64[EmployeeID])</f>
        <v>3</v>
      </c>
      <c r="J227">
        <f>_xlfn.XLOOKUP(tbl_FACTS[[#This Row],[OrderID]],Πίνακας64[OrderID],Πίνακας64[ShipperID])</f>
        <v>2</v>
      </c>
      <c r="K227" t="str">
        <f>_xlfn.XLOOKUP(tbl_FACTS[[#This Row],[ShipperID]],Πίνακας8[ShipperID],Πίνακας8[ShipperName])</f>
        <v>United Package</v>
      </c>
      <c r="L227" t="str">
        <f>_xlfn.XLOOKUP(tbl_FACTS[[#This Row],[ProductID]],Πίνακας7[ProductID],Πίνακας7[ProductName])</f>
        <v>Zaanse koeken</v>
      </c>
      <c r="M227">
        <f>_xlfn.XLOOKUP(tbl_FACTS[[#This Row],[ProductID]],Πίνακας7[ProductID],Πίνακας7[CategoryID])</f>
        <v>3</v>
      </c>
      <c r="N227" t="str">
        <f>_xlfn.XLOOKUP(tbl_FACTS[[#This Row],[CategoryID]],Πίνακας4[CategoryID],Πίνακας4[CategoryName])</f>
        <v>Confections</v>
      </c>
      <c r="O227">
        <f>_xlfn.XLOOKUP(tbl_FACTS[[#This Row],[ProductID]],Πίνακας7[ProductID],Πίνακας7[SupplierID])</f>
        <v>22</v>
      </c>
      <c r="P227" t="str">
        <f>_xlfn.XLOOKUP(tbl_FACTS[[#This Row],[SupplierID]],Πίνακας9[SupplierID],Πίνακας9[SupplierName])</f>
        <v>Zaanse Snoepfabriek</v>
      </c>
      <c r="Q227" s="21">
        <f>_xlfn.XLOOKUP(tbl_FACTS[[#This Row],[ProductID]],Πίνακας7[ProductID],Πίνακας7[Price])</f>
        <v>10</v>
      </c>
      <c r="R227" s="21">
        <f>tbl_FACTS[[#This Row],[Quantity]]*tbl_FACTS[[#This Row],[Price]]</f>
        <v>160</v>
      </c>
      <c r="S227" s="19">
        <f>IF(COUNTIFS(tbl_FACTS[OrderID],tbl_FACTS[[#This Row],[OrderID]],tbl_FACTS[OrderDetailID],"&lt;"&amp;tbl_FACTS[[#This Row],[OrderDetailID]])=0,1,0)</f>
        <v>0</v>
      </c>
      <c r="T227" s="19">
        <f>YEAR(tbl_FACTS[[#This Row],[OrderDate]])</f>
        <v>1996</v>
      </c>
      <c r="U227" s="22">
        <f>DATE(YEAR(tbl_FACTS[[#This Row],[OrderDate]]),MONTH(tbl_FACTS[[#This Row],[OrderDate]]),1)</f>
        <v>35339</v>
      </c>
      <c r="V227" s="22" t="str">
        <f>IF(tbl_FACTS[[#This Row],[Quantity]]&lt;=10,"0–10",IF(tbl_FACTS[[#This Row],[Quantity]]&lt;=20,"11–20",IF(tbl_FACTS[[#This Row],[Quantity]]&lt;=30,"21–30",IF(tbl_FACTS[[#This Row],[Quantity]]&lt;=40,"31–40",IF(tbl_FACTS[[#This Row],[Quantity]]&lt;=50,"41–50","51+")))))</f>
        <v>11–20</v>
      </c>
    </row>
    <row r="228" spans="1:22">
      <c r="A228">
        <v>227</v>
      </c>
      <c r="B228">
        <v>10333</v>
      </c>
      <c r="C228">
        <v>14</v>
      </c>
      <c r="D228" s="19">
        <v>10</v>
      </c>
      <c r="E228" s="20">
        <f>_xlfn.XLOOKUP(tbl_FACTS[[#This Row],[OrderID]],Πίνακας64[OrderID],Πίνακας64[OrderDate])</f>
        <v>35356</v>
      </c>
      <c r="F228">
        <f>_xlfn.XLOOKUP(tbl_FACTS[[#This Row],[OrderID]],Πίνακας64[OrderID],Πίνακας64[CustomerID])</f>
        <v>87</v>
      </c>
      <c r="G228" t="str">
        <f>_xlfn.XLOOKUP(tbl_FACTS[[#This Row],[CustomerID]],Πίνακας1[CustomerID],Πίνακας1[CustomerName])</f>
        <v>Wartian Herkku</v>
      </c>
      <c r="H228" t="str">
        <f>_xlfn.XLOOKUP(tbl_FACTS[[#This Row],[CustomerID]],Πίνακας1[CustomerID],Πίνακας1[Country])</f>
        <v>Finland</v>
      </c>
      <c r="I228">
        <f>_xlfn.XLOOKUP(tbl_FACTS[[#This Row],[OrderID]],Πίνακας64[OrderID],Πίνακας64[EmployeeID])</f>
        <v>5</v>
      </c>
      <c r="J228">
        <f>_xlfn.XLOOKUP(tbl_FACTS[[#This Row],[OrderID]],Πίνακας64[OrderID],Πίνακας64[ShipperID])</f>
        <v>3</v>
      </c>
      <c r="K228" t="str">
        <f>_xlfn.XLOOKUP(tbl_FACTS[[#This Row],[ShipperID]],Πίνακας8[ShipperID],Πίνακας8[ShipperName])</f>
        <v>Federal Shipping</v>
      </c>
      <c r="L228" t="str">
        <f>_xlfn.XLOOKUP(tbl_FACTS[[#This Row],[ProductID]],Πίνακας7[ProductID],Πίνακας7[ProductName])</f>
        <v>Tofu</v>
      </c>
      <c r="M228">
        <f>_xlfn.XLOOKUP(tbl_FACTS[[#This Row],[ProductID]],Πίνακας7[ProductID],Πίνακας7[CategoryID])</f>
        <v>7</v>
      </c>
      <c r="N228" t="str">
        <f>_xlfn.XLOOKUP(tbl_FACTS[[#This Row],[CategoryID]],Πίνακας4[CategoryID],Πίνακας4[CategoryName])</f>
        <v>Produce</v>
      </c>
      <c r="O228">
        <f>_xlfn.XLOOKUP(tbl_FACTS[[#This Row],[ProductID]],Πίνακας7[ProductID],Πίνακας7[SupplierID])</f>
        <v>6</v>
      </c>
      <c r="P228" t="str">
        <f>_xlfn.XLOOKUP(tbl_FACTS[[#This Row],[SupplierID]],Πίνακας9[SupplierID],Πίνακας9[SupplierName])</f>
        <v>Mayumi's</v>
      </c>
      <c r="Q228" s="21">
        <f>_xlfn.XLOOKUP(tbl_FACTS[[#This Row],[ProductID]],Πίνακας7[ProductID],Πίνακας7[Price])</f>
        <v>23</v>
      </c>
      <c r="R228" s="21">
        <f>tbl_FACTS[[#This Row],[Quantity]]*tbl_FACTS[[#This Row],[Price]]</f>
        <v>230</v>
      </c>
      <c r="S228" s="19">
        <f>IF(COUNTIFS(tbl_FACTS[OrderID],tbl_FACTS[[#This Row],[OrderID]],tbl_FACTS[OrderDetailID],"&lt;"&amp;tbl_FACTS[[#This Row],[OrderDetailID]])=0,1,0)</f>
        <v>1</v>
      </c>
      <c r="T228" s="19">
        <f>YEAR(tbl_FACTS[[#This Row],[OrderDate]])</f>
        <v>1996</v>
      </c>
      <c r="U228" s="22">
        <f>DATE(YEAR(tbl_FACTS[[#This Row],[OrderDate]]),MONTH(tbl_FACTS[[#This Row],[OrderDate]]),1)</f>
        <v>35339</v>
      </c>
      <c r="V228" s="22" t="str">
        <f>IF(tbl_FACTS[[#This Row],[Quantity]]&lt;=10,"0–10",IF(tbl_FACTS[[#This Row],[Quantity]]&lt;=20,"11–20",IF(tbl_FACTS[[#This Row],[Quantity]]&lt;=30,"21–30",IF(tbl_FACTS[[#This Row],[Quantity]]&lt;=40,"31–40",IF(tbl_FACTS[[#This Row],[Quantity]]&lt;=50,"41–50","51+")))))</f>
        <v>0–10</v>
      </c>
    </row>
    <row r="229" spans="1:22">
      <c r="A229">
        <v>228</v>
      </c>
      <c r="B229">
        <v>10333</v>
      </c>
      <c r="C229">
        <v>21</v>
      </c>
      <c r="D229" s="19">
        <v>10</v>
      </c>
      <c r="E229" s="20">
        <f>_xlfn.XLOOKUP(tbl_FACTS[[#This Row],[OrderID]],Πίνακας64[OrderID],Πίνακας64[OrderDate])</f>
        <v>35356</v>
      </c>
      <c r="F229">
        <f>_xlfn.XLOOKUP(tbl_FACTS[[#This Row],[OrderID]],Πίνακας64[OrderID],Πίνακας64[CustomerID])</f>
        <v>87</v>
      </c>
      <c r="G229" t="str">
        <f>_xlfn.XLOOKUP(tbl_FACTS[[#This Row],[CustomerID]],Πίνακας1[CustomerID],Πίνακας1[CustomerName])</f>
        <v>Wartian Herkku</v>
      </c>
      <c r="H229" t="str">
        <f>_xlfn.XLOOKUP(tbl_FACTS[[#This Row],[CustomerID]],Πίνακας1[CustomerID],Πίνακας1[Country])</f>
        <v>Finland</v>
      </c>
      <c r="I229">
        <f>_xlfn.XLOOKUP(tbl_FACTS[[#This Row],[OrderID]],Πίνακας64[OrderID],Πίνακας64[EmployeeID])</f>
        <v>5</v>
      </c>
      <c r="J229">
        <f>_xlfn.XLOOKUP(tbl_FACTS[[#This Row],[OrderID]],Πίνακας64[OrderID],Πίνακας64[ShipperID])</f>
        <v>3</v>
      </c>
      <c r="K229" t="str">
        <f>_xlfn.XLOOKUP(tbl_FACTS[[#This Row],[ShipperID]],Πίνακας8[ShipperID],Πίνακας8[ShipperName])</f>
        <v>Federal Shipping</v>
      </c>
      <c r="L229" t="str">
        <f>_xlfn.XLOOKUP(tbl_FACTS[[#This Row],[ProductID]],Πίνακας7[ProductID],Πίνακας7[ProductName])</f>
        <v>Sir Rodney's Scones</v>
      </c>
      <c r="M229">
        <f>_xlfn.XLOOKUP(tbl_FACTS[[#This Row],[ProductID]],Πίνακας7[ProductID],Πίνακας7[CategoryID])</f>
        <v>3</v>
      </c>
      <c r="N229" t="str">
        <f>_xlfn.XLOOKUP(tbl_FACTS[[#This Row],[CategoryID]],Πίνακας4[CategoryID],Πίνακας4[CategoryName])</f>
        <v>Confections</v>
      </c>
      <c r="O229">
        <f>_xlfn.XLOOKUP(tbl_FACTS[[#This Row],[ProductID]],Πίνακας7[ProductID],Πίνακας7[SupplierID])</f>
        <v>8</v>
      </c>
      <c r="P229" t="str">
        <f>_xlfn.XLOOKUP(tbl_FACTS[[#This Row],[SupplierID]],Πίνακας9[SupplierID],Πίνακας9[SupplierName])</f>
        <v>Specialty Biscuits, Ltd.</v>
      </c>
      <c r="Q229" s="21">
        <f>_xlfn.XLOOKUP(tbl_FACTS[[#This Row],[ProductID]],Πίνακας7[ProductID],Πίνακας7[Price])</f>
        <v>10</v>
      </c>
      <c r="R229" s="21">
        <f>tbl_FACTS[[#This Row],[Quantity]]*tbl_FACTS[[#This Row],[Price]]</f>
        <v>100</v>
      </c>
      <c r="S229" s="19">
        <f>IF(COUNTIFS(tbl_FACTS[OrderID],tbl_FACTS[[#This Row],[OrderID]],tbl_FACTS[OrderDetailID],"&lt;"&amp;tbl_FACTS[[#This Row],[OrderDetailID]])=0,1,0)</f>
        <v>0</v>
      </c>
      <c r="T229" s="19">
        <f>YEAR(tbl_FACTS[[#This Row],[OrderDate]])</f>
        <v>1996</v>
      </c>
      <c r="U229" s="22">
        <f>DATE(YEAR(tbl_FACTS[[#This Row],[OrderDate]]),MONTH(tbl_FACTS[[#This Row],[OrderDate]]),1)</f>
        <v>35339</v>
      </c>
      <c r="V229" s="22" t="str">
        <f>IF(tbl_FACTS[[#This Row],[Quantity]]&lt;=10,"0–10",IF(tbl_FACTS[[#This Row],[Quantity]]&lt;=20,"11–20",IF(tbl_FACTS[[#This Row],[Quantity]]&lt;=30,"21–30",IF(tbl_FACTS[[#This Row],[Quantity]]&lt;=40,"31–40",IF(tbl_FACTS[[#This Row],[Quantity]]&lt;=50,"41–50","51+")))))</f>
        <v>0–10</v>
      </c>
    </row>
    <row r="230" spans="1:22">
      <c r="A230">
        <v>229</v>
      </c>
      <c r="B230">
        <v>10333</v>
      </c>
      <c r="C230">
        <v>71</v>
      </c>
      <c r="D230" s="19">
        <v>40</v>
      </c>
      <c r="E230" s="20">
        <f>_xlfn.XLOOKUP(tbl_FACTS[[#This Row],[OrderID]],Πίνακας64[OrderID],Πίνακας64[OrderDate])</f>
        <v>35356</v>
      </c>
      <c r="F230">
        <f>_xlfn.XLOOKUP(tbl_FACTS[[#This Row],[OrderID]],Πίνακας64[OrderID],Πίνακας64[CustomerID])</f>
        <v>87</v>
      </c>
      <c r="G230" t="str">
        <f>_xlfn.XLOOKUP(tbl_FACTS[[#This Row],[CustomerID]],Πίνακας1[CustomerID],Πίνακας1[CustomerName])</f>
        <v>Wartian Herkku</v>
      </c>
      <c r="H230" t="str">
        <f>_xlfn.XLOOKUP(tbl_FACTS[[#This Row],[CustomerID]],Πίνακας1[CustomerID],Πίνακας1[Country])</f>
        <v>Finland</v>
      </c>
      <c r="I230">
        <f>_xlfn.XLOOKUP(tbl_FACTS[[#This Row],[OrderID]],Πίνακας64[OrderID],Πίνακας64[EmployeeID])</f>
        <v>5</v>
      </c>
      <c r="J230">
        <f>_xlfn.XLOOKUP(tbl_FACTS[[#This Row],[OrderID]],Πίνακας64[OrderID],Πίνακας64[ShipperID])</f>
        <v>3</v>
      </c>
      <c r="K230" t="str">
        <f>_xlfn.XLOOKUP(tbl_FACTS[[#This Row],[ShipperID]],Πίνακας8[ShipperID],Πίνακας8[ShipperName])</f>
        <v>Federal Shipping</v>
      </c>
      <c r="L230" t="str">
        <f>_xlfn.XLOOKUP(tbl_FACTS[[#This Row],[ProductID]],Πίνακας7[ProductID],Πίνακας7[ProductName])</f>
        <v>Fl├©temysost</v>
      </c>
      <c r="M230">
        <f>_xlfn.XLOOKUP(tbl_FACTS[[#This Row],[ProductID]],Πίνακας7[ProductID],Πίνακας7[CategoryID])</f>
        <v>4</v>
      </c>
      <c r="N230" t="str">
        <f>_xlfn.XLOOKUP(tbl_FACTS[[#This Row],[CategoryID]],Πίνακας4[CategoryID],Πίνακας4[CategoryName])</f>
        <v>Dairy Products</v>
      </c>
      <c r="O230">
        <f>_xlfn.XLOOKUP(tbl_FACTS[[#This Row],[ProductID]],Πίνακας7[ProductID],Πίνακας7[SupplierID])</f>
        <v>15</v>
      </c>
      <c r="P230" t="str">
        <f>_xlfn.XLOOKUP(tbl_FACTS[[#This Row],[SupplierID]],Πίνακας9[SupplierID],Πίνακας9[SupplierName])</f>
        <v>Norske Meierier</v>
      </c>
      <c r="Q230" s="21">
        <f>_xlfn.XLOOKUP(tbl_FACTS[[#This Row],[ProductID]],Πίνακας7[ProductID],Πίνακας7[Price])</f>
        <v>22</v>
      </c>
      <c r="R230" s="21">
        <f>tbl_FACTS[[#This Row],[Quantity]]*tbl_FACTS[[#This Row],[Price]]</f>
        <v>880</v>
      </c>
      <c r="S230" s="19">
        <f>IF(COUNTIFS(tbl_FACTS[OrderID],tbl_FACTS[[#This Row],[OrderID]],tbl_FACTS[OrderDetailID],"&lt;"&amp;tbl_FACTS[[#This Row],[OrderDetailID]])=0,1,0)</f>
        <v>0</v>
      </c>
      <c r="T230" s="19">
        <f>YEAR(tbl_FACTS[[#This Row],[OrderDate]])</f>
        <v>1996</v>
      </c>
      <c r="U230" s="22">
        <f>DATE(YEAR(tbl_FACTS[[#This Row],[OrderDate]]),MONTH(tbl_FACTS[[#This Row],[OrderDate]]),1)</f>
        <v>35339</v>
      </c>
      <c r="V230" s="22" t="str">
        <f>IF(tbl_FACTS[[#This Row],[Quantity]]&lt;=10,"0–10",IF(tbl_FACTS[[#This Row],[Quantity]]&lt;=20,"11–20",IF(tbl_FACTS[[#This Row],[Quantity]]&lt;=30,"21–30",IF(tbl_FACTS[[#This Row],[Quantity]]&lt;=40,"31–40",IF(tbl_FACTS[[#This Row],[Quantity]]&lt;=50,"41–50","51+")))))</f>
        <v>31–40</v>
      </c>
    </row>
    <row r="231" spans="1:22">
      <c r="A231">
        <v>230</v>
      </c>
      <c r="B231">
        <v>10334</v>
      </c>
      <c r="C231">
        <v>52</v>
      </c>
      <c r="D231" s="19">
        <v>8</v>
      </c>
      <c r="E231" s="20">
        <f>_xlfn.XLOOKUP(tbl_FACTS[[#This Row],[OrderID]],Πίνακας64[OrderID],Πίνακας64[OrderDate])</f>
        <v>35359</v>
      </c>
      <c r="F231">
        <f>_xlfn.XLOOKUP(tbl_FACTS[[#This Row],[OrderID]],Πίνακας64[OrderID],Πίνακας64[CustomerID])</f>
        <v>84</v>
      </c>
      <c r="G231" t="str">
        <f>_xlfn.XLOOKUP(tbl_FACTS[[#This Row],[CustomerID]],Πίνακας1[CustomerID],Πίνακας1[CustomerName])</f>
        <v>Victuailles en stock</v>
      </c>
      <c r="H231" t="str">
        <f>_xlfn.XLOOKUP(tbl_FACTS[[#This Row],[CustomerID]],Πίνακας1[CustomerID],Πίνακας1[Country])</f>
        <v>France</v>
      </c>
      <c r="I231">
        <f>_xlfn.XLOOKUP(tbl_FACTS[[#This Row],[OrderID]],Πίνακας64[OrderID],Πίνακας64[EmployeeID])</f>
        <v>8</v>
      </c>
      <c r="J231">
        <f>_xlfn.XLOOKUP(tbl_FACTS[[#This Row],[OrderID]],Πίνακας64[OrderID],Πίνακας64[ShipperID])</f>
        <v>2</v>
      </c>
      <c r="K231" t="str">
        <f>_xlfn.XLOOKUP(tbl_FACTS[[#This Row],[ShipperID]],Πίνακας8[ShipperID],Πίνακας8[ShipperName])</f>
        <v>United Package</v>
      </c>
      <c r="L231" t="str">
        <f>_xlfn.XLOOKUP(tbl_FACTS[[#This Row],[ProductID]],Πίνακας7[ProductID],Πίνακας7[ProductName])</f>
        <v>Filo Mix</v>
      </c>
      <c r="M231">
        <f>_xlfn.XLOOKUP(tbl_FACTS[[#This Row],[ProductID]],Πίνακας7[ProductID],Πίνακας7[CategoryID])</f>
        <v>5</v>
      </c>
      <c r="N231" t="str">
        <f>_xlfn.XLOOKUP(tbl_FACTS[[#This Row],[CategoryID]],Πίνακας4[CategoryID],Πίνακας4[CategoryName])</f>
        <v>Grains/Cereals</v>
      </c>
      <c r="O231">
        <f>_xlfn.XLOOKUP(tbl_FACTS[[#This Row],[ProductID]],Πίνακας7[ProductID],Πίνακας7[SupplierID])</f>
        <v>24</v>
      </c>
      <c r="P231" t="str">
        <f>_xlfn.XLOOKUP(tbl_FACTS[[#This Row],[SupplierID]],Πίνακας9[SupplierID],Πίνακας9[SupplierName])</f>
        <v>G'day, Mate</v>
      </c>
      <c r="Q231" s="21">
        <f>_xlfn.XLOOKUP(tbl_FACTS[[#This Row],[ProductID]],Πίνακας7[ProductID],Πίνακας7[Price])</f>
        <v>7</v>
      </c>
      <c r="R231" s="21">
        <f>tbl_FACTS[[#This Row],[Quantity]]*tbl_FACTS[[#This Row],[Price]]</f>
        <v>56</v>
      </c>
      <c r="S231" s="19">
        <f>IF(COUNTIFS(tbl_FACTS[OrderID],tbl_FACTS[[#This Row],[OrderID]],tbl_FACTS[OrderDetailID],"&lt;"&amp;tbl_FACTS[[#This Row],[OrderDetailID]])=0,1,0)</f>
        <v>1</v>
      </c>
      <c r="T231" s="19">
        <f>YEAR(tbl_FACTS[[#This Row],[OrderDate]])</f>
        <v>1996</v>
      </c>
      <c r="U231" s="22">
        <f>DATE(YEAR(tbl_FACTS[[#This Row],[OrderDate]]),MONTH(tbl_FACTS[[#This Row],[OrderDate]]),1)</f>
        <v>35339</v>
      </c>
      <c r="V231" s="22" t="str">
        <f>IF(tbl_FACTS[[#This Row],[Quantity]]&lt;=10,"0–10",IF(tbl_FACTS[[#This Row],[Quantity]]&lt;=20,"11–20",IF(tbl_FACTS[[#This Row],[Quantity]]&lt;=30,"21–30",IF(tbl_FACTS[[#This Row],[Quantity]]&lt;=40,"31–40",IF(tbl_FACTS[[#This Row],[Quantity]]&lt;=50,"41–50","51+")))))</f>
        <v>0–10</v>
      </c>
    </row>
    <row r="232" spans="1:22">
      <c r="A232">
        <v>231</v>
      </c>
      <c r="B232">
        <v>10334</v>
      </c>
      <c r="C232">
        <v>68</v>
      </c>
      <c r="D232" s="19">
        <v>10</v>
      </c>
      <c r="E232" s="20">
        <f>_xlfn.XLOOKUP(tbl_FACTS[[#This Row],[OrderID]],Πίνακας64[OrderID],Πίνακας64[OrderDate])</f>
        <v>35359</v>
      </c>
      <c r="F232">
        <f>_xlfn.XLOOKUP(tbl_FACTS[[#This Row],[OrderID]],Πίνακας64[OrderID],Πίνακας64[CustomerID])</f>
        <v>84</v>
      </c>
      <c r="G232" t="str">
        <f>_xlfn.XLOOKUP(tbl_FACTS[[#This Row],[CustomerID]],Πίνακας1[CustomerID],Πίνακας1[CustomerName])</f>
        <v>Victuailles en stock</v>
      </c>
      <c r="H232" t="str">
        <f>_xlfn.XLOOKUP(tbl_FACTS[[#This Row],[CustomerID]],Πίνακας1[CustomerID],Πίνακας1[Country])</f>
        <v>France</v>
      </c>
      <c r="I232">
        <f>_xlfn.XLOOKUP(tbl_FACTS[[#This Row],[OrderID]],Πίνακας64[OrderID],Πίνακας64[EmployeeID])</f>
        <v>8</v>
      </c>
      <c r="J232">
        <f>_xlfn.XLOOKUP(tbl_FACTS[[#This Row],[OrderID]],Πίνακας64[OrderID],Πίνακας64[ShipperID])</f>
        <v>2</v>
      </c>
      <c r="K232" t="str">
        <f>_xlfn.XLOOKUP(tbl_FACTS[[#This Row],[ShipperID]],Πίνακας8[ShipperID],Πίνακας8[ShipperName])</f>
        <v>United Package</v>
      </c>
      <c r="L232" t="str">
        <f>_xlfn.XLOOKUP(tbl_FACTS[[#This Row],[ProductID]],Πίνακας7[ProductID],Πίνακας7[ProductName])</f>
        <v>Scottish Longbreads</v>
      </c>
      <c r="M232">
        <f>_xlfn.XLOOKUP(tbl_FACTS[[#This Row],[ProductID]],Πίνακας7[ProductID],Πίνακας7[CategoryID])</f>
        <v>3</v>
      </c>
      <c r="N232" t="str">
        <f>_xlfn.XLOOKUP(tbl_FACTS[[#This Row],[CategoryID]],Πίνακας4[CategoryID],Πίνακας4[CategoryName])</f>
        <v>Confections</v>
      </c>
      <c r="O232">
        <f>_xlfn.XLOOKUP(tbl_FACTS[[#This Row],[ProductID]],Πίνακας7[ProductID],Πίνακας7[SupplierID])</f>
        <v>8</v>
      </c>
      <c r="P232" t="str">
        <f>_xlfn.XLOOKUP(tbl_FACTS[[#This Row],[SupplierID]],Πίνακας9[SupplierID],Πίνακας9[SupplierName])</f>
        <v>Specialty Biscuits, Ltd.</v>
      </c>
      <c r="Q232" s="21">
        <f>_xlfn.XLOOKUP(tbl_FACTS[[#This Row],[ProductID]],Πίνακας7[ProductID],Πίνακας7[Price])</f>
        <v>13</v>
      </c>
      <c r="R232" s="21">
        <f>tbl_FACTS[[#This Row],[Quantity]]*tbl_FACTS[[#This Row],[Price]]</f>
        <v>130</v>
      </c>
      <c r="S232" s="19">
        <f>IF(COUNTIFS(tbl_FACTS[OrderID],tbl_FACTS[[#This Row],[OrderID]],tbl_FACTS[OrderDetailID],"&lt;"&amp;tbl_FACTS[[#This Row],[OrderDetailID]])=0,1,0)</f>
        <v>0</v>
      </c>
      <c r="T232" s="19">
        <f>YEAR(tbl_FACTS[[#This Row],[OrderDate]])</f>
        <v>1996</v>
      </c>
      <c r="U232" s="22">
        <f>DATE(YEAR(tbl_FACTS[[#This Row],[OrderDate]]),MONTH(tbl_FACTS[[#This Row],[OrderDate]]),1)</f>
        <v>35339</v>
      </c>
      <c r="V232" s="22" t="str">
        <f>IF(tbl_FACTS[[#This Row],[Quantity]]&lt;=10,"0–10",IF(tbl_FACTS[[#This Row],[Quantity]]&lt;=20,"11–20",IF(tbl_FACTS[[#This Row],[Quantity]]&lt;=30,"21–30",IF(tbl_FACTS[[#This Row],[Quantity]]&lt;=40,"31–40",IF(tbl_FACTS[[#This Row],[Quantity]]&lt;=50,"41–50","51+")))))</f>
        <v>0–10</v>
      </c>
    </row>
    <row r="233" spans="1:22">
      <c r="A233">
        <v>232</v>
      </c>
      <c r="B233">
        <v>10335</v>
      </c>
      <c r="C233">
        <v>2</v>
      </c>
      <c r="D233" s="19">
        <v>7</v>
      </c>
      <c r="E233" s="20">
        <f>_xlfn.XLOOKUP(tbl_FACTS[[#This Row],[OrderID]],Πίνακας64[OrderID],Πίνακας64[OrderDate])</f>
        <v>35360</v>
      </c>
      <c r="F233">
        <f>_xlfn.XLOOKUP(tbl_FACTS[[#This Row],[OrderID]],Πίνακας64[OrderID],Πίνακας64[CustomerID])</f>
        <v>37</v>
      </c>
      <c r="G233" t="str">
        <f>_xlfn.XLOOKUP(tbl_FACTS[[#This Row],[CustomerID]],Πίνακας1[CustomerID],Πίνακας1[CustomerName])</f>
        <v>Hungry Owl All-Night Grocers</v>
      </c>
      <c r="H233" t="str">
        <f>_xlfn.XLOOKUP(tbl_FACTS[[#This Row],[CustomerID]],Πίνακας1[CustomerID],Πίνακας1[Country])</f>
        <v>Ireland</v>
      </c>
      <c r="I233">
        <f>_xlfn.XLOOKUP(tbl_FACTS[[#This Row],[OrderID]],Πίνακας64[OrderID],Πίνακας64[EmployeeID])</f>
        <v>7</v>
      </c>
      <c r="J233">
        <f>_xlfn.XLOOKUP(tbl_FACTS[[#This Row],[OrderID]],Πίνακας64[OrderID],Πίνακας64[ShipperID])</f>
        <v>2</v>
      </c>
      <c r="K233" t="str">
        <f>_xlfn.XLOOKUP(tbl_FACTS[[#This Row],[ShipperID]],Πίνακας8[ShipperID],Πίνακας8[ShipperName])</f>
        <v>United Package</v>
      </c>
      <c r="L233" t="str">
        <f>_xlfn.XLOOKUP(tbl_FACTS[[#This Row],[ProductID]],Πίνακας7[ProductID],Πίνακας7[ProductName])</f>
        <v>Chang</v>
      </c>
      <c r="M233">
        <f>_xlfn.XLOOKUP(tbl_FACTS[[#This Row],[ProductID]],Πίνακας7[ProductID],Πίνακας7[CategoryID])</f>
        <v>1</v>
      </c>
      <c r="N233" t="str">
        <f>_xlfn.XLOOKUP(tbl_FACTS[[#This Row],[CategoryID]],Πίνακας4[CategoryID],Πίνακας4[CategoryName])</f>
        <v>Beverages</v>
      </c>
      <c r="O233">
        <f>_xlfn.XLOOKUP(tbl_FACTS[[#This Row],[ProductID]],Πίνακας7[ProductID],Πίνακας7[SupplierID])</f>
        <v>1</v>
      </c>
      <c r="P233" t="str">
        <f>_xlfn.XLOOKUP(tbl_FACTS[[#This Row],[SupplierID]],Πίνακας9[SupplierID],Πίνακας9[SupplierName])</f>
        <v>Exotic Liquid</v>
      </c>
      <c r="Q233" s="21">
        <f>_xlfn.XLOOKUP(tbl_FACTS[[#This Row],[ProductID]],Πίνακας7[ProductID],Πίνακας7[Price])</f>
        <v>19</v>
      </c>
      <c r="R233" s="21">
        <f>tbl_FACTS[[#This Row],[Quantity]]*tbl_FACTS[[#This Row],[Price]]</f>
        <v>133</v>
      </c>
      <c r="S233" s="19">
        <f>IF(COUNTIFS(tbl_FACTS[OrderID],tbl_FACTS[[#This Row],[OrderID]],tbl_FACTS[OrderDetailID],"&lt;"&amp;tbl_FACTS[[#This Row],[OrderDetailID]])=0,1,0)</f>
        <v>1</v>
      </c>
      <c r="T233" s="19">
        <f>YEAR(tbl_FACTS[[#This Row],[OrderDate]])</f>
        <v>1996</v>
      </c>
      <c r="U233" s="22">
        <f>DATE(YEAR(tbl_FACTS[[#This Row],[OrderDate]]),MONTH(tbl_FACTS[[#This Row],[OrderDate]]),1)</f>
        <v>35339</v>
      </c>
      <c r="V233" s="22" t="str">
        <f>IF(tbl_FACTS[[#This Row],[Quantity]]&lt;=10,"0–10",IF(tbl_FACTS[[#This Row],[Quantity]]&lt;=20,"11–20",IF(tbl_FACTS[[#This Row],[Quantity]]&lt;=30,"21–30",IF(tbl_FACTS[[#This Row],[Quantity]]&lt;=40,"31–40",IF(tbl_FACTS[[#This Row],[Quantity]]&lt;=50,"41–50","51+")))))</f>
        <v>0–10</v>
      </c>
    </row>
    <row r="234" spans="1:22">
      <c r="A234">
        <v>233</v>
      </c>
      <c r="B234">
        <v>10335</v>
      </c>
      <c r="C234">
        <v>31</v>
      </c>
      <c r="D234" s="19">
        <v>25</v>
      </c>
      <c r="E234" s="20">
        <f>_xlfn.XLOOKUP(tbl_FACTS[[#This Row],[OrderID]],Πίνακας64[OrderID],Πίνακας64[OrderDate])</f>
        <v>35360</v>
      </c>
      <c r="F234">
        <f>_xlfn.XLOOKUP(tbl_FACTS[[#This Row],[OrderID]],Πίνακας64[OrderID],Πίνακας64[CustomerID])</f>
        <v>37</v>
      </c>
      <c r="G234" t="str">
        <f>_xlfn.XLOOKUP(tbl_FACTS[[#This Row],[CustomerID]],Πίνακας1[CustomerID],Πίνακας1[CustomerName])</f>
        <v>Hungry Owl All-Night Grocers</v>
      </c>
      <c r="H234" t="str">
        <f>_xlfn.XLOOKUP(tbl_FACTS[[#This Row],[CustomerID]],Πίνακας1[CustomerID],Πίνακας1[Country])</f>
        <v>Ireland</v>
      </c>
      <c r="I234">
        <f>_xlfn.XLOOKUP(tbl_FACTS[[#This Row],[OrderID]],Πίνακας64[OrderID],Πίνακας64[EmployeeID])</f>
        <v>7</v>
      </c>
      <c r="J234">
        <f>_xlfn.XLOOKUP(tbl_FACTS[[#This Row],[OrderID]],Πίνακας64[OrderID],Πίνακας64[ShipperID])</f>
        <v>2</v>
      </c>
      <c r="K234" t="str">
        <f>_xlfn.XLOOKUP(tbl_FACTS[[#This Row],[ShipperID]],Πίνακας8[ShipperID],Πίνακας8[ShipperName])</f>
        <v>United Package</v>
      </c>
      <c r="L234" t="str">
        <f>_xlfn.XLOOKUP(tbl_FACTS[[#This Row],[ProductID]],Πίνακας7[ProductID],Πίνακας7[ProductName])</f>
        <v>Gorgonzola Telino</v>
      </c>
      <c r="M234">
        <f>_xlfn.XLOOKUP(tbl_FACTS[[#This Row],[ProductID]],Πίνακας7[ProductID],Πίνακας7[CategoryID])</f>
        <v>4</v>
      </c>
      <c r="N234" t="str">
        <f>_xlfn.XLOOKUP(tbl_FACTS[[#This Row],[CategoryID]],Πίνακας4[CategoryID],Πίνακας4[CategoryName])</f>
        <v>Dairy Products</v>
      </c>
      <c r="O234">
        <f>_xlfn.XLOOKUP(tbl_FACTS[[#This Row],[ProductID]],Πίνακας7[ProductID],Πίνακας7[SupplierID])</f>
        <v>14</v>
      </c>
      <c r="P234" t="str">
        <f>_xlfn.XLOOKUP(tbl_FACTS[[#This Row],[SupplierID]],Πίνακας9[SupplierID],Πίνακας9[SupplierName])</f>
        <v>Formaggi Fortini s.r.l.</v>
      </c>
      <c r="Q234" s="21">
        <f>_xlfn.XLOOKUP(tbl_FACTS[[#This Row],[ProductID]],Πίνακας7[ProductID],Πίνακας7[Price])</f>
        <v>13</v>
      </c>
      <c r="R234" s="21">
        <f>tbl_FACTS[[#This Row],[Quantity]]*tbl_FACTS[[#This Row],[Price]]</f>
        <v>325</v>
      </c>
      <c r="S234" s="19">
        <f>IF(COUNTIFS(tbl_FACTS[OrderID],tbl_FACTS[[#This Row],[OrderID]],tbl_FACTS[OrderDetailID],"&lt;"&amp;tbl_FACTS[[#This Row],[OrderDetailID]])=0,1,0)</f>
        <v>0</v>
      </c>
      <c r="T234" s="19">
        <f>YEAR(tbl_FACTS[[#This Row],[OrderDate]])</f>
        <v>1996</v>
      </c>
      <c r="U234" s="22">
        <f>DATE(YEAR(tbl_FACTS[[#This Row],[OrderDate]]),MONTH(tbl_FACTS[[#This Row],[OrderDate]]),1)</f>
        <v>35339</v>
      </c>
      <c r="V234" s="22" t="str">
        <f>IF(tbl_FACTS[[#This Row],[Quantity]]&lt;=10,"0–10",IF(tbl_FACTS[[#This Row],[Quantity]]&lt;=20,"11–20",IF(tbl_FACTS[[#This Row],[Quantity]]&lt;=30,"21–30",IF(tbl_FACTS[[#This Row],[Quantity]]&lt;=40,"31–40",IF(tbl_FACTS[[#This Row],[Quantity]]&lt;=50,"41–50","51+")))))</f>
        <v>21–30</v>
      </c>
    </row>
    <row r="235" spans="1:22">
      <c r="A235">
        <v>234</v>
      </c>
      <c r="B235">
        <v>10335</v>
      </c>
      <c r="C235">
        <v>32</v>
      </c>
      <c r="D235" s="19">
        <v>6</v>
      </c>
      <c r="E235" s="20">
        <f>_xlfn.XLOOKUP(tbl_FACTS[[#This Row],[OrderID]],Πίνακας64[OrderID],Πίνακας64[OrderDate])</f>
        <v>35360</v>
      </c>
      <c r="F235">
        <f>_xlfn.XLOOKUP(tbl_FACTS[[#This Row],[OrderID]],Πίνακας64[OrderID],Πίνακας64[CustomerID])</f>
        <v>37</v>
      </c>
      <c r="G235" t="str">
        <f>_xlfn.XLOOKUP(tbl_FACTS[[#This Row],[CustomerID]],Πίνακας1[CustomerID],Πίνακας1[CustomerName])</f>
        <v>Hungry Owl All-Night Grocers</v>
      </c>
      <c r="H235" t="str">
        <f>_xlfn.XLOOKUP(tbl_FACTS[[#This Row],[CustomerID]],Πίνακας1[CustomerID],Πίνακας1[Country])</f>
        <v>Ireland</v>
      </c>
      <c r="I235">
        <f>_xlfn.XLOOKUP(tbl_FACTS[[#This Row],[OrderID]],Πίνακας64[OrderID],Πίνακας64[EmployeeID])</f>
        <v>7</v>
      </c>
      <c r="J235">
        <f>_xlfn.XLOOKUP(tbl_FACTS[[#This Row],[OrderID]],Πίνακας64[OrderID],Πίνακας64[ShipperID])</f>
        <v>2</v>
      </c>
      <c r="K235" t="str">
        <f>_xlfn.XLOOKUP(tbl_FACTS[[#This Row],[ShipperID]],Πίνακας8[ShipperID],Πίνακας8[ShipperName])</f>
        <v>United Package</v>
      </c>
      <c r="L235" t="str">
        <f>_xlfn.XLOOKUP(tbl_FACTS[[#This Row],[ProductID]],Πίνακας7[ProductID],Πίνακας7[ProductName])</f>
        <v>Mascarpone Fabioli</v>
      </c>
      <c r="M235">
        <f>_xlfn.XLOOKUP(tbl_FACTS[[#This Row],[ProductID]],Πίνακας7[ProductID],Πίνακας7[CategoryID])</f>
        <v>4</v>
      </c>
      <c r="N235" t="str">
        <f>_xlfn.XLOOKUP(tbl_FACTS[[#This Row],[CategoryID]],Πίνακας4[CategoryID],Πίνακας4[CategoryName])</f>
        <v>Dairy Products</v>
      </c>
      <c r="O235">
        <f>_xlfn.XLOOKUP(tbl_FACTS[[#This Row],[ProductID]],Πίνακας7[ProductID],Πίνακας7[SupplierID])</f>
        <v>14</v>
      </c>
      <c r="P235" t="str">
        <f>_xlfn.XLOOKUP(tbl_FACTS[[#This Row],[SupplierID]],Πίνακας9[SupplierID],Πίνακας9[SupplierName])</f>
        <v>Formaggi Fortini s.r.l.</v>
      </c>
      <c r="Q235" s="21">
        <f>_xlfn.XLOOKUP(tbl_FACTS[[#This Row],[ProductID]],Πίνακας7[ProductID],Πίνακας7[Price])</f>
        <v>32</v>
      </c>
      <c r="R235" s="21">
        <f>tbl_FACTS[[#This Row],[Quantity]]*tbl_FACTS[[#This Row],[Price]]</f>
        <v>192</v>
      </c>
      <c r="S235" s="19">
        <f>IF(COUNTIFS(tbl_FACTS[OrderID],tbl_FACTS[[#This Row],[OrderID]],tbl_FACTS[OrderDetailID],"&lt;"&amp;tbl_FACTS[[#This Row],[OrderDetailID]])=0,1,0)</f>
        <v>0</v>
      </c>
      <c r="T235" s="19">
        <f>YEAR(tbl_FACTS[[#This Row],[OrderDate]])</f>
        <v>1996</v>
      </c>
      <c r="U235" s="22">
        <f>DATE(YEAR(tbl_FACTS[[#This Row],[OrderDate]]),MONTH(tbl_FACTS[[#This Row],[OrderDate]]),1)</f>
        <v>35339</v>
      </c>
      <c r="V235" s="22" t="str">
        <f>IF(tbl_FACTS[[#This Row],[Quantity]]&lt;=10,"0–10",IF(tbl_FACTS[[#This Row],[Quantity]]&lt;=20,"11–20",IF(tbl_FACTS[[#This Row],[Quantity]]&lt;=30,"21–30",IF(tbl_FACTS[[#This Row],[Quantity]]&lt;=40,"31–40",IF(tbl_FACTS[[#This Row],[Quantity]]&lt;=50,"41–50","51+")))))</f>
        <v>0–10</v>
      </c>
    </row>
    <row r="236" spans="1:22">
      <c r="A236">
        <v>235</v>
      </c>
      <c r="B236">
        <v>10335</v>
      </c>
      <c r="C236">
        <v>51</v>
      </c>
      <c r="D236" s="19">
        <v>48</v>
      </c>
      <c r="E236" s="20">
        <f>_xlfn.XLOOKUP(tbl_FACTS[[#This Row],[OrderID]],Πίνακας64[OrderID],Πίνακας64[OrderDate])</f>
        <v>35360</v>
      </c>
      <c r="F236">
        <f>_xlfn.XLOOKUP(tbl_FACTS[[#This Row],[OrderID]],Πίνακας64[OrderID],Πίνακας64[CustomerID])</f>
        <v>37</v>
      </c>
      <c r="G236" t="str">
        <f>_xlfn.XLOOKUP(tbl_FACTS[[#This Row],[CustomerID]],Πίνακας1[CustomerID],Πίνακας1[CustomerName])</f>
        <v>Hungry Owl All-Night Grocers</v>
      </c>
      <c r="H236" t="str">
        <f>_xlfn.XLOOKUP(tbl_FACTS[[#This Row],[CustomerID]],Πίνακας1[CustomerID],Πίνακας1[Country])</f>
        <v>Ireland</v>
      </c>
      <c r="I236">
        <f>_xlfn.XLOOKUP(tbl_FACTS[[#This Row],[OrderID]],Πίνακας64[OrderID],Πίνακας64[EmployeeID])</f>
        <v>7</v>
      </c>
      <c r="J236">
        <f>_xlfn.XLOOKUP(tbl_FACTS[[#This Row],[OrderID]],Πίνακας64[OrderID],Πίνακας64[ShipperID])</f>
        <v>2</v>
      </c>
      <c r="K236" t="str">
        <f>_xlfn.XLOOKUP(tbl_FACTS[[#This Row],[ShipperID]],Πίνακας8[ShipperID],Πίνακας8[ShipperName])</f>
        <v>United Package</v>
      </c>
      <c r="L236" t="str">
        <f>_xlfn.XLOOKUP(tbl_FACTS[[#This Row],[ProductID]],Πίνακας7[ProductID],Πίνακας7[ProductName])</f>
        <v>Manjimup Dried Apples</v>
      </c>
      <c r="M236">
        <f>_xlfn.XLOOKUP(tbl_FACTS[[#This Row],[ProductID]],Πίνακας7[ProductID],Πίνακας7[CategoryID])</f>
        <v>7</v>
      </c>
      <c r="N236" t="str">
        <f>_xlfn.XLOOKUP(tbl_FACTS[[#This Row],[CategoryID]],Πίνακας4[CategoryID],Πίνακας4[CategoryName])</f>
        <v>Produce</v>
      </c>
      <c r="O236">
        <f>_xlfn.XLOOKUP(tbl_FACTS[[#This Row],[ProductID]],Πίνακας7[ProductID],Πίνακας7[SupplierID])</f>
        <v>24</v>
      </c>
      <c r="P236" t="str">
        <f>_xlfn.XLOOKUP(tbl_FACTS[[#This Row],[SupplierID]],Πίνακας9[SupplierID],Πίνακας9[SupplierName])</f>
        <v>G'day, Mate</v>
      </c>
      <c r="Q236" s="21">
        <f>_xlfn.XLOOKUP(tbl_FACTS[[#This Row],[ProductID]],Πίνακας7[ProductID],Πίνακας7[Price])</f>
        <v>53</v>
      </c>
      <c r="R236" s="21">
        <f>tbl_FACTS[[#This Row],[Quantity]]*tbl_FACTS[[#This Row],[Price]]</f>
        <v>2544</v>
      </c>
      <c r="S236" s="19">
        <f>IF(COUNTIFS(tbl_FACTS[OrderID],tbl_FACTS[[#This Row],[OrderID]],tbl_FACTS[OrderDetailID],"&lt;"&amp;tbl_FACTS[[#This Row],[OrderDetailID]])=0,1,0)</f>
        <v>0</v>
      </c>
      <c r="T236" s="19">
        <f>YEAR(tbl_FACTS[[#This Row],[OrderDate]])</f>
        <v>1996</v>
      </c>
      <c r="U236" s="22">
        <f>DATE(YEAR(tbl_FACTS[[#This Row],[OrderDate]]),MONTH(tbl_FACTS[[#This Row],[OrderDate]]),1)</f>
        <v>35339</v>
      </c>
      <c r="V236" s="22" t="str">
        <f>IF(tbl_FACTS[[#This Row],[Quantity]]&lt;=10,"0–10",IF(tbl_FACTS[[#This Row],[Quantity]]&lt;=20,"11–20",IF(tbl_FACTS[[#This Row],[Quantity]]&lt;=30,"21–30",IF(tbl_FACTS[[#This Row],[Quantity]]&lt;=40,"31–40",IF(tbl_FACTS[[#This Row],[Quantity]]&lt;=50,"41–50","51+")))))</f>
        <v>41–50</v>
      </c>
    </row>
    <row r="237" spans="1:22">
      <c r="A237">
        <v>236</v>
      </c>
      <c r="B237">
        <v>10336</v>
      </c>
      <c r="C237">
        <v>4</v>
      </c>
      <c r="D237" s="19">
        <v>18</v>
      </c>
      <c r="E237" s="20">
        <f>_xlfn.XLOOKUP(tbl_FACTS[[#This Row],[OrderID]],Πίνακας64[OrderID],Πίνακας64[OrderDate])</f>
        <v>35361</v>
      </c>
      <c r="F237">
        <f>_xlfn.XLOOKUP(tbl_FACTS[[#This Row],[OrderID]],Πίνακας64[OrderID],Πίνακας64[CustomerID])</f>
        <v>60</v>
      </c>
      <c r="G237" t="str">
        <f>_xlfn.XLOOKUP(tbl_FACTS[[#This Row],[CustomerID]],Πίνακας1[CustomerID],Πίνακας1[CustomerName])</f>
        <v>Princesa Isabel Vinhoss</v>
      </c>
      <c r="H237" t="str">
        <f>_xlfn.XLOOKUP(tbl_FACTS[[#This Row],[CustomerID]],Πίνακας1[CustomerID],Πίνακας1[Country])</f>
        <v>Portugal</v>
      </c>
      <c r="I237">
        <f>_xlfn.XLOOKUP(tbl_FACTS[[#This Row],[OrderID]],Πίνακας64[OrderID],Πίνακας64[EmployeeID])</f>
        <v>7</v>
      </c>
      <c r="J237">
        <f>_xlfn.XLOOKUP(tbl_FACTS[[#This Row],[OrderID]],Πίνακας64[OrderID],Πίνακας64[ShipperID])</f>
        <v>2</v>
      </c>
      <c r="K237" t="str">
        <f>_xlfn.XLOOKUP(tbl_FACTS[[#This Row],[ShipperID]],Πίνακας8[ShipperID],Πίνακας8[ShipperName])</f>
        <v>United Package</v>
      </c>
      <c r="L237" t="str">
        <f>_xlfn.XLOOKUP(tbl_FACTS[[#This Row],[ProductID]],Πίνακας7[ProductID],Πίνακας7[ProductName])</f>
        <v>Chef Anton's Cajun Seasoning</v>
      </c>
      <c r="M237">
        <f>_xlfn.XLOOKUP(tbl_FACTS[[#This Row],[ProductID]],Πίνακας7[ProductID],Πίνακας7[CategoryID])</f>
        <v>2</v>
      </c>
      <c r="N237" t="str">
        <f>_xlfn.XLOOKUP(tbl_FACTS[[#This Row],[CategoryID]],Πίνακας4[CategoryID],Πίνακας4[CategoryName])</f>
        <v>Condiments</v>
      </c>
      <c r="O237">
        <f>_xlfn.XLOOKUP(tbl_FACTS[[#This Row],[ProductID]],Πίνακας7[ProductID],Πίνακας7[SupplierID])</f>
        <v>2</v>
      </c>
      <c r="P237" t="str">
        <f>_xlfn.XLOOKUP(tbl_FACTS[[#This Row],[SupplierID]],Πίνακας9[SupplierID],Πίνακας9[SupplierName])</f>
        <v>New Orleans Cajun Delights</v>
      </c>
      <c r="Q237" s="21">
        <f>_xlfn.XLOOKUP(tbl_FACTS[[#This Row],[ProductID]],Πίνακας7[ProductID],Πίνακας7[Price])</f>
        <v>22</v>
      </c>
      <c r="R237" s="21">
        <f>tbl_FACTS[[#This Row],[Quantity]]*tbl_FACTS[[#This Row],[Price]]</f>
        <v>396</v>
      </c>
      <c r="S237" s="19">
        <f>IF(COUNTIFS(tbl_FACTS[OrderID],tbl_FACTS[[#This Row],[OrderID]],tbl_FACTS[OrderDetailID],"&lt;"&amp;tbl_FACTS[[#This Row],[OrderDetailID]])=0,1,0)</f>
        <v>1</v>
      </c>
      <c r="T237" s="19">
        <f>YEAR(tbl_FACTS[[#This Row],[OrderDate]])</f>
        <v>1996</v>
      </c>
      <c r="U237" s="22">
        <f>DATE(YEAR(tbl_FACTS[[#This Row],[OrderDate]]),MONTH(tbl_FACTS[[#This Row],[OrderDate]]),1)</f>
        <v>35339</v>
      </c>
      <c r="V237" s="22" t="str">
        <f>IF(tbl_FACTS[[#This Row],[Quantity]]&lt;=10,"0–10",IF(tbl_FACTS[[#This Row],[Quantity]]&lt;=20,"11–20",IF(tbl_FACTS[[#This Row],[Quantity]]&lt;=30,"21–30",IF(tbl_FACTS[[#This Row],[Quantity]]&lt;=40,"31–40",IF(tbl_FACTS[[#This Row],[Quantity]]&lt;=50,"41–50","51+")))))</f>
        <v>11–20</v>
      </c>
    </row>
    <row r="238" spans="1:22">
      <c r="A238">
        <v>237</v>
      </c>
      <c r="B238">
        <v>10337</v>
      </c>
      <c r="C238">
        <v>23</v>
      </c>
      <c r="D238" s="19">
        <v>40</v>
      </c>
      <c r="E238" s="20">
        <f>_xlfn.XLOOKUP(tbl_FACTS[[#This Row],[OrderID]],Πίνακας64[OrderID],Πίνακας64[OrderDate])</f>
        <v>35362</v>
      </c>
      <c r="F238">
        <f>_xlfn.XLOOKUP(tbl_FACTS[[#This Row],[OrderID]],Πίνακας64[OrderID],Πίνακας64[CustomerID])</f>
        <v>25</v>
      </c>
      <c r="G238" t="str">
        <f>_xlfn.XLOOKUP(tbl_FACTS[[#This Row],[CustomerID]],Πίνακας1[CustomerID],Πίνακας1[CustomerName])</f>
        <v>Frankenversand</v>
      </c>
      <c r="H238" t="str">
        <f>_xlfn.XLOOKUP(tbl_FACTS[[#This Row],[CustomerID]],Πίνακας1[CustomerID],Πίνακας1[Country])</f>
        <v>Germany</v>
      </c>
      <c r="I238">
        <f>_xlfn.XLOOKUP(tbl_FACTS[[#This Row],[OrderID]],Πίνακας64[OrderID],Πίνακας64[EmployeeID])</f>
        <v>4</v>
      </c>
      <c r="J238">
        <f>_xlfn.XLOOKUP(tbl_FACTS[[#This Row],[OrderID]],Πίνακας64[OrderID],Πίνακας64[ShipperID])</f>
        <v>3</v>
      </c>
      <c r="K238" t="str">
        <f>_xlfn.XLOOKUP(tbl_FACTS[[#This Row],[ShipperID]],Πίνακας8[ShipperID],Πίνακας8[ShipperName])</f>
        <v>Federal Shipping</v>
      </c>
      <c r="L238" t="str">
        <f>_xlfn.XLOOKUP(tbl_FACTS[[#This Row],[ProductID]],Πίνακας7[ProductID],Πίνακας7[ProductName])</f>
        <v>Tunnbrod</v>
      </c>
      <c r="M238">
        <f>_xlfn.XLOOKUP(tbl_FACTS[[#This Row],[ProductID]],Πίνακας7[ProductID],Πίνακας7[CategoryID])</f>
        <v>5</v>
      </c>
      <c r="N238" t="str">
        <f>_xlfn.XLOOKUP(tbl_FACTS[[#This Row],[CategoryID]],Πίνακας4[CategoryID],Πίνακας4[CategoryName])</f>
        <v>Grains/Cereals</v>
      </c>
      <c r="O238">
        <f>_xlfn.XLOOKUP(tbl_FACTS[[#This Row],[ProductID]],Πίνακας7[ProductID],Πίνακας7[SupplierID])</f>
        <v>9</v>
      </c>
      <c r="P238" t="str">
        <f>_xlfn.XLOOKUP(tbl_FACTS[[#This Row],[SupplierID]],Πίνακας9[SupplierID],Πίνακας9[SupplierName])</f>
        <v>PB Knackebrod AB</v>
      </c>
      <c r="Q238" s="21">
        <f>_xlfn.XLOOKUP(tbl_FACTS[[#This Row],[ProductID]],Πίνακας7[ProductID],Πίνακας7[Price])</f>
        <v>9</v>
      </c>
      <c r="R238" s="21">
        <f>tbl_FACTS[[#This Row],[Quantity]]*tbl_FACTS[[#This Row],[Price]]</f>
        <v>360</v>
      </c>
      <c r="S238" s="19">
        <f>IF(COUNTIFS(tbl_FACTS[OrderID],tbl_FACTS[[#This Row],[OrderID]],tbl_FACTS[OrderDetailID],"&lt;"&amp;tbl_FACTS[[#This Row],[OrderDetailID]])=0,1,0)</f>
        <v>1</v>
      </c>
      <c r="T238" s="19">
        <f>YEAR(tbl_FACTS[[#This Row],[OrderDate]])</f>
        <v>1996</v>
      </c>
      <c r="U238" s="22">
        <f>DATE(YEAR(tbl_FACTS[[#This Row],[OrderDate]]),MONTH(tbl_FACTS[[#This Row],[OrderDate]]),1)</f>
        <v>35339</v>
      </c>
      <c r="V238" s="22" t="str">
        <f>IF(tbl_FACTS[[#This Row],[Quantity]]&lt;=10,"0–10",IF(tbl_FACTS[[#This Row],[Quantity]]&lt;=20,"11–20",IF(tbl_FACTS[[#This Row],[Quantity]]&lt;=30,"21–30",IF(tbl_FACTS[[#This Row],[Quantity]]&lt;=40,"31–40",IF(tbl_FACTS[[#This Row],[Quantity]]&lt;=50,"41–50","51+")))))</f>
        <v>31–40</v>
      </c>
    </row>
    <row r="239" spans="1:22">
      <c r="A239">
        <v>238</v>
      </c>
      <c r="B239">
        <v>10337</v>
      </c>
      <c r="C239">
        <v>26</v>
      </c>
      <c r="D239" s="19">
        <v>24</v>
      </c>
      <c r="E239" s="20">
        <f>_xlfn.XLOOKUP(tbl_FACTS[[#This Row],[OrderID]],Πίνακας64[OrderID],Πίνακας64[OrderDate])</f>
        <v>35362</v>
      </c>
      <c r="F239">
        <f>_xlfn.XLOOKUP(tbl_FACTS[[#This Row],[OrderID]],Πίνακας64[OrderID],Πίνακας64[CustomerID])</f>
        <v>25</v>
      </c>
      <c r="G239" t="str">
        <f>_xlfn.XLOOKUP(tbl_FACTS[[#This Row],[CustomerID]],Πίνακας1[CustomerID],Πίνακας1[CustomerName])</f>
        <v>Frankenversand</v>
      </c>
      <c r="H239" t="str">
        <f>_xlfn.XLOOKUP(tbl_FACTS[[#This Row],[CustomerID]],Πίνακας1[CustomerID],Πίνακας1[Country])</f>
        <v>Germany</v>
      </c>
      <c r="I239">
        <f>_xlfn.XLOOKUP(tbl_FACTS[[#This Row],[OrderID]],Πίνακας64[OrderID],Πίνακας64[EmployeeID])</f>
        <v>4</v>
      </c>
      <c r="J239">
        <f>_xlfn.XLOOKUP(tbl_FACTS[[#This Row],[OrderID]],Πίνακας64[OrderID],Πίνακας64[ShipperID])</f>
        <v>3</v>
      </c>
      <c r="K239" t="str">
        <f>_xlfn.XLOOKUP(tbl_FACTS[[#This Row],[ShipperID]],Πίνακας8[ShipperID],Πίνακας8[ShipperName])</f>
        <v>Federal Shipping</v>
      </c>
      <c r="L239" t="str">
        <f>_xlfn.XLOOKUP(tbl_FACTS[[#This Row],[ProductID]],Πίνακας7[ProductID],Πίνακας7[ProductName])</f>
        <v>Gumbar Gummibarchen</v>
      </c>
      <c r="M239">
        <f>_xlfn.XLOOKUP(tbl_FACTS[[#This Row],[ProductID]],Πίνακας7[ProductID],Πίνακας7[CategoryID])</f>
        <v>3</v>
      </c>
      <c r="N239" t="str">
        <f>_xlfn.XLOOKUP(tbl_FACTS[[#This Row],[CategoryID]],Πίνακας4[CategoryID],Πίνακας4[CategoryName])</f>
        <v>Confections</v>
      </c>
      <c r="O239">
        <f>_xlfn.XLOOKUP(tbl_FACTS[[#This Row],[ProductID]],Πίνακας7[ProductID],Πίνακας7[SupplierID])</f>
        <v>11</v>
      </c>
      <c r="P239" t="str">
        <f>_xlfn.XLOOKUP(tbl_FACTS[[#This Row],[SupplierID]],Πίνακας9[SupplierID],Πίνακας9[SupplierName])</f>
        <v>Heli Su├ƒwaren GmbH &amp; Co. KG</v>
      </c>
      <c r="Q239" s="21">
        <f>_xlfn.XLOOKUP(tbl_FACTS[[#This Row],[ProductID]],Πίνακας7[ProductID],Πίνακας7[Price])</f>
        <v>31</v>
      </c>
      <c r="R239" s="21">
        <f>tbl_FACTS[[#This Row],[Quantity]]*tbl_FACTS[[#This Row],[Price]]</f>
        <v>744</v>
      </c>
      <c r="S239" s="19">
        <f>IF(COUNTIFS(tbl_FACTS[OrderID],tbl_FACTS[[#This Row],[OrderID]],tbl_FACTS[OrderDetailID],"&lt;"&amp;tbl_FACTS[[#This Row],[OrderDetailID]])=0,1,0)</f>
        <v>0</v>
      </c>
      <c r="T239" s="19">
        <f>YEAR(tbl_FACTS[[#This Row],[OrderDate]])</f>
        <v>1996</v>
      </c>
      <c r="U239" s="22">
        <f>DATE(YEAR(tbl_FACTS[[#This Row],[OrderDate]]),MONTH(tbl_FACTS[[#This Row],[OrderDate]]),1)</f>
        <v>35339</v>
      </c>
      <c r="V239" s="22" t="str">
        <f>IF(tbl_FACTS[[#This Row],[Quantity]]&lt;=10,"0–10",IF(tbl_FACTS[[#This Row],[Quantity]]&lt;=20,"11–20",IF(tbl_FACTS[[#This Row],[Quantity]]&lt;=30,"21–30",IF(tbl_FACTS[[#This Row],[Quantity]]&lt;=40,"31–40",IF(tbl_FACTS[[#This Row],[Quantity]]&lt;=50,"41–50","51+")))))</f>
        <v>21–30</v>
      </c>
    </row>
    <row r="240" spans="1:22">
      <c r="A240">
        <v>239</v>
      </c>
      <c r="B240">
        <v>10337</v>
      </c>
      <c r="C240">
        <v>36</v>
      </c>
      <c r="D240" s="19">
        <v>20</v>
      </c>
      <c r="E240" s="20">
        <f>_xlfn.XLOOKUP(tbl_FACTS[[#This Row],[OrderID]],Πίνακας64[OrderID],Πίνακας64[OrderDate])</f>
        <v>35362</v>
      </c>
      <c r="F240">
        <f>_xlfn.XLOOKUP(tbl_FACTS[[#This Row],[OrderID]],Πίνακας64[OrderID],Πίνακας64[CustomerID])</f>
        <v>25</v>
      </c>
      <c r="G240" t="str">
        <f>_xlfn.XLOOKUP(tbl_FACTS[[#This Row],[CustomerID]],Πίνακας1[CustomerID],Πίνακας1[CustomerName])</f>
        <v>Frankenversand</v>
      </c>
      <c r="H240" t="str">
        <f>_xlfn.XLOOKUP(tbl_FACTS[[#This Row],[CustomerID]],Πίνακας1[CustomerID],Πίνακας1[Country])</f>
        <v>Germany</v>
      </c>
      <c r="I240">
        <f>_xlfn.XLOOKUP(tbl_FACTS[[#This Row],[OrderID]],Πίνακας64[OrderID],Πίνακας64[EmployeeID])</f>
        <v>4</v>
      </c>
      <c r="J240">
        <f>_xlfn.XLOOKUP(tbl_FACTS[[#This Row],[OrderID]],Πίνακας64[OrderID],Πίνακας64[ShipperID])</f>
        <v>3</v>
      </c>
      <c r="K240" t="str">
        <f>_xlfn.XLOOKUP(tbl_FACTS[[#This Row],[ShipperID]],Πίνακας8[ShipperID],Πίνακας8[ShipperName])</f>
        <v>Federal Shipping</v>
      </c>
      <c r="L240" t="str">
        <f>_xlfn.XLOOKUP(tbl_FACTS[[#This Row],[ProductID]],Πίνακας7[ProductID],Πίνακας7[ProductName])</f>
        <v>Inlagd Sill</v>
      </c>
      <c r="M240">
        <f>_xlfn.XLOOKUP(tbl_FACTS[[#This Row],[ProductID]],Πίνακας7[ProductID],Πίνακας7[CategoryID])</f>
        <v>8</v>
      </c>
      <c r="N240" t="str">
        <f>_xlfn.XLOOKUP(tbl_FACTS[[#This Row],[CategoryID]],Πίνακας4[CategoryID],Πίνακας4[CategoryName])</f>
        <v>Seafood</v>
      </c>
      <c r="O240">
        <f>_xlfn.XLOOKUP(tbl_FACTS[[#This Row],[ProductID]],Πίνακας7[ProductID],Πίνακας7[SupplierID])</f>
        <v>17</v>
      </c>
      <c r="P240" t="str">
        <f>_xlfn.XLOOKUP(tbl_FACTS[[#This Row],[SupplierID]],Πίνακας9[SupplierID],Πίνακας9[SupplierName])</f>
        <v>Svensk Sjofoda AB</v>
      </c>
      <c r="Q240" s="21">
        <f>_xlfn.XLOOKUP(tbl_FACTS[[#This Row],[ProductID]],Πίνακας7[ProductID],Πίνακας7[Price])</f>
        <v>19</v>
      </c>
      <c r="R240" s="21">
        <f>tbl_FACTS[[#This Row],[Quantity]]*tbl_FACTS[[#This Row],[Price]]</f>
        <v>380</v>
      </c>
      <c r="S240" s="19">
        <f>IF(COUNTIFS(tbl_FACTS[OrderID],tbl_FACTS[[#This Row],[OrderID]],tbl_FACTS[OrderDetailID],"&lt;"&amp;tbl_FACTS[[#This Row],[OrderDetailID]])=0,1,0)</f>
        <v>0</v>
      </c>
      <c r="T240" s="19">
        <f>YEAR(tbl_FACTS[[#This Row],[OrderDate]])</f>
        <v>1996</v>
      </c>
      <c r="U240" s="22">
        <f>DATE(YEAR(tbl_FACTS[[#This Row],[OrderDate]]),MONTH(tbl_FACTS[[#This Row],[OrderDate]]),1)</f>
        <v>35339</v>
      </c>
      <c r="V240" s="22" t="str">
        <f>IF(tbl_FACTS[[#This Row],[Quantity]]&lt;=10,"0–10",IF(tbl_FACTS[[#This Row],[Quantity]]&lt;=20,"11–20",IF(tbl_FACTS[[#This Row],[Quantity]]&lt;=30,"21–30",IF(tbl_FACTS[[#This Row],[Quantity]]&lt;=40,"31–40",IF(tbl_FACTS[[#This Row],[Quantity]]&lt;=50,"41–50","51+")))))</f>
        <v>11–20</v>
      </c>
    </row>
    <row r="241" spans="1:22">
      <c r="A241">
        <v>240</v>
      </c>
      <c r="B241">
        <v>10337</v>
      </c>
      <c r="C241">
        <v>37</v>
      </c>
      <c r="D241" s="19">
        <v>28</v>
      </c>
      <c r="E241" s="20">
        <f>_xlfn.XLOOKUP(tbl_FACTS[[#This Row],[OrderID]],Πίνακας64[OrderID],Πίνακας64[OrderDate])</f>
        <v>35362</v>
      </c>
      <c r="F241">
        <f>_xlfn.XLOOKUP(tbl_FACTS[[#This Row],[OrderID]],Πίνακας64[OrderID],Πίνακας64[CustomerID])</f>
        <v>25</v>
      </c>
      <c r="G241" t="str">
        <f>_xlfn.XLOOKUP(tbl_FACTS[[#This Row],[CustomerID]],Πίνακας1[CustomerID],Πίνακας1[CustomerName])</f>
        <v>Frankenversand</v>
      </c>
      <c r="H241" t="str">
        <f>_xlfn.XLOOKUP(tbl_FACTS[[#This Row],[CustomerID]],Πίνακας1[CustomerID],Πίνακας1[Country])</f>
        <v>Germany</v>
      </c>
      <c r="I241">
        <f>_xlfn.XLOOKUP(tbl_FACTS[[#This Row],[OrderID]],Πίνακας64[OrderID],Πίνακας64[EmployeeID])</f>
        <v>4</v>
      </c>
      <c r="J241">
        <f>_xlfn.XLOOKUP(tbl_FACTS[[#This Row],[OrderID]],Πίνακας64[OrderID],Πίνακας64[ShipperID])</f>
        <v>3</v>
      </c>
      <c r="K241" t="str">
        <f>_xlfn.XLOOKUP(tbl_FACTS[[#This Row],[ShipperID]],Πίνακας8[ShipperID],Πίνακας8[ShipperName])</f>
        <v>Federal Shipping</v>
      </c>
      <c r="L241" t="str">
        <f>_xlfn.XLOOKUP(tbl_FACTS[[#This Row],[ProductID]],Πίνακας7[ProductID],Πίνακας7[ProductName])</f>
        <v>Gravad lax</v>
      </c>
      <c r="M241">
        <f>_xlfn.XLOOKUP(tbl_FACTS[[#This Row],[ProductID]],Πίνακας7[ProductID],Πίνακας7[CategoryID])</f>
        <v>8</v>
      </c>
      <c r="N241" t="str">
        <f>_xlfn.XLOOKUP(tbl_FACTS[[#This Row],[CategoryID]],Πίνακας4[CategoryID],Πίνακας4[CategoryName])</f>
        <v>Seafood</v>
      </c>
      <c r="O241">
        <f>_xlfn.XLOOKUP(tbl_FACTS[[#This Row],[ProductID]],Πίνακας7[ProductID],Πίνακας7[SupplierID])</f>
        <v>17</v>
      </c>
      <c r="P241" t="str">
        <f>_xlfn.XLOOKUP(tbl_FACTS[[#This Row],[SupplierID]],Πίνακας9[SupplierID],Πίνακας9[SupplierName])</f>
        <v>Svensk Sjofoda AB</v>
      </c>
      <c r="Q241" s="21">
        <f>_xlfn.XLOOKUP(tbl_FACTS[[#This Row],[ProductID]],Πίνακας7[ProductID],Πίνακας7[Price])</f>
        <v>26</v>
      </c>
      <c r="R241" s="21">
        <f>tbl_FACTS[[#This Row],[Quantity]]*tbl_FACTS[[#This Row],[Price]]</f>
        <v>728</v>
      </c>
      <c r="S241" s="19">
        <f>IF(COUNTIFS(tbl_FACTS[OrderID],tbl_FACTS[[#This Row],[OrderID]],tbl_FACTS[OrderDetailID],"&lt;"&amp;tbl_FACTS[[#This Row],[OrderDetailID]])=0,1,0)</f>
        <v>0</v>
      </c>
      <c r="T241" s="19">
        <f>YEAR(tbl_FACTS[[#This Row],[OrderDate]])</f>
        <v>1996</v>
      </c>
      <c r="U241" s="22">
        <f>DATE(YEAR(tbl_FACTS[[#This Row],[OrderDate]]),MONTH(tbl_FACTS[[#This Row],[OrderDate]]),1)</f>
        <v>35339</v>
      </c>
      <c r="V241" s="22" t="str">
        <f>IF(tbl_FACTS[[#This Row],[Quantity]]&lt;=10,"0–10",IF(tbl_FACTS[[#This Row],[Quantity]]&lt;=20,"11–20",IF(tbl_FACTS[[#This Row],[Quantity]]&lt;=30,"21–30",IF(tbl_FACTS[[#This Row],[Quantity]]&lt;=40,"31–40",IF(tbl_FACTS[[#This Row],[Quantity]]&lt;=50,"41–50","51+")))))</f>
        <v>21–30</v>
      </c>
    </row>
    <row r="242" spans="1:22">
      <c r="A242">
        <v>241</v>
      </c>
      <c r="B242">
        <v>10337</v>
      </c>
      <c r="C242">
        <v>72</v>
      </c>
      <c r="D242" s="19">
        <v>25</v>
      </c>
      <c r="E242" s="20">
        <f>_xlfn.XLOOKUP(tbl_FACTS[[#This Row],[OrderID]],Πίνακας64[OrderID],Πίνακας64[OrderDate])</f>
        <v>35362</v>
      </c>
      <c r="F242">
        <f>_xlfn.XLOOKUP(tbl_FACTS[[#This Row],[OrderID]],Πίνακας64[OrderID],Πίνακας64[CustomerID])</f>
        <v>25</v>
      </c>
      <c r="G242" t="str">
        <f>_xlfn.XLOOKUP(tbl_FACTS[[#This Row],[CustomerID]],Πίνακας1[CustomerID],Πίνακας1[CustomerName])</f>
        <v>Frankenversand</v>
      </c>
      <c r="H242" t="str">
        <f>_xlfn.XLOOKUP(tbl_FACTS[[#This Row],[CustomerID]],Πίνακας1[CustomerID],Πίνακας1[Country])</f>
        <v>Germany</v>
      </c>
      <c r="I242">
        <f>_xlfn.XLOOKUP(tbl_FACTS[[#This Row],[OrderID]],Πίνακας64[OrderID],Πίνακας64[EmployeeID])</f>
        <v>4</v>
      </c>
      <c r="J242">
        <f>_xlfn.XLOOKUP(tbl_FACTS[[#This Row],[OrderID]],Πίνακας64[OrderID],Πίνακας64[ShipperID])</f>
        <v>3</v>
      </c>
      <c r="K242" t="str">
        <f>_xlfn.XLOOKUP(tbl_FACTS[[#This Row],[ShipperID]],Πίνακας8[ShipperID],Πίνακας8[ShipperName])</f>
        <v>Federal Shipping</v>
      </c>
      <c r="L242" t="str">
        <f>_xlfn.XLOOKUP(tbl_FACTS[[#This Row],[ProductID]],Πίνακας7[ProductID],Πίνακας7[ProductName])</f>
        <v>Mozzarella di Giovanni</v>
      </c>
      <c r="M242">
        <f>_xlfn.XLOOKUP(tbl_FACTS[[#This Row],[ProductID]],Πίνακας7[ProductID],Πίνακας7[CategoryID])</f>
        <v>4</v>
      </c>
      <c r="N242" t="str">
        <f>_xlfn.XLOOKUP(tbl_FACTS[[#This Row],[CategoryID]],Πίνακας4[CategoryID],Πίνακας4[CategoryName])</f>
        <v>Dairy Products</v>
      </c>
      <c r="O242">
        <f>_xlfn.XLOOKUP(tbl_FACTS[[#This Row],[ProductID]],Πίνακας7[ProductID],Πίνακας7[SupplierID])</f>
        <v>14</v>
      </c>
      <c r="P242" t="str">
        <f>_xlfn.XLOOKUP(tbl_FACTS[[#This Row],[SupplierID]],Πίνακας9[SupplierID],Πίνακας9[SupplierName])</f>
        <v>Formaggi Fortini s.r.l.</v>
      </c>
      <c r="Q242" s="21">
        <f>_xlfn.XLOOKUP(tbl_FACTS[[#This Row],[ProductID]],Πίνακας7[ProductID],Πίνακας7[Price])</f>
        <v>35</v>
      </c>
      <c r="R242" s="21">
        <f>tbl_FACTS[[#This Row],[Quantity]]*tbl_FACTS[[#This Row],[Price]]</f>
        <v>875</v>
      </c>
      <c r="S242" s="19">
        <f>IF(COUNTIFS(tbl_FACTS[OrderID],tbl_FACTS[[#This Row],[OrderID]],tbl_FACTS[OrderDetailID],"&lt;"&amp;tbl_FACTS[[#This Row],[OrderDetailID]])=0,1,0)</f>
        <v>0</v>
      </c>
      <c r="T242" s="19">
        <f>YEAR(tbl_FACTS[[#This Row],[OrderDate]])</f>
        <v>1996</v>
      </c>
      <c r="U242" s="22">
        <f>DATE(YEAR(tbl_FACTS[[#This Row],[OrderDate]]),MONTH(tbl_FACTS[[#This Row],[OrderDate]]),1)</f>
        <v>35339</v>
      </c>
      <c r="V242" s="22" t="str">
        <f>IF(tbl_FACTS[[#This Row],[Quantity]]&lt;=10,"0–10",IF(tbl_FACTS[[#This Row],[Quantity]]&lt;=20,"11–20",IF(tbl_FACTS[[#This Row],[Quantity]]&lt;=30,"21–30",IF(tbl_FACTS[[#This Row],[Quantity]]&lt;=40,"31–40",IF(tbl_FACTS[[#This Row],[Quantity]]&lt;=50,"41–50","51+")))))</f>
        <v>21–30</v>
      </c>
    </row>
    <row r="243" spans="1:22">
      <c r="A243">
        <v>242</v>
      </c>
      <c r="B243">
        <v>10338</v>
      </c>
      <c r="C243">
        <v>17</v>
      </c>
      <c r="D243" s="19">
        <v>20</v>
      </c>
      <c r="E243" s="20">
        <f>_xlfn.XLOOKUP(tbl_FACTS[[#This Row],[OrderID]],Πίνακας64[OrderID],Πίνακας64[OrderDate])</f>
        <v>35363</v>
      </c>
      <c r="F243">
        <f>_xlfn.XLOOKUP(tbl_FACTS[[#This Row],[OrderID]],Πίνακας64[OrderID],Πίνακας64[CustomerID])</f>
        <v>55</v>
      </c>
      <c r="G243" t="str">
        <f>_xlfn.XLOOKUP(tbl_FACTS[[#This Row],[CustomerID]],Πίνακας1[CustomerID],Πίνακας1[CustomerName])</f>
        <v>Old World Delicatessen</v>
      </c>
      <c r="H243" t="str">
        <f>_xlfn.XLOOKUP(tbl_FACTS[[#This Row],[CustomerID]],Πίνακας1[CustomerID],Πίνακας1[Country])</f>
        <v>USA</v>
      </c>
      <c r="I243">
        <f>_xlfn.XLOOKUP(tbl_FACTS[[#This Row],[OrderID]],Πίνακας64[OrderID],Πίνακας64[EmployeeID])</f>
        <v>4</v>
      </c>
      <c r="J243">
        <f>_xlfn.XLOOKUP(tbl_FACTS[[#This Row],[OrderID]],Πίνακας64[OrderID],Πίνακας64[ShipperID])</f>
        <v>3</v>
      </c>
      <c r="K243" t="str">
        <f>_xlfn.XLOOKUP(tbl_FACTS[[#This Row],[ShipperID]],Πίνακας8[ShipperID],Πίνακας8[ShipperName])</f>
        <v>Federal Shipping</v>
      </c>
      <c r="L243" t="str">
        <f>_xlfn.XLOOKUP(tbl_FACTS[[#This Row],[ProductID]],Πίνακας7[ProductID],Πίνακας7[ProductName])</f>
        <v>Alice Mutton</v>
      </c>
      <c r="M243">
        <f>_xlfn.XLOOKUP(tbl_FACTS[[#This Row],[ProductID]],Πίνακας7[ProductID],Πίνακας7[CategoryID])</f>
        <v>6</v>
      </c>
      <c r="N243" t="str">
        <f>_xlfn.XLOOKUP(tbl_FACTS[[#This Row],[CategoryID]],Πίνακας4[CategoryID],Πίνακας4[CategoryName])</f>
        <v>Meat/Poultry</v>
      </c>
      <c r="O243">
        <f>_xlfn.XLOOKUP(tbl_FACTS[[#This Row],[ProductID]],Πίνακας7[ProductID],Πίνακας7[SupplierID])</f>
        <v>7</v>
      </c>
      <c r="P243" t="str">
        <f>_xlfn.XLOOKUP(tbl_FACTS[[#This Row],[SupplierID]],Πίνακας9[SupplierID],Πίνακας9[SupplierName])</f>
        <v>Pavlova, Ltd.</v>
      </c>
      <c r="Q243" s="21">
        <f>_xlfn.XLOOKUP(tbl_FACTS[[#This Row],[ProductID]],Πίνακας7[ProductID],Πίνακας7[Price])</f>
        <v>39</v>
      </c>
      <c r="R243" s="21">
        <f>tbl_FACTS[[#This Row],[Quantity]]*tbl_FACTS[[#This Row],[Price]]</f>
        <v>780</v>
      </c>
      <c r="S243" s="19">
        <f>IF(COUNTIFS(tbl_FACTS[OrderID],tbl_FACTS[[#This Row],[OrderID]],tbl_FACTS[OrderDetailID],"&lt;"&amp;tbl_FACTS[[#This Row],[OrderDetailID]])=0,1,0)</f>
        <v>1</v>
      </c>
      <c r="T243" s="19">
        <f>YEAR(tbl_FACTS[[#This Row],[OrderDate]])</f>
        <v>1996</v>
      </c>
      <c r="U243" s="22">
        <f>DATE(YEAR(tbl_FACTS[[#This Row],[OrderDate]]),MONTH(tbl_FACTS[[#This Row],[OrderDate]]),1)</f>
        <v>35339</v>
      </c>
      <c r="V243" s="22" t="str">
        <f>IF(tbl_FACTS[[#This Row],[Quantity]]&lt;=10,"0–10",IF(tbl_FACTS[[#This Row],[Quantity]]&lt;=20,"11–20",IF(tbl_FACTS[[#This Row],[Quantity]]&lt;=30,"21–30",IF(tbl_FACTS[[#This Row],[Quantity]]&lt;=40,"31–40",IF(tbl_FACTS[[#This Row],[Quantity]]&lt;=50,"41–50","51+")))))</f>
        <v>11–20</v>
      </c>
    </row>
    <row r="244" spans="1:22">
      <c r="A244">
        <v>243</v>
      </c>
      <c r="B244">
        <v>10338</v>
      </c>
      <c r="C244">
        <v>30</v>
      </c>
      <c r="D244" s="19">
        <v>15</v>
      </c>
      <c r="E244" s="20">
        <f>_xlfn.XLOOKUP(tbl_FACTS[[#This Row],[OrderID]],Πίνακας64[OrderID],Πίνακας64[OrderDate])</f>
        <v>35363</v>
      </c>
      <c r="F244">
        <f>_xlfn.XLOOKUP(tbl_FACTS[[#This Row],[OrderID]],Πίνακας64[OrderID],Πίνακας64[CustomerID])</f>
        <v>55</v>
      </c>
      <c r="G244" t="str">
        <f>_xlfn.XLOOKUP(tbl_FACTS[[#This Row],[CustomerID]],Πίνακας1[CustomerID],Πίνακας1[CustomerName])</f>
        <v>Old World Delicatessen</v>
      </c>
      <c r="H244" t="str">
        <f>_xlfn.XLOOKUP(tbl_FACTS[[#This Row],[CustomerID]],Πίνακας1[CustomerID],Πίνακας1[Country])</f>
        <v>USA</v>
      </c>
      <c r="I244">
        <f>_xlfn.XLOOKUP(tbl_FACTS[[#This Row],[OrderID]],Πίνακας64[OrderID],Πίνακας64[EmployeeID])</f>
        <v>4</v>
      </c>
      <c r="J244">
        <f>_xlfn.XLOOKUP(tbl_FACTS[[#This Row],[OrderID]],Πίνακας64[OrderID],Πίνακας64[ShipperID])</f>
        <v>3</v>
      </c>
      <c r="K244" t="str">
        <f>_xlfn.XLOOKUP(tbl_FACTS[[#This Row],[ShipperID]],Πίνακας8[ShipperID],Πίνακας8[ShipperName])</f>
        <v>Federal Shipping</v>
      </c>
      <c r="L244" t="str">
        <f>_xlfn.XLOOKUP(tbl_FACTS[[#This Row],[ProductID]],Πίνακας7[ProductID],Πίνακας7[ProductName])</f>
        <v>Nord-Ost Matjeshering</v>
      </c>
      <c r="M244">
        <f>_xlfn.XLOOKUP(tbl_FACTS[[#This Row],[ProductID]],Πίνακας7[ProductID],Πίνακας7[CategoryID])</f>
        <v>8</v>
      </c>
      <c r="N244" t="str">
        <f>_xlfn.XLOOKUP(tbl_FACTS[[#This Row],[CategoryID]],Πίνακας4[CategoryID],Πίνακας4[CategoryName])</f>
        <v>Seafood</v>
      </c>
      <c r="O244">
        <f>_xlfn.XLOOKUP(tbl_FACTS[[#This Row],[ProductID]],Πίνακας7[ProductID],Πίνακας7[SupplierID])</f>
        <v>13</v>
      </c>
      <c r="P244" t="str">
        <f>_xlfn.XLOOKUP(tbl_FACTS[[#This Row],[SupplierID]],Πίνακας9[SupplierID],Πίνακας9[SupplierName])</f>
        <v>Nord-Ost-Fisch Handelsgesellschaft mbH</v>
      </c>
      <c r="Q244" s="21">
        <f>_xlfn.XLOOKUP(tbl_FACTS[[#This Row],[ProductID]],Πίνακας7[ProductID],Πίνακας7[Price])</f>
        <v>26</v>
      </c>
      <c r="R244" s="21">
        <f>tbl_FACTS[[#This Row],[Quantity]]*tbl_FACTS[[#This Row],[Price]]</f>
        <v>390</v>
      </c>
      <c r="S244" s="19">
        <f>IF(COUNTIFS(tbl_FACTS[OrderID],tbl_FACTS[[#This Row],[OrderID]],tbl_FACTS[OrderDetailID],"&lt;"&amp;tbl_FACTS[[#This Row],[OrderDetailID]])=0,1,0)</f>
        <v>0</v>
      </c>
      <c r="T244" s="19">
        <f>YEAR(tbl_FACTS[[#This Row],[OrderDate]])</f>
        <v>1996</v>
      </c>
      <c r="U244" s="22">
        <f>DATE(YEAR(tbl_FACTS[[#This Row],[OrderDate]]),MONTH(tbl_FACTS[[#This Row],[OrderDate]]),1)</f>
        <v>35339</v>
      </c>
      <c r="V244" s="22" t="str">
        <f>IF(tbl_FACTS[[#This Row],[Quantity]]&lt;=10,"0–10",IF(tbl_FACTS[[#This Row],[Quantity]]&lt;=20,"11–20",IF(tbl_FACTS[[#This Row],[Quantity]]&lt;=30,"21–30",IF(tbl_FACTS[[#This Row],[Quantity]]&lt;=40,"31–40",IF(tbl_FACTS[[#This Row],[Quantity]]&lt;=50,"41–50","51+")))))</f>
        <v>11–20</v>
      </c>
    </row>
    <row r="245" spans="1:22">
      <c r="A245">
        <v>244</v>
      </c>
      <c r="B245">
        <v>10339</v>
      </c>
      <c r="C245">
        <v>4</v>
      </c>
      <c r="D245" s="19">
        <v>10</v>
      </c>
      <c r="E245" s="20">
        <f>_xlfn.XLOOKUP(tbl_FACTS[[#This Row],[OrderID]],Πίνακας64[OrderID],Πίνακας64[OrderDate])</f>
        <v>35366</v>
      </c>
      <c r="F245">
        <f>_xlfn.XLOOKUP(tbl_FACTS[[#This Row],[OrderID]],Πίνακας64[OrderID],Πίνακας64[CustomerID])</f>
        <v>51</v>
      </c>
      <c r="G245" t="str">
        <f>_xlfn.XLOOKUP(tbl_FACTS[[#This Row],[CustomerID]],Πίνακας1[CustomerID],Πίνακας1[CustomerName])</f>
        <v>Mere Paillarde</v>
      </c>
      <c r="H245" t="str">
        <f>_xlfn.XLOOKUP(tbl_FACTS[[#This Row],[CustomerID]],Πίνακας1[CustomerID],Πίνακας1[Country])</f>
        <v>Canada</v>
      </c>
      <c r="I245">
        <f>_xlfn.XLOOKUP(tbl_FACTS[[#This Row],[OrderID]],Πίνακας64[OrderID],Πίνακας64[EmployeeID])</f>
        <v>2</v>
      </c>
      <c r="J245">
        <f>_xlfn.XLOOKUP(tbl_FACTS[[#This Row],[OrderID]],Πίνακας64[OrderID],Πίνακας64[ShipperID])</f>
        <v>2</v>
      </c>
      <c r="K245" t="str">
        <f>_xlfn.XLOOKUP(tbl_FACTS[[#This Row],[ShipperID]],Πίνακας8[ShipperID],Πίνακας8[ShipperName])</f>
        <v>United Package</v>
      </c>
      <c r="L245" t="str">
        <f>_xlfn.XLOOKUP(tbl_FACTS[[#This Row],[ProductID]],Πίνακας7[ProductID],Πίνακας7[ProductName])</f>
        <v>Chef Anton's Cajun Seasoning</v>
      </c>
      <c r="M245">
        <f>_xlfn.XLOOKUP(tbl_FACTS[[#This Row],[ProductID]],Πίνακας7[ProductID],Πίνακας7[CategoryID])</f>
        <v>2</v>
      </c>
      <c r="N245" t="str">
        <f>_xlfn.XLOOKUP(tbl_FACTS[[#This Row],[CategoryID]],Πίνακας4[CategoryID],Πίνακας4[CategoryName])</f>
        <v>Condiments</v>
      </c>
      <c r="O245">
        <f>_xlfn.XLOOKUP(tbl_FACTS[[#This Row],[ProductID]],Πίνακας7[ProductID],Πίνακας7[SupplierID])</f>
        <v>2</v>
      </c>
      <c r="P245" t="str">
        <f>_xlfn.XLOOKUP(tbl_FACTS[[#This Row],[SupplierID]],Πίνακας9[SupplierID],Πίνακας9[SupplierName])</f>
        <v>New Orleans Cajun Delights</v>
      </c>
      <c r="Q245" s="21">
        <f>_xlfn.XLOOKUP(tbl_FACTS[[#This Row],[ProductID]],Πίνακας7[ProductID],Πίνακας7[Price])</f>
        <v>22</v>
      </c>
      <c r="R245" s="21">
        <f>tbl_FACTS[[#This Row],[Quantity]]*tbl_FACTS[[#This Row],[Price]]</f>
        <v>220</v>
      </c>
      <c r="S245" s="19">
        <f>IF(COUNTIFS(tbl_FACTS[OrderID],tbl_FACTS[[#This Row],[OrderID]],tbl_FACTS[OrderDetailID],"&lt;"&amp;tbl_FACTS[[#This Row],[OrderDetailID]])=0,1,0)</f>
        <v>1</v>
      </c>
      <c r="T245" s="19">
        <f>YEAR(tbl_FACTS[[#This Row],[OrderDate]])</f>
        <v>1996</v>
      </c>
      <c r="U245" s="22">
        <f>DATE(YEAR(tbl_FACTS[[#This Row],[OrderDate]]),MONTH(tbl_FACTS[[#This Row],[OrderDate]]),1)</f>
        <v>35339</v>
      </c>
      <c r="V245" s="22" t="str">
        <f>IF(tbl_FACTS[[#This Row],[Quantity]]&lt;=10,"0–10",IF(tbl_FACTS[[#This Row],[Quantity]]&lt;=20,"11–20",IF(tbl_FACTS[[#This Row],[Quantity]]&lt;=30,"21–30",IF(tbl_FACTS[[#This Row],[Quantity]]&lt;=40,"31–40",IF(tbl_FACTS[[#This Row],[Quantity]]&lt;=50,"41–50","51+")))))</f>
        <v>0–10</v>
      </c>
    </row>
    <row r="246" spans="1:22">
      <c r="A246">
        <v>245</v>
      </c>
      <c r="B246">
        <v>10339</v>
      </c>
      <c r="C246">
        <v>17</v>
      </c>
      <c r="D246" s="19">
        <v>70</v>
      </c>
      <c r="E246" s="20">
        <f>_xlfn.XLOOKUP(tbl_FACTS[[#This Row],[OrderID]],Πίνακας64[OrderID],Πίνακας64[OrderDate])</f>
        <v>35366</v>
      </c>
      <c r="F246">
        <f>_xlfn.XLOOKUP(tbl_FACTS[[#This Row],[OrderID]],Πίνακας64[OrderID],Πίνακας64[CustomerID])</f>
        <v>51</v>
      </c>
      <c r="G246" t="str">
        <f>_xlfn.XLOOKUP(tbl_FACTS[[#This Row],[CustomerID]],Πίνακας1[CustomerID],Πίνακας1[CustomerName])</f>
        <v>Mere Paillarde</v>
      </c>
      <c r="H246" t="str">
        <f>_xlfn.XLOOKUP(tbl_FACTS[[#This Row],[CustomerID]],Πίνακας1[CustomerID],Πίνακας1[Country])</f>
        <v>Canada</v>
      </c>
      <c r="I246">
        <f>_xlfn.XLOOKUP(tbl_FACTS[[#This Row],[OrderID]],Πίνακας64[OrderID],Πίνακας64[EmployeeID])</f>
        <v>2</v>
      </c>
      <c r="J246">
        <f>_xlfn.XLOOKUP(tbl_FACTS[[#This Row],[OrderID]],Πίνακας64[OrderID],Πίνακας64[ShipperID])</f>
        <v>2</v>
      </c>
      <c r="K246" t="str">
        <f>_xlfn.XLOOKUP(tbl_FACTS[[#This Row],[ShipperID]],Πίνακας8[ShipperID],Πίνακας8[ShipperName])</f>
        <v>United Package</v>
      </c>
      <c r="L246" t="str">
        <f>_xlfn.XLOOKUP(tbl_FACTS[[#This Row],[ProductID]],Πίνακας7[ProductID],Πίνακας7[ProductName])</f>
        <v>Alice Mutton</v>
      </c>
      <c r="M246">
        <f>_xlfn.XLOOKUP(tbl_FACTS[[#This Row],[ProductID]],Πίνακας7[ProductID],Πίνακας7[CategoryID])</f>
        <v>6</v>
      </c>
      <c r="N246" t="str">
        <f>_xlfn.XLOOKUP(tbl_FACTS[[#This Row],[CategoryID]],Πίνακας4[CategoryID],Πίνακας4[CategoryName])</f>
        <v>Meat/Poultry</v>
      </c>
      <c r="O246">
        <f>_xlfn.XLOOKUP(tbl_FACTS[[#This Row],[ProductID]],Πίνακας7[ProductID],Πίνακας7[SupplierID])</f>
        <v>7</v>
      </c>
      <c r="P246" t="str">
        <f>_xlfn.XLOOKUP(tbl_FACTS[[#This Row],[SupplierID]],Πίνακας9[SupplierID],Πίνακας9[SupplierName])</f>
        <v>Pavlova, Ltd.</v>
      </c>
      <c r="Q246" s="21">
        <f>_xlfn.XLOOKUP(tbl_FACTS[[#This Row],[ProductID]],Πίνακας7[ProductID],Πίνακας7[Price])</f>
        <v>39</v>
      </c>
      <c r="R246" s="21">
        <f>tbl_FACTS[[#This Row],[Quantity]]*tbl_FACTS[[#This Row],[Price]]</f>
        <v>2730</v>
      </c>
      <c r="S246" s="19">
        <f>IF(COUNTIFS(tbl_FACTS[OrderID],tbl_FACTS[[#This Row],[OrderID]],tbl_FACTS[OrderDetailID],"&lt;"&amp;tbl_FACTS[[#This Row],[OrderDetailID]])=0,1,0)</f>
        <v>0</v>
      </c>
      <c r="T246" s="19">
        <f>YEAR(tbl_FACTS[[#This Row],[OrderDate]])</f>
        <v>1996</v>
      </c>
      <c r="U246" s="22">
        <f>DATE(YEAR(tbl_FACTS[[#This Row],[OrderDate]]),MONTH(tbl_FACTS[[#This Row],[OrderDate]]),1)</f>
        <v>35339</v>
      </c>
      <c r="V246" s="22" t="str">
        <f>IF(tbl_FACTS[[#This Row],[Quantity]]&lt;=10,"0–10",IF(tbl_FACTS[[#This Row],[Quantity]]&lt;=20,"11–20",IF(tbl_FACTS[[#This Row],[Quantity]]&lt;=30,"21–30",IF(tbl_FACTS[[#This Row],[Quantity]]&lt;=40,"31–40",IF(tbl_FACTS[[#This Row],[Quantity]]&lt;=50,"41–50","51+")))))</f>
        <v>51+</v>
      </c>
    </row>
    <row r="247" spans="1:22">
      <c r="A247">
        <v>246</v>
      </c>
      <c r="B247">
        <v>10339</v>
      </c>
      <c r="C247">
        <v>62</v>
      </c>
      <c r="D247" s="19">
        <v>28</v>
      </c>
      <c r="E247" s="20">
        <f>_xlfn.XLOOKUP(tbl_FACTS[[#This Row],[OrderID]],Πίνακας64[OrderID],Πίνακας64[OrderDate])</f>
        <v>35366</v>
      </c>
      <c r="F247">
        <f>_xlfn.XLOOKUP(tbl_FACTS[[#This Row],[OrderID]],Πίνακας64[OrderID],Πίνακας64[CustomerID])</f>
        <v>51</v>
      </c>
      <c r="G247" t="str">
        <f>_xlfn.XLOOKUP(tbl_FACTS[[#This Row],[CustomerID]],Πίνακας1[CustomerID],Πίνακας1[CustomerName])</f>
        <v>Mere Paillarde</v>
      </c>
      <c r="H247" t="str">
        <f>_xlfn.XLOOKUP(tbl_FACTS[[#This Row],[CustomerID]],Πίνακας1[CustomerID],Πίνακας1[Country])</f>
        <v>Canada</v>
      </c>
      <c r="I247">
        <f>_xlfn.XLOOKUP(tbl_FACTS[[#This Row],[OrderID]],Πίνακας64[OrderID],Πίνακας64[EmployeeID])</f>
        <v>2</v>
      </c>
      <c r="J247">
        <f>_xlfn.XLOOKUP(tbl_FACTS[[#This Row],[OrderID]],Πίνακας64[OrderID],Πίνακας64[ShipperID])</f>
        <v>2</v>
      </c>
      <c r="K247" t="str">
        <f>_xlfn.XLOOKUP(tbl_FACTS[[#This Row],[ShipperID]],Πίνακας8[ShipperID],Πίνακας8[ShipperName])</f>
        <v>United Package</v>
      </c>
      <c r="L247" t="str">
        <f>_xlfn.XLOOKUP(tbl_FACTS[[#This Row],[ProductID]],Πίνακας7[ProductID],Πίνακας7[ProductName])</f>
        <v>Tarte au sucre</v>
      </c>
      <c r="M247">
        <f>_xlfn.XLOOKUP(tbl_FACTS[[#This Row],[ProductID]],Πίνακας7[ProductID],Πίνακας7[CategoryID])</f>
        <v>3</v>
      </c>
      <c r="N247" t="str">
        <f>_xlfn.XLOOKUP(tbl_FACTS[[#This Row],[CategoryID]],Πίνακας4[CategoryID],Πίνακας4[CategoryName])</f>
        <v>Confections</v>
      </c>
      <c r="O247">
        <f>_xlfn.XLOOKUP(tbl_FACTS[[#This Row],[ProductID]],Πίνακας7[ProductID],Πίνακας7[SupplierID])</f>
        <v>29</v>
      </c>
      <c r="P247" t="str">
        <f>_xlfn.XLOOKUP(tbl_FACTS[[#This Row],[SupplierID]],Πίνακας9[SupplierID],Πίνακας9[SupplierName])</f>
        <v>Forets d'erables</v>
      </c>
      <c r="Q247" s="21">
        <f>_xlfn.XLOOKUP(tbl_FACTS[[#This Row],[ProductID]],Πίνακας7[ProductID],Πίνακας7[Price])</f>
        <v>49</v>
      </c>
      <c r="R247" s="21">
        <f>tbl_FACTS[[#This Row],[Quantity]]*tbl_FACTS[[#This Row],[Price]]</f>
        <v>1372</v>
      </c>
      <c r="S247" s="19">
        <f>IF(COUNTIFS(tbl_FACTS[OrderID],tbl_FACTS[[#This Row],[OrderID]],tbl_FACTS[OrderDetailID],"&lt;"&amp;tbl_FACTS[[#This Row],[OrderDetailID]])=0,1,0)</f>
        <v>0</v>
      </c>
      <c r="T247" s="19">
        <f>YEAR(tbl_FACTS[[#This Row],[OrderDate]])</f>
        <v>1996</v>
      </c>
      <c r="U247" s="22">
        <f>DATE(YEAR(tbl_FACTS[[#This Row],[OrderDate]]),MONTH(tbl_FACTS[[#This Row],[OrderDate]]),1)</f>
        <v>35339</v>
      </c>
      <c r="V247" s="22" t="str">
        <f>IF(tbl_FACTS[[#This Row],[Quantity]]&lt;=10,"0–10",IF(tbl_FACTS[[#This Row],[Quantity]]&lt;=20,"11–20",IF(tbl_FACTS[[#This Row],[Quantity]]&lt;=30,"21–30",IF(tbl_FACTS[[#This Row],[Quantity]]&lt;=40,"31–40",IF(tbl_FACTS[[#This Row],[Quantity]]&lt;=50,"41–50","51+")))))</f>
        <v>21–30</v>
      </c>
    </row>
    <row r="248" spans="1:22">
      <c r="A248">
        <v>247</v>
      </c>
      <c r="B248">
        <v>10340</v>
      </c>
      <c r="C248">
        <v>18</v>
      </c>
      <c r="D248" s="19">
        <v>20</v>
      </c>
      <c r="E248" s="20">
        <f>_xlfn.XLOOKUP(tbl_FACTS[[#This Row],[OrderID]],Πίνακας64[OrderID],Πίνακας64[OrderDate])</f>
        <v>35367</v>
      </c>
      <c r="F248">
        <f>_xlfn.XLOOKUP(tbl_FACTS[[#This Row],[OrderID]],Πίνακας64[OrderID],Πίνακας64[CustomerID])</f>
        <v>9</v>
      </c>
      <c r="G248" t="str">
        <f>_xlfn.XLOOKUP(tbl_FACTS[[#This Row],[CustomerID]],Πίνακας1[CustomerID],Πίνακας1[CustomerName])</f>
        <v>Bon app''</v>
      </c>
      <c r="H248" t="str">
        <f>_xlfn.XLOOKUP(tbl_FACTS[[#This Row],[CustomerID]],Πίνακας1[CustomerID],Πίνακας1[Country])</f>
        <v>France</v>
      </c>
      <c r="I248">
        <f>_xlfn.XLOOKUP(tbl_FACTS[[#This Row],[OrderID]],Πίνακας64[OrderID],Πίνακας64[EmployeeID])</f>
        <v>1</v>
      </c>
      <c r="J248">
        <f>_xlfn.XLOOKUP(tbl_FACTS[[#This Row],[OrderID]],Πίνακας64[OrderID],Πίνακας64[ShipperID])</f>
        <v>3</v>
      </c>
      <c r="K248" t="str">
        <f>_xlfn.XLOOKUP(tbl_FACTS[[#This Row],[ShipperID]],Πίνακας8[ShipperID],Πίνακας8[ShipperName])</f>
        <v>Federal Shipping</v>
      </c>
      <c r="L248" t="str">
        <f>_xlfn.XLOOKUP(tbl_FACTS[[#This Row],[ProductID]],Πίνακας7[ProductID],Πίνακας7[ProductName])</f>
        <v>Carnarvon Tigers</v>
      </c>
      <c r="M248">
        <f>_xlfn.XLOOKUP(tbl_FACTS[[#This Row],[ProductID]],Πίνακας7[ProductID],Πίνακας7[CategoryID])</f>
        <v>8</v>
      </c>
      <c r="N248" t="str">
        <f>_xlfn.XLOOKUP(tbl_FACTS[[#This Row],[CategoryID]],Πίνακας4[CategoryID],Πίνακας4[CategoryName])</f>
        <v>Seafood</v>
      </c>
      <c r="O248">
        <f>_xlfn.XLOOKUP(tbl_FACTS[[#This Row],[ProductID]],Πίνακας7[ProductID],Πίνακας7[SupplierID])</f>
        <v>7</v>
      </c>
      <c r="P248" t="str">
        <f>_xlfn.XLOOKUP(tbl_FACTS[[#This Row],[SupplierID]],Πίνακας9[SupplierID],Πίνακας9[SupplierName])</f>
        <v>Pavlova, Ltd.</v>
      </c>
      <c r="Q248" s="21">
        <f>_xlfn.XLOOKUP(tbl_FACTS[[#This Row],[ProductID]],Πίνακας7[ProductID],Πίνακας7[Price])</f>
        <v>63</v>
      </c>
      <c r="R248" s="21">
        <f>tbl_FACTS[[#This Row],[Quantity]]*tbl_FACTS[[#This Row],[Price]]</f>
        <v>1260</v>
      </c>
      <c r="S248" s="19">
        <f>IF(COUNTIFS(tbl_FACTS[OrderID],tbl_FACTS[[#This Row],[OrderID]],tbl_FACTS[OrderDetailID],"&lt;"&amp;tbl_FACTS[[#This Row],[OrderDetailID]])=0,1,0)</f>
        <v>1</v>
      </c>
      <c r="T248" s="19">
        <f>YEAR(tbl_FACTS[[#This Row],[OrderDate]])</f>
        <v>1996</v>
      </c>
      <c r="U248" s="22">
        <f>DATE(YEAR(tbl_FACTS[[#This Row],[OrderDate]]),MONTH(tbl_FACTS[[#This Row],[OrderDate]]),1)</f>
        <v>35339</v>
      </c>
      <c r="V248" s="22" t="str">
        <f>IF(tbl_FACTS[[#This Row],[Quantity]]&lt;=10,"0–10",IF(tbl_FACTS[[#This Row],[Quantity]]&lt;=20,"11–20",IF(tbl_FACTS[[#This Row],[Quantity]]&lt;=30,"21–30",IF(tbl_FACTS[[#This Row],[Quantity]]&lt;=40,"31–40",IF(tbl_FACTS[[#This Row],[Quantity]]&lt;=50,"41–50","51+")))))</f>
        <v>11–20</v>
      </c>
    </row>
    <row r="249" spans="1:22">
      <c r="A249">
        <v>248</v>
      </c>
      <c r="B249">
        <v>10340</v>
      </c>
      <c r="C249">
        <v>41</v>
      </c>
      <c r="D249" s="19">
        <v>12</v>
      </c>
      <c r="E249" s="20">
        <f>_xlfn.XLOOKUP(tbl_FACTS[[#This Row],[OrderID]],Πίνακας64[OrderID],Πίνακας64[OrderDate])</f>
        <v>35367</v>
      </c>
      <c r="F249">
        <f>_xlfn.XLOOKUP(tbl_FACTS[[#This Row],[OrderID]],Πίνακας64[OrderID],Πίνακας64[CustomerID])</f>
        <v>9</v>
      </c>
      <c r="G249" t="str">
        <f>_xlfn.XLOOKUP(tbl_FACTS[[#This Row],[CustomerID]],Πίνακας1[CustomerID],Πίνακας1[CustomerName])</f>
        <v>Bon app''</v>
      </c>
      <c r="H249" t="str">
        <f>_xlfn.XLOOKUP(tbl_FACTS[[#This Row],[CustomerID]],Πίνακας1[CustomerID],Πίνακας1[Country])</f>
        <v>France</v>
      </c>
      <c r="I249">
        <f>_xlfn.XLOOKUP(tbl_FACTS[[#This Row],[OrderID]],Πίνακας64[OrderID],Πίνακας64[EmployeeID])</f>
        <v>1</v>
      </c>
      <c r="J249">
        <f>_xlfn.XLOOKUP(tbl_FACTS[[#This Row],[OrderID]],Πίνακας64[OrderID],Πίνακας64[ShipperID])</f>
        <v>3</v>
      </c>
      <c r="K249" t="str">
        <f>_xlfn.XLOOKUP(tbl_FACTS[[#This Row],[ShipperID]],Πίνακας8[ShipperID],Πίνακας8[ShipperName])</f>
        <v>Federal Shipping</v>
      </c>
      <c r="L249" t="str">
        <f>_xlfn.XLOOKUP(tbl_FACTS[[#This Row],[ProductID]],Πίνακας7[ProductID],Πίνακας7[ProductName])</f>
        <v>Jack's New England Clam Chowder</v>
      </c>
      <c r="M249">
        <f>_xlfn.XLOOKUP(tbl_FACTS[[#This Row],[ProductID]],Πίνακας7[ProductID],Πίνακας7[CategoryID])</f>
        <v>8</v>
      </c>
      <c r="N249" t="str">
        <f>_xlfn.XLOOKUP(tbl_FACTS[[#This Row],[CategoryID]],Πίνακας4[CategoryID],Πίνακας4[CategoryName])</f>
        <v>Seafood</v>
      </c>
      <c r="O249">
        <f>_xlfn.XLOOKUP(tbl_FACTS[[#This Row],[ProductID]],Πίνακας7[ProductID],Πίνακας7[SupplierID])</f>
        <v>19</v>
      </c>
      <c r="P249" t="str">
        <f>_xlfn.XLOOKUP(tbl_FACTS[[#This Row],[SupplierID]],Πίνακας9[SupplierID],Πίνακας9[SupplierName])</f>
        <v>New England Seafood Cannery</v>
      </c>
      <c r="Q249" s="21">
        <f>_xlfn.XLOOKUP(tbl_FACTS[[#This Row],[ProductID]],Πίνακας7[ProductID],Πίνακας7[Price])</f>
        <v>10</v>
      </c>
      <c r="R249" s="21">
        <f>tbl_FACTS[[#This Row],[Quantity]]*tbl_FACTS[[#This Row],[Price]]</f>
        <v>120</v>
      </c>
      <c r="S249" s="19">
        <f>IF(COUNTIFS(tbl_FACTS[OrderID],tbl_FACTS[[#This Row],[OrderID]],tbl_FACTS[OrderDetailID],"&lt;"&amp;tbl_FACTS[[#This Row],[OrderDetailID]])=0,1,0)</f>
        <v>0</v>
      </c>
      <c r="T249" s="19">
        <f>YEAR(tbl_FACTS[[#This Row],[OrderDate]])</f>
        <v>1996</v>
      </c>
      <c r="U249" s="22">
        <f>DATE(YEAR(tbl_FACTS[[#This Row],[OrderDate]]),MONTH(tbl_FACTS[[#This Row],[OrderDate]]),1)</f>
        <v>35339</v>
      </c>
      <c r="V249" s="22" t="str">
        <f>IF(tbl_FACTS[[#This Row],[Quantity]]&lt;=10,"0–10",IF(tbl_FACTS[[#This Row],[Quantity]]&lt;=20,"11–20",IF(tbl_FACTS[[#This Row],[Quantity]]&lt;=30,"21–30",IF(tbl_FACTS[[#This Row],[Quantity]]&lt;=40,"31–40",IF(tbl_FACTS[[#This Row],[Quantity]]&lt;=50,"41–50","51+")))))</f>
        <v>11–20</v>
      </c>
    </row>
    <row r="250" spans="1:22">
      <c r="A250">
        <v>249</v>
      </c>
      <c r="B250">
        <v>10340</v>
      </c>
      <c r="C250">
        <v>43</v>
      </c>
      <c r="D250" s="19">
        <v>40</v>
      </c>
      <c r="E250" s="20">
        <f>_xlfn.XLOOKUP(tbl_FACTS[[#This Row],[OrderID]],Πίνακας64[OrderID],Πίνακας64[OrderDate])</f>
        <v>35367</v>
      </c>
      <c r="F250">
        <f>_xlfn.XLOOKUP(tbl_FACTS[[#This Row],[OrderID]],Πίνακας64[OrderID],Πίνακας64[CustomerID])</f>
        <v>9</v>
      </c>
      <c r="G250" t="str">
        <f>_xlfn.XLOOKUP(tbl_FACTS[[#This Row],[CustomerID]],Πίνακας1[CustomerID],Πίνακας1[CustomerName])</f>
        <v>Bon app''</v>
      </c>
      <c r="H250" t="str">
        <f>_xlfn.XLOOKUP(tbl_FACTS[[#This Row],[CustomerID]],Πίνακας1[CustomerID],Πίνακας1[Country])</f>
        <v>France</v>
      </c>
      <c r="I250">
        <f>_xlfn.XLOOKUP(tbl_FACTS[[#This Row],[OrderID]],Πίνακας64[OrderID],Πίνακας64[EmployeeID])</f>
        <v>1</v>
      </c>
      <c r="J250">
        <f>_xlfn.XLOOKUP(tbl_FACTS[[#This Row],[OrderID]],Πίνακας64[OrderID],Πίνακας64[ShipperID])</f>
        <v>3</v>
      </c>
      <c r="K250" t="str">
        <f>_xlfn.XLOOKUP(tbl_FACTS[[#This Row],[ShipperID]],Πίνακας8[ShipperID],Πίνακας8[ShipperName])</f>
        <v>Federal Shipping</v>
      </c>
      <c r="L250" t="str">
        <f>_xlfn.XLOOKUP(tbl_FACTS[[#This Row],[ProductID]],Πίνακας7[ProductID],Πίνακας7[ProductName])</f>
        <v>Ipoh Coffee</v>
      </c>
      <c r="M250">
        <f>_xlfn.XLOOKUP(tbl_FACTS[[#This Row],[ProductID]],Πίνακας7[ProductID],Πίνακας7[CategoryID])</f>
        <v>1</v>
      </c>
      <c r="N250" t="str">
        <f>_xlfn.XLOOKUP(tbl_FACTS[[#This Row],[CategoryID]],Πίνακας4[CategoryID],Πίνακας4[CategoryName])</f>
        <v>Beverages</v>
      </c>
      <c r="O250">
        <f>_xlfn.XLOOKUP(tbl_FACTS[[#This Row],[ProductID]],Πίνακας7[ProductID],Πίνακας7[SupplierID])</f>
        <v>20</v>
      </c>
      <c r="P250" t="str">
        <f>_xlfn.XLOOKUP(tbl_FACTS[[#This Row],[SupplierID]],Πίνακας9[SupplierID],Πίνακας9[SupplierName])</f>
        <v>Leka Trading</v>
      </c>
      <c r="Q250" s="21">
        <f>_xlfn.XLOOKUP(tbl_FACTS[[#This Row],[ProductID]],Πίνακας7[ProductID],Πίνακας7[Price])</f>
        <v>46</v>
      </c>
      <c r="R250" s="21">
        <f>tbl_FACTS[[#This Row],[Quantity]]*tbl_FACTS[[#This Row],[Price]]</f>
        <v>1840</v>
      </c>
      <c r="S250" s="19">
        <f>IF(COUNTIFS(tbl_FACTS[OrderID],tbl_FACTS[[#This Row],[OrderID]],tbl_FACTS[OrderDetailID],"&lt;"&amp;tbl_FACTS[[#This Row],[OrderDetailID]])=0,1,0)</f>
        <v>0</v>
      </c>
      <c r="T250" s="19">
        <f>YEAR(tbl_FACTS[[#This Row],[OrderDate]])</f>
        <v>1996</v>
      </c>
      <c r="U250" s="22">
        <f>DATE(YEAR(tbl_FACTS[[#This Row],[OrderDate]]),MONTH(tbl_FACTS[[#This Row],[OrderDate]]),1)</f>
        <v>35339</v>
      </c>
      <c r="V250" s="22" t="str">
        <f>IF(tbl_FACTS[[#This Row],[Quantity]]&lt;=10,"0–10",IF(tbl_FACTS[[#This Row],[Quantity]]&lt;=20,"11–20",IF(tbl_FACTS[[#This Row],[Quantity]]&lt;=30,"21–30",IF(tbl_FACTS[[#This Row],[Quantity]]&lt;=40,"31–40",IF(tbl_FACTS[[#This Row],[Quantity]]&lt;=50,"41–50","51+")))))</f>
        <v>31–40</v>
      </c>
    </row>
    <row r="251" spans="1:22">
      <c r="A251">
        <v>250</v>
      </c>
      <c r="B251">
        <v>10341</v>
      </c>
      <c r="C251">
        <v>33</v>
      </c>
      <c r="D251" s="19">
        <v>8</v>
      </c>
      <c r="E251" s="20">
        <f>_xlfn.XLOOKUP(tbl_FACTS[[#This Row],[OrderID]],Πίνακας64[OrderID],Πίνακας64[OrderDate])</f>
        <v>35367</v>
      </c>
      <c r="F251">
        <f>_xlfn.XLOOKUP(tbl_FACTS[[#This Row],[OrderID]],Πίνακας64[OrderID],Πίνακας64[CustomerID])</f>
        <v>73</v>
      </c>
      <c r="G251" t="str">
        <f>_xlfn.XLOOKUP(tbl_FACTS[[#This Row],[CustomerID]],Πίνακας1[CustomerID],Πίνακας1[CustomerName])</f>
        <v>Simons bistro</v>
      </c>
      <c r="H251" t="str">
        <f>_xlfn.XLOOKUP(tbl_FACTS[[#This Row],[CustomerID]],Πίνακας1[CustomerID],Πίνακας1[Country])</f>
        <v>Denmark</v>
      </c>
      <c r="I251">
        <f>_xlfn.XLOOKUP(tbl_FACTS[[#This Row],[OrderID]],Πίνακας64[OrderID],Πίνακας64[EmployeeID])</f>
        <v>7</v>
      </c>
      <c r="J251">
        <f>_xlfn.XLOOKUP(tbl_FACTS[[#This Row],[OrderID]],Πίνακας64[OrderID],Πίνακας64[ShipperID])</f>
        <v>3</v>
      </c>
      <c r="K251" t="str">
        <f>_xlfn.XLOOKUP(tbl_FACTS[[#This Row],[ShipperID]],Πίνακας8[ShipperID],Πίνακας8[ShipperName])</f>
        <v>Federal Shipping</v>
      </c>
      <c r="L251" t="str">
        <f>_xlfn.XLOOKUP(tbl_FACTS[[#This Row],[ProductID]],Πίνακας7[ProductID],Πίνακας7[ProductName])</f>
        <v>Geitost</v>
      </c>
      <c r="M251">
        <f>_xlfn.XLOOKUP(tbl_FACTS[[#This Row],[ProductID]],Πίνακας7[ProductID],Πίνακας7[CategoryID])</f>
        <v>4</v>
      </c>
      <c r="N251" t="str">
        <f>_xlfn.XLOOKUP(tbl_FACTS[[#This Row],[CategoryID]],Πίνακας4[CategoryID],Πίνακας4[CategoryName])</f>
        <v>Dairy Products</v>
      </c>
      <c r="O251">
        <f>_xlfn.XLOOKUP(tbl_FACTS[[#This Row],[ProductID]],Πίνακας7[ProductID],Πίνακας7[SupplierID])</f>
        <v>15</v>
      </c>
      <c r="P251" t="str">
        <f>_xlfn.XLOOKUP(tbl_FACTS[[#This Row],[SupplierID]],Πίνακας9[SupplierID],Πίνακας9[SupplierName])</f>
        <v>Norske Meierier</v>
      </c>
      <c r="Q251" s="21">
        <f>_xlfn.XLOOKUP(tbl_FACTS[[#This Row],[ProductID]],Πίνακας7[ProductID],Πίνακας7[Price])</f>
        <v>3</v>
      </c>
      <c r="R251" s="21">
        <f>tbl_FACTS[[#This Row],[Quantity]]*tbl_FACTS[[#This Row],[Price]]</f>
        <v>24</v>
      </c>
      <c r="S251" s="19">
        <f>IF(COUNTIFS(tbl_FACTS[OrderID],tbl_FACTS[[#This Row],[OrderID]],tbl_FACTS[OrderDetailID],"&lt;"&amp;tbl_FACTS[[#This Row],[OrderDetailID]])=0,1,0)</f>
        <v>1</v>
      </c>
      <c r="T251" s="19">
        <f>YEAR(tbl_FACTS[[#This Row],[OrderDate]])</f>
        <v>1996</v>
      </c>
      <c r="U251" s="22">
        <f>DATE(YEAR(tbl_FACTS[[#This Row],[OrderDate]]),MONTH(tbl_FACTS[[#This Row],[OrderDate]]),1)</f>
        <v>35339</v>
      </c>
      <c r="V251" s="22" t="str">
        <f>IF(tbl_FACTS[[#This Row],[Quantity]]&lt;=10,"0–10",IF(tbl_FACTS[[#This Row],[Quantity]]&lt;=20,"11–20",IF(tbl_FACTS[[#This Row],[Quantity]]&lt;=30,"21–30",IF(tbl_FACTS[[#This Row],[Quantity]]&lt;=40,"31–40",IF(tbl_FACTS[[#This Row],[Quantity]]&lt;=50,"41–50","51+")))))</f>
        <v>0–10</v>
      </c>
    </row>
    <row r="252" spans="1:22">
      <c r="A252">
        <v>251</v>
      </c>
      <c r="B252">
        <v>10341</v>
      </c>
      <c r="C252">
        <v>59</v>
      </c>
      <c r="D252" s="19">
        <v>9</v>
      </c>
      <c r="E252" s="20">
        <f>_xlfn.XLOOKUP(tbl_FACTS[[#This Row],[OrderID]],Πίνακας64[OrderID],Πίνακας64[OrderDate])</f>
        <v>35367</v>
      </c>
      <c r="F252">
        <f>_xlfn.XLOOKUP(tbl_FACTS[[#This Row],[OrderID]],Πίνακας64[OrderID],Πίνακας64[CustomerID])</f>
        <v>73</v>
      </c>
      <c r="G252" t="str">
        <f>_xlfn.XLOOKUP(tbl_FACTS[[#This Row],[CustomerID]],Πίνακας1[CustomerID],Πίνακας1[CustomerName])</f>
        <v>Simons bistro</v>
      </c>
      <c r="H252" t="str">
        <f>_xlfn.XLOOKUP(tbl_FACTS[[#This Row],[CustomerID]],Πίνακας1[CustomerID],Πίνακας1[Country])</f>
        <v>Denmark</v>
      </c>
      <c r="I252">
        <f>_xlfn.XLOOKUP(tbl_FACTS[[#This Row],[OrderID]],Πίνακας64[OrderID],Πίνακας64[EmployeeID])</f>
        <v>7</v>
      </c>
      <c r="J252">
        <f>_xlfn.XLOOKUP(tbl_FACTS[[#This Row],[OrderID]],Πίνακας64[OrderID],Πίνακας64[ShipperID])</f>
        <v>3</v>
      </c>
      <c r="K252" t="str">
        <f>_xlfn.XLOOKUP(tbl_FACTS[[#This Row],[ShipperID]],Πίνακας8[ShipperID],Πίνακας8[ShipperName])</f>
        <v>Federal Shipping</v>
      </c>
      <c r="L252" t="str">
        <f>_xlfn.XLOOKUP(tbl_FACTS[[#This Row],[ProductID]],Πίνακας7[ProductID],Πίνακας7[ProductName])</f>
        <v>Raclette Courdavault</v>
      </c>
      <c r="M252">
        <f>_xlfn.XLOOKUP(tbl_FACTS[[#This Row],[ProductID]],Πίνακας7[ProductID],Πίνακας7[CategoryID])</f>
        <v>4</v>
      </c>
      <c r="N252" t="str">
        <f>_xlfn.XLOOKUP(tbl_FACTS[[#This Row],[CategoryID]],Πίνακας4[CategoryID],Πίνακας4[CategoryName])</f>
        <v>Dairy Products</v>
      </c>
      <c r="O252">
        <f>_xlfn.XLOOKUP(tbl_FACTS[[#This Row],[ProductID]],Πίνακας7[ProductID],Πίνακας7[SupplierID])</f>
        <v>28</v>
      </c>
      <c r="P252" t="str">
        <f>_xlfn.XLOOKUP(tbl_FACTS[[#This Row],[SupplierID]],Πίνακας9[SupplierID],Πίνακας9[SupplierName])</f>
        <v>Gai paturage</v>
      </c>
      <c r="Q252" s="21">
        <f>_xlfn.XLOOKUP(tbl_FACTS[[#This Row],[ProductID]],Πίνακας7[ProductID],Πίνακας7[Price])</f>
        <v>55</v>
      </c>
      <c r="R252" s="21">
        <f>tbl_FACTS[[#This Row],[Quantity]]*tbl_FACTS[[#This Row],[Price]]</f>
        <v>495</v>
      </c>
      <c r="S252" s="19">
        <f>IF(COUNTIFS(tbl_FACTS[OrderID],tbl_FACTS[[#This Row],[OrderID]],tbl_FACTS[OrderDetailID],"&lt;"&amp;tbl_FACTS[[#This Row],[OrderDetailID]])=0,1,0)</f>
        <v>0</v>
      </c>
      <c r="T252" s="19">
        <f>YEAR(tbl_FACTS[[#This Row],[OrderDate]])</f>
        <v>1996</v>
      </c>
      <c r="U252" s="22">
        <f>DATE(YEAR(tbl_FACTS[[#This Row],[OrderDate]]),MONTH(tbl_FACTS[[#This Row],[OrderDate]]),1)</f>
        <v>35339</v>
      </c>
      <c r="V252" s="22" t="str">
        <f>IF(tbl_FACTS[[#This Row],[Quantity]]&lt;=10,"0–10",IF(tbl_FACTS[[#This Row],[Quantity]]&lt;=20,"11–20",IF(tbl_FACTS[[#This Row],[Quantity]]&lt;=30,"21–30",IF(tbl_FACTS[[#This Row],[Quantity]]&lt;=40,"31–40",IF(tbl_FACTS[[#This Row],[Quantity]]&lt;=50,"41–50","51+")))))</f>
        <v>0–10</v>
      </c>
    </row>
    <row r="253" spans="1:22">
      <c r="A253">
        <v>252</v>
      </c>
      <c r="B253">
        <v>10342</v>
      </c>
      <c r="C253">
        <v>2</v>
      </c>
      <c r="D253" s="19">
        <v>24</v>
      </c>
      <c r="E253" s="20">
        <f>_xlfn.XLOOKUP(tbl_FACTS[[#This Row],[OrderID]],Πίνακας64[OrderID],Πίνακας64[OrderDate])</f>
        <v>35368</v>
      </c>
      <c r="F253">
        <f>_xlfn.XLOOKUP(tbl_FACTS[[#This Row],[OrderID]],Πίνακας64[OrderID],Πίνακας64[CustomerID])</f>
        <v>25</v>
      </c>
      <c r="G253" t="str">
        <f>_xlfn.XLOOKUP(tbl_FACTS[[#This Row],[CustomerID]],Πίνακας1[CustomerID],Πίνακας1[CustomerName])</f>
        <v>Frankenversand</v>
      </c>
      <c r="H253" t="str">
        <f>_xlfn.XLOOKUP(tbl_FACTS[[#This Row],[CustomerID]],Πίνακας1[CustomerID],Πίνακας1[Country])</f>
        <v>Germany</v>
      </c>
      <c r="I253">
        <f>_xlfn.XLOOKUP(tbl_FACTS[[#This Row],[OrderID]],Πίνακας64[OrderID],Πίνακας64[EmployeeID])</f>
        <v>4</v>
      </c>
      <c r="J253">
        <f>_xlfn.XLOOKUP(tbl_FACTS[[#This Row],[OrderID]],Πίνακας64[OrderID],Πίνακας64[ShipperID])</f>
        <v>2</v>
      </c>
      <c r="K253" t="str">
        <f>_xlfn.XLOOKUP(tbl_FACTS[[#This Row],[ShipperID]],Πίνακας8[ShipperID],Πίνακας8[ShipperName])</f>
        <v>United Package</v>
      </c>
      <c r="L253" t="str">
        <f>_xlfn.XLOOKUP(tbl_FACTS[[#This Row],[ProductID]],Πίνακας7[ProductID],Πίνακας7[ProductName])</f>
        <v>Chang</v>
      </c>
      <c r="M253">
        <f>_xlfn.XLOOKUP(tbl_FACTS[[#This Row],[ProductID]],Πίνακας7[ProductID],Πίνακας7[CategoryID])</f>
        <v>1</v>
      </c>
      <c r="N253" t="str">
        <f>_xlfn.XLOOKUP(tbl_FACTS[[#This Row],[CategoryID]],Πίνακας4[CategoryID],Πίνακας4[CategoryName])</f>
        <v>Beverages</v>
      </c>
      <c r="O253">
        <f>_xlfn.XLOOKUP(tbl_FACTS[[#This Row],[ProductID]],Πίνακας7[ProductID],Πίνακας7[SupplierID])</f>
        <v>1</v>
      </c>
      <c r="P253" t="str">
        <f>_xlfn.XLOOKUP(tbl_FACTS[[#This Row],[SupplierID]],Πίνακας9[SupplierID],Πίνακας9[SupplierName])</f>
        <v>Exotic Liquid</v>
      </c>
      <c r="Q253" s="21">
        <f>_xlfn.XLOOKUP(tbl_FACTS[[#This Row],[ProductID]],Πίνακας7[ProductID],Πίνακας7[Price])</f>
        <v>19</v>
      </c>
      <c r="R253" s="21">
        <f>tbl_FACTS[[#This Row],[Quantity]]*tbl_FACTS[[#This Row],[Price]]</f>
        <v>456</v>
      </c>
      <c r="S253" s="19">
        <f>IF(COUNTIFS(tbl_FACTS[OrderID],tbl_FACTS[[#This Row],[OrderID]],tbl_FACTS[OrderDetailID],"&lt;"&amp;tbl_FACTS[[#This Row],[OrderDetailID]])=0,1,0)</f>
        <v>1</v>
      </c>
      <c r="T253" s="19">
        <f>YEAR(tbl_FACTS[[#This Row],[OrderDate]])</f>
        <v>1996</v>
      </c>
      <c r="U253" s="22">
        <f>DATE(YEAR(tbl_FACTS[[#This Row],[OrderDate]]),MONTH(tbl_FACTS[[#This Row],[OrderDate]]),1)</f>
        <v>35339</v>
      </c>
      <c r="V253" s="22" t="str">
        <f>IF(tbl_FACTS[[#This Row],[Quantity]]&lt;=10,"0–10",IF(tbl_FACTS[[#This Row],[Quantity]]&lt;=20,"11–20",IF(tbl_FACTS[[#This Row],[Quantity]]&lt;=30,"21–30",IF(tbl_FACTS[[#This Row],[Quantity]]&lt;=40,"31–40",IF(tbl_FACTS[[#This Row],[Quantity]]&lt;=50,"41–50","51+")))))</f>
        <v>21–30</v>
      </c>
    </row>
    <row r="254" spans="1:22">
      <c r="A254">
        <v>253</v>
      </c>
      <c r="B254">
        <v>10342</v>
      </c>
      <c r="C254">
        <v>31</v>
      </c>
      <c r="D254" s="19">
        <v>56</v>
      </c>
      <c r="E254" s="20">
        <f>_xlfn.XLOOKUP(tbl_FACTS[[#This Row],[OrderID]],Πίνακας64[OrderID],Πίνακας64[OrderDate])</f>
        <v>35368</v>
      </c>
      <c r="F254">
        <f>_xlfn.XLOOKUP(tbl_FACTS[[#This Row],[OrderID]],Πίνακας64[OrderID],Πίνακας64[CustomerID])</f>
        <v>25</v>
      </c>
      <c r="G254" t="str">
        <f>_xlfn.XLOOKUP(tbl_FACTS[[#This Row],[CustomerID]],Πίνακας1[CustomerID],Πίνακας1[CustomerName])</f>
        <v>Frankenversand</v>
      </c>
      <c r="H254" t="str">
        <f>_xlfn.XLOOKUP(tbl_FACTS[[#This Row],[CustomerID]],Πίνακας1[CustomerID],Πίνακας1[Country])</f>
        <v>Germany</v>
      </c>
      <c r="I254">
        <f>_xlfn.XLOOKUP(tbl_FACTS[[#This Row],[OrderID]],Πίνακας64[OrderID],Πίνακας64[EmployeeID])</f>
        <v>4</v>
      </c>
      <c r="J254">
        <f>_xlfn.XLOOKUP(tbl_FACTS[[#This Row],[OrderID]],Πίνακας64[OrderID],Πίνακας64[ShipperID])</f>
        <v>2</v>
      </c>
      <c r="K254" t="str">
        <f>_xlfn.XLOOKUP(tbl_FACTS[[#This Row],[ShipperID]],Πίνακας8[ShipperID],Πίνακας8[ShipperName])</f>
        <v>United Package</v>
      </c>
      <c r="L254" t="str">
        <f>_xlfn.XLOOKUP(tbl_FACTS[[#This Row],[ProductID]],Πίνακας7[ProductID],Πίνακας7[ProductName])</f>
        <v>Gorgonzola Telino</v>
      </c>
      <c r="M254">
        <f>_xlfn.XLOOKUP(tbl_FACTS[[#This Row],[ProductID]],Πίνακας7[ProductID],Πίνακας7[CategoryID])</f>
        <v>4</v>
      </c>
      <c r="N254" t="str">
        <f>_xlfn.XLOOKUP(tbl_FACTS[[#This Row],[CategoryID]],Πίνακας4[CategoryID],Πίνακας4[CategoryName])</f>
        <v>Dairy Products</v>
      </c>
      <c r="O254">
        <f>_xlfn.XLOOKUP(tbl_FACTS[[#This Row],[ProductID]],Πίνακας7[ProductID],Πίνακας7[SupplierID])</f>
        <v>14</v>
      </c>
      <c r="P254" t="str">
        <f>_xlfn.XLOOKUP(tbl_FACTS[[#This Row],[SupplierID]],Πίνακας9[SupplierID],Πίνακας9[SupplierName])</f>
        <v>Formaggi Fortini s.r.l.</v>
      </c>
      <c r="Q254" s="21">
        <f>_xlfn.XLOOKUP(tbl_FACTS[[#This Row],[ProductID]],Πίνακας7[ProductID],Πίνακας7[Price])</f>
        <v>13</v>
      </c>
      <c r="R254" s="21">
        <f>tbl_FACTS[[#This Row],[Quantity]]*tbl_FACTS[[#This Row],[Price]]</f>
        <v>728</v>
      </c>
      <c r="S254" s="19">
        <f>IF(COUNTIFS(tbl_FACTS[OrderID],tbl_FACTS[[#This Row],[OrderID]],tbl_FACTS[OrderDetailID],"&lt;"&amp;tbl_FACTS[[#This Row],[OrderDetailID]])=0,1,0)</f>
        <v>0</v>
      </c>
      <c r="T254" s="19">
        <f>YEAR(tbl_FACTS[[#This Row],[OrderDate]])</f>
        <v>1996</v>
      </c>
      <c r="U254" s="22">
        <f>DATE(YEAR(tbl_FACTS[[#This Row],[OrderDate]]),MONTH(tbl_FACTS[[#This Row],[OrderDate]]),1)</f>
        <v>35339</v>
      </c>
      <c r="V254" s="22" t="str">
        <f>IF(tbl_FACTS[[#This Row],[Quantity]]&lt;=10,"0–10",IF(tbl_FACTS[[#This Row],[Quantity]]&lt;=20,"11–20",IF(tbl_FACTS[[#This Row],[Quantity]]&lt;=30,"21–30",IF(tbl_FACTS[[#This Row],[Quantity]]&lt;=40,"31–40",IF(tbl_FACTS[[#This Row],[Quantity]]&lt;=50,"41–50","51+")))))</f>
        <v>51+</v>
      </c>
    </row>
    <row r="255" spans="1:22">
      <c r="A255">
        <v>254</v>
      </c>
      <c r="B255">
        <v>10342</v>
      </c>
      <c r="C255">
        <v>36</v>
      </c>
      <c r="D255" s="19">
        <v>40</v>
      </c>
      <c r="E255" s="20">
        <f>_xlfn.XLOOKUP(tbl_FACTS[[#This Row],[OrderID]],Πίνακας64[OrderID],Πίνακας64[OrderDate])</f>
        <v>35368</v>
      </c>
      <c r="F255">
        <f>_xlfn.XLOOKUP(tbl_FACTS[[#This Row],[OrderID]],Πίνακας64[OrderID],Πίνακας64[CustomerID])</f>
        <v>25</v>
      </c>
      <c r="G255" t="str">
        <f>_xlfn.XLOOKUP(tbl_FACTS[[#This Row],[CustomerID]],Πίνακας1[CustomerID],Πίνακας1[CustomerName])</f>
        <v>Frankenversand</v>
      </c>
      <c r="H255" t="str">
        <f>_xlfn.XLOOKUP(tbl_FACTS[[#This Row],[CustomerID]],Πίνακας1[CustomerID],Πίνακας1[Country])</f>
        <v>Germany</v>
      </c>
      <c r="I255">
        <f>_xlfn.XLOOKUP(tbl_FACTS[[#This Row],[OrderID]],Πίνακας64[OrderID],Πίνακας64[EmployeeID])</f>
        <v>4</v>
      </c>
      <c r="J255">
        <f>_xlfn.XLOOKUP(tbl_FACTS[[#This Row],[OrderID]],Πίνακας64[OrderID],Πίνακας64[ShipperID])</f>
        <v>2</v>
      </c>
      <c r="K255" t="str">
        <f>_xlfn.XLOOKUP(tbl_FACTS[[#This Row],[ShipperID]],Πίνακας8[ShipperID],Πίνακας8[ShipperName])</f>
        <v>United Package</v>
      </c>
      <c r="L255" t="str">
        <f>_xlfn.XLOOKUP(tbl_FACTS[[#This Row],[ProductID]],Πίνακας7[ProductID],Πίνακας7[ProductName])</f>
        <v>Inlagd Sill</v>
      </c>
      <c r="M255">
        <f>_xlfn.XLOOKUP(tbl_FACTS[[#This Row],[ProductID]],Πίνακας7[ProductID],Πίνακας7[CategoryID])</f>
        <v>8</v>
      </c>
      <c r="N255" t="str">
        <f>_xlfn.XLOOKUP(tbl_FACTS[[#This Row],[CategoryID]],Πίνακας4[CategoryID],Πίνακας4[CategoryName])</f>
        <v>Seafood</v>
      </c>
      <c r="O255">
        <f>_xlfn.XLOOKUP(tbl_FACTS[[#This Row],[ProductID]],Πίνακας7[ProductID],Πίνακας7[SupplierID])</f>
        <v>17</v>
      </c>
      <c r="P255" t="str">
        <f>_xlfn.XLOOKUP(tbl_FACTS[[#This Row],[SupplierID]],Πίνακας9[SupplierID],Πίνακας9[SupplierName])</f>
        <v>Svensk Sjofoda AB</v>
      </c>
      <c r="Q255" s="21">
        <f>_xlfn.XLOOKUP(tbl_FACTS[[#This Row],[ProductID]],Πίνακας7[ProductID],Πίνακας7[Price])</f>
        <v>19</v>
      </c>
      <c r="R255" s="21">
        <f>tbl_FACTS[[#This Row],[Quantity]]*tbl_FACTS[[#This Row],[Price]]</f>
        <v>760</v>
      </c>
      <c r="S255" s="19">
        <f>IF(COUNTIFS(tbl_FACTS[OrderID],tbl_FACTS[[#This Row],[OrderID]],tbl_FACTS[OrderDetailID],"&lt;"&amp;tbl_FACTS[[#This Row],[OrderDetailID]])=0,1,0)</f>
        <v>0</v>
      </c>
      <c r="T255" s="19">
        <f>YEAR(tbl_FACTS[[#This Row],[OrderDate]])</f>
        <v>1996</v>
      </c>
      <c r="U255" s="22">
        <f>DATE(YEAR(tbl_FACTS[[#This Row],[OrderDate]]),MONTH(tbl_FACTS[[#This Row],[OrderDate]]),1)</f>
        <v>35339</v>
      </c>
      <c r="V255" s="22" t="str">
        <f>IF(tbl_FACTS[[#This Row],[Quantity]]&lt;=10,"0–10",IF(tbl_FACTS[[#This Row],[Quantity]]&lt;=20,"11–20",IF(tbl_FACTS[[#This Row],[Quantity]]&lt;=30,"21–30",IF(tbl_FACTS[[#This Row],[Quantity]]&lt;=40,"31–40",IF(tbl_FACTS[[#This Row],[Quantity]]&lt;=50,"41–50","51+")))))</f>
        <v>31–40</v>
      </c>
    </row>
    <row r="256" spans="1:22">
      <c r="A256">
        <v>255</v>
      </c>
      <c r="B256">
        <v>10342</v>
      </c>
      <c r="C256">
        <v>55</v>
      </c>
      <c r="D256" s="19">
        <v>40</v>
      </c>
      <c r="E256" s="20">
        <f>_xlfn.XLOOKUP(tbl_FACTS[[#This Row],[OrderID]],Πίνακας64[OrderID],Πίνακας64[OrderDate])</f>
        <v>35368</v>
      </c>
      <c r="F256">
        <f>_xlfn.XLOOKUP(tbl_FACTS[[#This Row],[OrderID]],Πίνακας64[OrderID],Πίνακας64[CustomerID])</f>
        <v>25</v>
      </c>
      <c r="G256" t="str">
        <f>_xlfn.XLOOKUP(tbl_FACTS[[#This Row],[CustomerID]],Πίνακας1[CustomerID],Πίνακας1[CustomerName])</f>
        <v>Frankenversand</v>
      </c>
      <c r="H256" t="str">
        <f>_xlfn.XLOOKUP(tbl_FACTS[[#This Row],[CustomerID]],Πίνακας1[CustomerID],Πίνακας1[Country])</f>
        <v>Germany</v>
      </c>
      <c r="I256">
        <f>_xlfn.XLOOKUP(tbl_FACTS[[#This Row],[OrderID]],Πίνακας64[OrderID],Πίνακας64[EmployeeID])</f>
        <v>4</v>
      </c>
      <c r="J256">
        <f>_xlfn.XLOOKUP(tbl_FACTS[[#This Row],[OrderID]],Πίνακας64[OrderID],Πίνακας64[ShipperID])</f>
        <v>2</v>
      </c>
      <c r="K256" t="str">
        <f>_xlfn.XLOOKUP(tbl_FACTS[[#This Row],[ShipperID]],Πίνακας8[ShipperID],Πίνακας8[ShipperName])</f>
        <v>United Package</v>
      </c>
      <c r="L256" t="str">
        <f>_xlfn.XLOOKUP(tbl_FACTS[[#This Row],[ProductID]],Πίνακας7[ProductID],Πίνακας7[ProductName])</f>
        <v>Pate chinois</v>
      </c>
      <c r="M256">
        <f>_xlfn.XLOOKUP(tbl_FACTS[[#This Row],[ProductID]],Πίνακας7[ProductID],Πίνακας7[CategoryID])</f>
        <v>6</v>
      </c>
      <c r="N256" t="str">
        <f>_xlfn.XLOOKUP(tbl_FACTS[[#This Row],[CategoryID]],Πίνακας4[CategoryID],Πίνακας4[CategoryName])</f>
        <v>Meat/Poultry</v>
      </c>
      <c r="O256">
        <f>_xlfn.XLOOKUP(tbl_FACTS[[#This Row],[ProductID]],Πίνακας7[ProductID],Πίνακας7[SupplierID])</f>
        <v>25</v>
      </c>
      <c r="P256" t="str">
        <f>_xlfn.XLOOKUP(tbl_FACTS[[#This Row],[SupplierID]],Πίνακας9[SupplierID],Πίνακας9[SupplierName])</f>
        <v>Ma Maison</v>
      </c>
      <c r="Q256" s="21">
        <f>_xlfn.XLOOKUP(tbl_FACTS[[#This Row],[ProductID]],Πίνακας7[ProductID],Πίνακας7[Price])</f>
        <v>24</v>
      </c>
      <c r="R256" s="21">
        <f>tbl_FACTS[[#This Row],[Quantity]]*tbl_FACTS[[#This Row],[Price]]</f>
        <v>960</v>
      </c>
      <c r="S256" s="19">
        <f>IF(COUNTIFS(tbl_FACTS[OrderID],tbl_FACTS[[#This Row],[OrderID]],tbl_FACTS[OrderDetailID],"&lt;"&amp;tbl_FACTS[[#This Row],[OrderDetailID]])=0,1,0)</f>
        <v>0</v>
      </c>
      <c r="T256" s="19">
        <f>YEAR(tbl_FACTS[[#This Row],[OrderDate]])</f>
        <v>1996</v>
      </c>
      <c r="U256" s="22">
        <f>DATE(YEAR(tbl_FACTS[[#This Row],[OrderDate]]),MONTH(tbl_FACTS[[#This Row],[OrderDate]]),1)</f>
        <v>35339</v>
      </c>
      <c r="V256" s="22" t="str">
        <f>IF(tbl_FACTS[[#This Row],[Quantity]]&lt;=10,"0–10",IF(tbl_FACTS[[#This Row],[Quantity]]&lt;=20,"11–20",IF(tbl_FACTS[[#This Row],[Quantity]]&lt;=30,"21–30",IF(tbl_FACTS[[#This Row],[Quantity]]&lt;=40,"31–40",IF(tbl_FACTS[[#This Row],[Quantity]]&lt;=50,"41–50","51+")))))</f>
        <v>31–40</v>
      </c>
    </row>
    <row r="257" spans="1:22">
      <c r="A257">
        <v>256</v>
      </c>
      <c r="B257">
        <v>10343</v>
      </c>
      <c r="C257">
        <v>64</v>
      </c>
      <c r="D257" s="19">
        <v>50</v>
      </c>
      <c r="E257" s="20">
        <f>_xlfn.XLOOKUP(tbl_FACTS[[#This Row],[OrderID]],Πίνακας64[OrderID],Πίνακας64[OrderDate])</f>
        <v>35369</v>
      </c>
      <c r="F257">
        <f>_xlfn.XLOOKUP(tbl_FACTS[[#This Row],[OrderID]],Πίνακας64[OrderID],Πίνακας64[CustomerID])</f>
        <v>44</v>
      </c>
      <c r="G257" t="str">
        <f>_xlfn.XLOOKUP(tbl_FACTS[[#This Row],[CustomerID]],Πίνακας1[CustomerID],Πίνακας1[CustomerName])</f>
        <v>Lehmanns Marktstand</v>
      </c>
      <c r="H257" t="str">
        <f>_xlfn.XLOOKUP(tbl_FACTS[[#This Row],[CustomerID]],Πίνακας1[CustomerID],Πίνακας1[Country])</f>
        <v>Germany</v>
      </c>
      <c r="I257">
        <f>_xlfn.XLOOKUP(tbl_FACTS[[#This Row],[OrderID]],Πίνακας64[OrderID],Πίνακας64[EmployeeID])</f>
        <v>4</v>
      </c>
      <c r="J257">
        <f>_xlfn.XLOOKUP(tbl_FACTS[[#This Row],[OrderID]],Πίνακας64[OrderID],Πίνακας64[ShipperID])</f>
        <v>1</v>
      </c>
      <c r="K257" t="str">
        <f>_xlfn.XLOOKUP(tbl_FACTS[[#This Row],[ShipperID]],Πίνακας8[ShipperID],Πίνακας8[ShipperName])</f>
        <v>Speedy Express</v>
      </c>
      <c r="L257" t="str">
        <f>_xlfn.XLOOKUP(tbl_FACTS[[#This Row],[ProductID]],Πίνακας7[ProductID],Πίνακας7[ProductName])</f>
        <v>Wimmers gute Semmelknodel</v>
      </c>
      <c r="M257">
        <f>_xlfn.XLOOKUP(tbl_FACTS[[#This Row],[ProductID]],Πίνακας7[ProductID],Πίνακας7[CategoryID])</f>
        <v>5</v>
      </c>
      <c r="N257" t="str">
        <f>_xlfn.XLOOKUP(tbl_FACTS[[#This Row],[CategoryID]],Πίνακας4[CategoryID],Πίνακας4[CategoryName])</f>
        <v>Grains/Cereals</v>
      </c>
      <c r="O257">
        <f>_xlfn.XLOOKUP(tbl_FACTS[[#This Row],[ProductID]],Πίνακας7[ProductID],Πίνακας7[SupplierID])</f>
        <v>12</v>
      </c>
      <c r="P257" t="str">
        <f>_xlfn.XLOOKUP(tbl_FACTS[[#This Row],[SupplierID]],Πίνακας9[SupplierID],Πίνακας9[SupplierName])</f>
        <v>Plutzer Lebensmittelgro├ƒmarkte AG</v>
      </c>
      <c r="Q257" s="21">
        <f>_xlfn.XLOOKUP(tbl_FACTS[[#This Row],[ProductID]],Πίνακας7[ProductID],Πίνακας7[Price])</f>
        <v>33</v>
      </c>
      <c r="R257" s="21">
        <f>tbl_FACTS[[#This Row],[Quantity]]*tbl_FACTS[[#This Row],[Price]]</f>
        <v>1650</v>
      </c>
      <c r="S257" s="19">
        <f>IF(COUNTIFS(tbl_FACTS[OrderID],tbl_FACTS[[#This Row],[OrderID]],tbl_FACTS[OrderDetailID],"&lt;"&amp;tbl_FACTS[[#This Row],[OrderDetailID]])=0,1,0)</f>
        <v>1</v>
      </c>
      <c r="T257" s="19">
        <f>YEAR(tbl_FACTS[[#This Row],[OrderDate]])</f>
        <v>1996</v>
      </c>
      <c r="U257" s="22">
        <f>DATE(YEAR(tbl_FACTS[[#This Row],[OrderDate]]),MONTH(tbl_FACTS[[#This Row],[OrderDate]]),1)</f>
        <v>35339</v>
      </c>
      <c r="V257" s="22" t="str">
        <f>IF(tbl_FACTS[[#This Row],[Quantity]]&lt;=10,"0–10",IF(tbl_FACTS[[#This Row],[Quantity]]&lt;=20,"11–20",IF(tbl_FACTS[[#This Row],[Quantity]]&lt;=30,"21–30",IF(tbl_FACTS[[#This Row],[Quantity]]&lt;=40,"31–40",IF(tbl_FACTS[[#This Row],[Quantity]]&lt;=50,"41–50","51+")))))</f>
        <v>41–50</v>
      </c>
    </row>
    <row r="258" spans="1:22">
      <c r="A258">
        <v>257</v>
      </c>
      <c r="B258">
        <v>10343</v>
      </c>
      <c r="C258">
        <v>68</v>
      </c>
      <c r="D258" s="19">
        <v>4</v>
      </c>
      <c r="E258" s="20">
        <f>_xlfn.XLOOKUP(tbl_FACTS[[#This Row],[OrderID]],Πίνακας64[OrderID],Πίνακας64[OrderDate])</f>
        <v>35369</v>
      </c>
      <c r="F258">
        <f>_xlfn.XLOOKUP(tbl_FACTS[[#This Row],[OrderID]],Πίνακας64[OrderID],Πίνακας64[CustomerID])</f>
        <v>44</v>
      </c>
      <c r="G258" t="str">
        <f>_xlfn.XLOOKUP(tbl_FACTS[[#This Row],[CustomerID]],Πίνακας1[CustomerID],Πίνακας1[CustomerName])</f>
        <v>Lehmanns Marktstand</v>
      </c>
      <c r="H258" t="str">
        <f>_xlfn.XLOOKUP(tbl_FACTS[[#This Row],[CustomerID]],Πίνακας1[CustomerID],Πίνακας1[Country])</f>
        <v>Germany</v>
      </c>
      <c r="I258">
        <f>_xlfn.XLOOKUP(tbl_FACTS[[#This Row],[OrderID]],Πίνακας64[OrderID],Πίνακας64[EmployeeID])</f>
        <v>4</v>
      </c>
      <c r="J258">
        <f>_xlfn.XLOOKUP(tbl_FACTS[[#This Row],[OrderID]],Πίνακας64[OrderID],Πίνακας64[ShipperID])</f>
        <v>1</v>
      </c>
      <c r="K258" t="str">
        <f>_xlfn.XLOOKUP(tbl_FACTS[[#This Row],[ShipperID]],Πίνακας8[ShipperID],Πίνακας8[ShipperName])</f>
        <v>Speedy Express</v>
      </c>
      <c r="L258" t="str">
        <f>_xlfn.XLOOKUP(tbl_FACTS[[#This Row],[ProductID]],Πίνακας7[ProductID],Πίνακας7[ProductName])</f>
        <v>Scottish Longbreads</v>
      </c>
      <c r="M258">
        <f>_xlfn.XLOOKUP(tbl_FACTS[[#This Row],[ProductID]],Πίνακας7[ProductID],Πίνακας7[CategoryID])</f>
        <v>3</v>
      </c>
      <c r="N258" t="str">
        <f>_xlfn.XLOOKUP(tbl_FACTS[[#This Row],[CategoryID]],Πίνακας4[CategoryID],Πίνακας4[CategoryName])</f>
        <v>Confections</v>
      </c>
      <c r="O258">
        <f>_xlfn.XLOOKUP(tbl_FACTS[[#This Row],[ProductID]],Πίνακας7[ProductID],Πίνακας7[SupplierID])</f>
        <v>8</v>
      </c>
      <c r="P258" t="str">
        <f>_xlfn.XLOOKUP(tbl_FACTS[[#This Row],[SupplierID]],Πίνακας9[SupplierID],Πίνακας9[SupplierName])</f>
        <v>Specialty Biscuits, Ltd.</v>
      </c>
      <c r="Q258" s="21">
        <f>_xlfn.XLOOKUP(tbl_FACTS[[#This Row],[ProductID]],Πίνακας7[ProductID],Πίνακας7[Price])</f>
        <v>13</v>
      </c>
      <c r="R258" s="21">
        <f>tbl_FACTS[[#This Row],[Quantity]]*tbl_FACTS[[#This Row],[Price]]</f>
        <v>52</v>
      </c>
      <c r="S258" s="19">
        <f>IF(COUNTIFS(tbl_FACTS[OrderID],tbl_FACTS[[#This Row],[OrderID]],tbl_FACTS[OrderDetailID],"&lt;"&amp;tbl_FACTS[[#This Row],[OrderDetailID]])=0,1,0)</f>
        <v>0</v>
      </c>
      <c r="T258" s="19">
        <f>YEAR(tbl_FACTS[[#This Row],[OrderDate]])</f>
        <v>1996</v>
      </c>
      <c r="U258" s="22">
        <f>DATE(YEAR(tbl_FACTS[[#This Row],[OrderDate]]),MONTH(tbl_FACTS[[#This Row],[OrderDate]]),1)</f>
        <v>35339</v>
      </c>
      <c r="V258" s="22" t="str">
        <f>IF(tbl_FACTS[[#This Row],[Quantity]]&lt;=10,"0–10",IF(tbl_FACTS[[#This Row],[Quantity]]&lt;=20,"11–20",IF(tbl_FACTS[[#This Row],[Quantity]]&lt;=30,"21–30",IF(tbl_FACTS[[#This Row],[Quantity]]&lt;=40,"31–40",IF(tbl_FACTS[[#This Row],[Quantity]]&lt;=50,"41–50","51+")))))</f>
        <v>0–10</v>
      </c>
    </row>
    <row r="259" spans="1:22">
      <c r="A259">
        <v>258</v>
      </c>
      <c r="B259">
        <v>10343</v>
      </c>
      <c r="C259">
        <v>76</v>
      </c>
      <c r="D259" s="19">
        <v>15</v>
      </c>
      <c r="E259" s="20">
        <f>_xlfn.XLOOKUP(tbl_FACTS[[#This Row],[OrderID]],Πίνακας64[OrderID],Πίνακας64[OrderDate])</f>
        <v>35369</v>
      </c>
      <c r="F259">
        <f>_xlfn.XLOOKUP(tbl_FACTS[[#This Row],[OrderID]],Πίνακας64[OrderID],Πίνακας64[CustomerID])</f>
        <v>44</v>
      </c>
      <c r="G259" t="str">
        <f>_xlfn.XLOOKUP(tbl_FACTS[[#This Row],[CustomerID]],Πίνακας1[CustomerID],Πίνακας1[CustomerName])</f>
        <v>Lehmanns Marktstand</v>
      </c>
      <c r="H259" t="str">
        <f>_xlfn.XLOOKUP(tbl_FACTS[[#This Row],[CustomerID]],Πίνακας1[CustomerID],Πίνακας1[Country])</f>
        <v>Germany</v>
      </c>
      <c r="I259">
        <f>_xlfn.XLOOKUP(tbl_FACTS[[#This Row],[OrderID]],Πίνακας64[OrderID],Πίνακας64[EmployeeID])</f>
        <v>4</v>
      </c>
      <c r="J259">
        <f>_xlfn.XLOOKUP(tbl_FACTS[[#This Row],[OrderID]],Πίνακας64[OrderID],Πίνακας64[ShipperID])</f>
        <v>1</v>
      </c>
      <c r="K259" t="str">
        <f>_xlfn.XLOOKUP(tbl_FACTS[[#This Row],[ShipperID]],Πίνακας8[ShipperID],Πίνακας8[ShipperName])</f>
        <v>Speedy Express</v>
      </c>
      <c r="L259" t="str">
        <f>_xlfn.XLOOKUP(tbl_FACTS[[#This Row],[ProductID]],Πίνακας7[ProductID],Πίνακας7[ProductName])</f>
        <v>Lakkalikoori</v>
      </c>
      <c r="M259">
        <f>_xlfn.XLOOKUP(tbl_FACTS[[#This Row],[ProductID]],Πίνακας7[ProductID],Πίνακας7[CategoryID])</f>
        <v>1</v>
      </c>
      <c r="N259" t="str">
        <f>_xlfn.XLOOKUP(tbl_FACTS[[#This Row],[CategoryID]],Πίνακας4[CategoryID],Πίνακας4[CategoryName])</f>
        <v>Beverages</v>
      </c>
      <c r="O259">
        <f>_xlfn.XLOOKUP(tbl_FACTS[[#This Row],[ProductID]],Πίνακας7[ProductID],Πίνακας7[SupplierID])</f>
        <v>23</v>
      </c>
      <c r="P259" t="str">
        <f>_xlfn.XLOOKUP(tbl_FACTS[[#This Row],[SupplierID]],Πίνακας9[SupplierID],Πίνακας9[SupplierName])</f>
        <v>Karkki Oy</v>
      </c>
      <c r="Q259" s="21">
        <f>_xlfn.XLOOKUP(tbl_FACTS[[#This Row],[ProductID]],Πίνακας7[ProductID],Πίνακας7[Price])</f>
        <v>18</v>
      </c>
      <c r="R259" s="21">
        <f>tbl_FACTS[[#This Row],[Quantity]]*tbl_FACTS[[#This Row],[Price]]</f>
        <v>270</v>
      </c>
      <c r="S259" s="19">
        <f>IF(COUNTIFS(tbl_FACTS[OrderID],tbl_FACTS[[#This Row],[OrderID]],tbl_FACTS[OrderDetailID],"&lt;"&amp;tbl_FACTS[[#This Row],[OrderDetailID]])=0,1,0)</f>
        <v>0</v>
      </c>
      <c r="T259" s="19">
        <f>YEAR(tbl_FACTS[[#This Row],[OrderDate]])</f>
        <v>1996</v>
      </c>
      <c r="U259" s="22">
        <f>DATE(YEAR(tbl_FACTS[[#This Row],[OrderDate]]),MONTH(tbl_FACTS[[#This Row],[OrderDate]]),1)</f>
        <v>35339</v>
      </c>
      <c r="V259" s="22" t="str">
        <f>IF(tbl_FACTS[[#This Row],[Quantity]]&lt;=10,"0–10",IF(tbl_FACTS[[#This Row],[Quantity]]&lt;=20,"11–20",IF(tbl_FACTS[[#This Row],[Quantity]]&lt;=30,"21–30",IF(tbl_FACTS[[#This Row],[Quantity]]&lt;=40,"31–40",IF(tbl_FACTS[[#This Row],[Quantity]]&lt;=50,"41–50","51+")))))</f>
        <v>11–20</v>
      </c>
    </row>
    <row r="260" spans="1:22">
      <c r="A260">
        <v>259</v>
      </c>
      <c r="B260">
        <v>10344</v>
      </c>
      <c r="C260">
        <v>4</v>
      </c>
      <c r="D260" s="19">
        <v>35</v>
      </c>
      <c r="E260" s="20">
        <f>_xlfn.XLOOKUP(tbl_FACTS[[#This Row],[OrderID]],Πίνακας64[OrderID],Πίνακας64[OrderDate])</f>
        <v>35370</v>
      </c>
      <c r="F260">
        <f>_xlfn.XLOOKUP(tbl_FACTS[[#This Row],[OrderID]],Πίνακας64[OrderID],Πίνακας64[CustomerID])</f>
        <v>89</v>
      </c>
      <c r="G260" t="str">
        <f>_xlfn.XLOOKUP(tbl_FACTS[[#This Row],[CustomerID]],Πίνακας1[CustomerID],Πίνακας1[CustomerName])</f>
        <v>White Clover Markets</v>
      </c>
      <c r="H260" t="str">
        <f>_xlfn.XLOOKUP(tbl_FACTS[[#This Row],[CustomerID]],Πίνακας1[CustomerID],Πίνακας1[Country])</f>
        <v>USA</v>
      </c>
      <c r="I260">
        <f>_xlfn.XLOOKUP(tbl_FACTS[[#This Row],[OrderID]],Πίνακας64[OrderID],Πίνακας64[EmployeeID])</f>
        <v>4</v>
      </c>
      <c r="J260">
        <f>_xlfn.XLOOKUP(tbl_FACTS[[#This Row],[OrderID]],Πίνακας64[OrderID],Πίνακας64[ShipperID])</f>
        <v>2</v>
      </c>
      <c r="K260" t="str">
        <f>_xlfn.XLOOKUP(tbl_FACTS[[#This Row],[ShipperID]],Πίνακας8[ShipperID],Πίνακας8[ShipperName])</f>
        <v>United Package</v>
      </c>
      <c r="L260" t="str">
        <f>_xlfn.XLOOKUP(tbl_FACTS[[#This Row],[ProductID]],Πίνακας7[ProductID],Πίνακας7[ProductName])</f>
        <v>Chef Anton's Cajun Seasoning</v>
      </c>
      <c r="M260">
        <f>_xlfn.XLOOKUP(tbl_FACTS[[#This Row],[ProductID]],Πίνακας7[ProductID],Πίνακας7[CategoryID])</f>
        <v>2</v>
      </c>
      <c r="N260" t="str">
        <f>_xlfn.XLOOKUP(tbl_FACTS[[#This Row],[CategoryID]],Πίνακας4[CategoryID],Πίνακας4[CategoryName])</f>
        <v>Condiments</v>
      </c>
      <c r="O260">
        <f>_xlfn.XLOOKUP(tbl_FACTS[[#This Row],[ProductID]],Πίνακας7[ProductID],Πίνακας7[SupplierID])</f>
        <v>2</v>
      </c>
      <c r="P260" t="str">
        <f>_xlfn.XLOOKUP(tbl_FACTS[[#This Row],[SupplierID]],Πίνακας9[SupplierID],Πίνακας9[SupplierName])</f>
        <v>New Orleans Cajun Delights</v>
      </c>
      <c r="Q260" s="21">
        <f>_xlfn.XLOOKUP(tbl_FACTS[[#This Row],[ProductID]],Πίνακας7[ProductID],Πίνακας7[Price])</f>
        <v>22</v>
      </c>
      <c r="R260" s="21">
        <f>tbl_FACTS[[#This Row],[Quantity]]*tbl_FACTS[[#This Row],[Price]]</f>
        <v>770</v>
      </c>
      <c r="S260" s="19">
        <f>IF(COUNTIFS(tbl_FACTS[OrderID],tbl_FACTS[[#This Row],[OrderID]],tbl_FACTS[OrderDetailID],"&lt;"&amp;tbl_FACTS[[#This Row],[OrderDetailID]])=0,1,0)</f>
        <v>1</v>
      </c>
      <c r="T260" s="19">
        <f>YEAR(tbl_FACTS[[#This Row],[OrderDate]])</f>
        <v>1996</v>
      </c>
      <c r="U260" s="22">
        <f>DATE(YEAR(tbl_FACTS[[#This Row],[OrderDate]]),MONTH(tbl_FACTS[[#This Row],[OrderDate]]),1)</f>
        <v>35370</v>
      </c>
      <c r="V260" s="22" t="str">
        <f>IF(tbl_FACTS[[#This Row],[Quantity]]&lt;=10,"0–10",IF(tbl_FACTS[[#This Row],[Quantity]]&lt;=20,"11–20",IF(tbl_FACTS[[#This Row],[Quantity]]&lt;=30,"21–30",IF(tbl_FACTS[[#This Row],[Quantity]]&lt;=40,"31–40",IF(tbl_FACTS[[#This Row],[Quantity]]&lt;=50,"41–50","51+")))))</f>
        <v>31–40</v>
      </c>
    </row>
    <row r="261" spans="1:22">
      <c r="A261">
        <v>260</v>
      </c>
      <c r="B261">
        <v>10344</v>
      </c>
      <c r="C261">
        <v>8</v>
      </c>
      <c r="D261" s="19">
        <v>70</v>
      </c>
      <c r="E261" s="20">
        <f>_xlfn.XLOOKUP(tbl_FACTS[[#This Row],[OrderID]],Πίνακας64[OrderID],Πίνακας64[OrderDate])</f>
        <v>35370</v>
      </c>
      <c r="F261">
        <f>_xlfn.XLOOKUP(tbl_FACTS[[#This Row],[OrderID]],Πίνακας64[OrderID],Πίνακας64[CustomerID])</f>
        <v>89</v>
      </c>
      <c r="G261" t="str">
        <f>_xlfn.XLOOKUP(tbl_FACTS[[#This Row],[CustomerID]],Πίνακας1[CustomerID],Πίνακας1[CustomerName])</f>
        <v>White Clover Markets</v>
      </c>
      <c r="H261" t="str">
        <f>_xlfn.XLOOKUP(tbl_FACTS[[#This Row],[CustomerID]],Πίνακας1[CustomerID],Πίνακας1[Country])</f>
        <v>USA</v>
      </c>
      <c r="I261">
        <f>_xlfn.XLOOKUP(tbl_FACTS[[#This Row],[OrderID]],Πίνακας64[OrderID],Πίνακας64[EmployeeID])</f>
        <v>4</v>
      </c>
      <c r="J261">
        <f>_xlfn.XLOOKUP(tbl_FACTS[[#This Row],[OrderID]],Πίνακας64[OrderID],Πίνακας64[ShipperID])</f>
        <v>2</v>
      </c>
      <c r="K261" t="str">
        <f>_xlfn.XLOOKUP(tbl_FACTS[[#This Row],[ShipperID]],Πίνακας8[ShipperID],Πίνακας8[ShipperName])</f>
        <v>United Package</v>
      </c>
      <c r="L261" t="str">
        <f>_xlfn.XLOOKUP(tbl_FACTS[[#This Row],[ProductID]],Πίνακας7[ProductID],Πίνακας7[ProductName])</f>
        <v>Northwoods Cranberry Sauce</v>
      </c>
      <c r="M261">
        <f>_xlfn.XLOOKUP(tbl_FACTS[[#This Row],[ProductID]],Πίνακας7[ProductID],Πίνακας7[CategoryID])</f>
        <v>2</v>
      </c>
      <c r="N261" t="str">
        <f>_xlfn.XLOOKUP(tbl_FACTS[[#This Row],[CategoryID]],Πίνακας4[CategoryID],Πίνακας4[CategoryName])</f>
        <v>Condiments</v>
      </c>
      <c r="O261">
        <f>_xlfn.XLOOKUP(tbl_FACTS[[#This Row],[ProductID]],Πίνακας7[ProductID],Πίνακας7[SupplierID])</f>
        <v>3</v>
      </c>
      <c r="P261" t="str">
        <f>_xlfn.XLOOKUP(tbl_FACTS[[#This Row],[SupplierID]],Πίνακας9[SupplierID],Πίνακας9[SupplierName])</f>
        <v>Grandma Kelly's Homestead</v>
      </c>
      <c r="Q261" s="21">
        <f>_xlfn.XLOOKUP(tbl_FACTS[[#This Row],[ProductID]],Πίνακας7[ProductID],Πίνακας7[Price])</f>
        <v>40</v>
      </c>
      <c r="R261" s="21">
        <f>tbl_FACTS[[#This Row],[Quantity]]*tbl_FACTS[[#This Row],[Price]]</f>
        <v>2800</v>
      </c>
      <c r="S261" s="19">
        <f>IF(COUNTIFS(tbl_FACTS[OrderID],tbl_FACTS[[#This Row],[OrderID]],tbl_FACTS[OrderDetailID],"&lt;"&amp;tbl_FACTS[[#This Row],[OrderDetailID]])=0,1,0)</f>
        <v>0</v>
      </c>
      <c r="T261" s="19">
        <f>YEAR(tbl_FACTS[[#This Row],[OrderDate]])</f>
        <v>1996</v>
      </c>
      <c r="U261" s="22">
        <f>DATE(YEAR(tbl_FACTS[[#This Row],[OrderDate]]),MONTH(tbl_FACTS[[#This Row],[OrderDate]]),1)</f>
        <v>35370</v>
      </c>
      <c r="V261" s="22" t="str">
        <f>IF(tbl_FACTS[[#This Row],[Quantity]]&lt;=10,"0–10",IF(tbl_FACTS[[#This Row],[Quantity]]&lt;=20,"11–20",IF(tbl_FACTS[[#This Row],[Quantity]]&lt;=30,"21–30",IF(tbl_FACTS[[#This Row],[Quantity]]&lt;=40,"31–40",IF(tbl_FACTS[[#This Row],[Quantity]]&lt;=50,"41–50","51+")))))</f>
        <v>51+</v>
      </c>
    </row>
    <row r="262" spans="1:22">
      <c r="A262">
        <v>261</v>
      </c>
      <c r="B262">
        <v>10345</v>
      </c>
      <c r="C262">
        <v>8</v>
      </c>
      <c r="D262" s="19">
        <v>70</v>
      </c>
      <c r="E262" s="20">
        <f>_xlfn.XLOOKUP(tbl_FACTS[[#This Row],[OrderID]],Πίνακας64[OrderID],Πίνακας64[OrderDate])</f>
        <v>35373</v>
      </c>
      <c r="F262">
        <f>_xlfn.XLOOKUP(tbl_FACTS[[#This Row],[OrderID]],Πίνακας64[OrderID],Πίνακας64[CustomerID])</f>
        <v>63</v>
      </c>
      <c r="G262" t="str">
        <f>_xlfn.XLOOKUP(tbl_FACTS[[#This Row],[CustomerID]],Πίνακας1[CustomerID],Πίνακας1[CustomerName])</f>
        <v>QUICK-Stop</v>
      </c>
      <c r="H262" t="str">
        <f>_xlfn.XLOOKUP(tbl_FACTS[[#This Row],[CustomerID]],Πίνακας1[CustomerID],Πίνακας1[Country])</f>
        <v>Germany</v>
      </c>
      <c r="I262">
        <f>_xlfn.XLOOKUP(tbl_FACTS[[#This Row],[OrderID]],Πίνακας64[OrderID],Πίνακας64[EmployeeID])</f>
        <v>2</v>
      </c>
      <c r="J262">
        <f>_xlfn.XLOOKUP(tbl_FACTS[[#This Row],[OrderID]],Πίνακας64[OrderID],Πίνακας64[ShipperID])</f>
        <v>2</v>
      </c>
      <c r="K262" t="str">
        <f>_xlfn.XLOOKUP(tbl_FACTS[[#This Row],[ShipperID]],Πίνακας8[ShipperID],Πίνακας8[ShipperName])</f>
        <v>United Package</v>
      </c>
      <c r="L262" t="str">
        <f>_xlfn.XLOOKUP(tbl_FACTS[[#This Row],[ProductID]],Πίνακας7[ProductID],Πίνακας7[ProductName])</f>
        <v>Northwoods Cranberry Sauce</v>
      </c>
      <c r="M262">
        <f>_xlfn.XLOOKUP(tbl_FACTS[[#This Row],[ProductID]],Πίνακας7[ProductID],Πίνακας7[CategoryID])</f>
        <v>2</v>
      </c>
      <c r="N262" t="str">
        <f>_xlfn.XLOOKUP(tbl_FACTS[[#This Row],[CategoryID]],Πίνακας4[CategoryID],Πίνακας4[CategoryName])</f>
        <v>Condiments</v>
      </c>
      <c r="O262">
        <f>_xlfn.XLOOKUP(tbl_FACTS[[#This Row],[ProductID]],Πίνακας7[ProductID],Πίνακας7[SupplierID])</f>
        <v>3</v>
      </c>
      <c r="P262" t="str">
        <f>_xlfn.XLOOKUP(tbl_FACTS[[#This Row],[SupplierID]],Πίνακας9[SupplierID],Πίνακας9[SupplierName])</f>
        <v>Grandma Kelly's Homestead</v>
      </c>
      <c r="Q262" s="21">
        <f>_xlfn.XLOOKUP(tbl_FACTS[[#This Row],[ProductID]],Πίνακας7[ProductID],Πίνακας7[Price])</f>
        <v>40</v>
      </c>
      <c r="R262" s="21">
        <f>tbl_FACTS[[#This Row],[Quantity]]*tbl_FACTS[[#This Row],[Price]]</f>
        <v>2800</v>
      </c>
      <c r="S262" s="19">
        <f>IF(COUNTIFS(tbl_FACTS[OrderID],tbl_FACTS[[#This Row],[OrderID]],tbl_FACTS[OrderDetailID],"&lt;"&amp;tbl_FACTS[[#This Row],[OrderDetailID]])=0,1,0)</f>
        <v>1</v>
      </c>
      <c r="T262" s="19">
        <f>YEAR(tbl_FACTS[[#This Row],[OrderDate]])</f>
        <v>1996</v>
      </c>
      <c r="U262" s="22">
        <f>DATE(YEAR(tbl_FACTS[[#This Row],[OrderDate]]),MONTH(tbl_FACTS[[#This Row],[OrderDate]]),1)</f>
        <v>35370</v>
      </c>
      <c r="V262" s="22" t="str">
        <f>IF(tbl_FACTS[[#This Row],[Quantity]]&lt;=10,"0–10",IF(tbl_FACTS[[#This Row],[Quantity]]&lt;=20,"11–20",IF(tbl_FACTS[[#This Row],[Quantity]]&lt;=30,"21–30",IF(tbl_FACTS[[#This Row],[Quantity]]&lt;=40,"31–40",IF(tbl_FACTS[[#This Row],[Quantity]]&lt;=50,"41–50","51+")))))</f>
        <v>51+</v>
      </c>
    </row>
    <row r="263" spans="1:22">
      <c r="A263">
        <v>262</v>
      </c>
      <c r="B263">
        <v>10345</v>
      </c>
      <c r="C263">
        <v>19</v>
      </c>
      <c r="D263" s="19">
        <v>80</v>
      </c>
      <c r="E263" s="20">
        <f>_xlfn.XLOOKUP(tbl_FACTS[[#This Row],[OrderID]],Πίνακας64[OrderID],Πίνακας64[OrderDate])</f>
        <v>35373</v>
      </c>
      <c r="F263">
        <f>_xlfn.XLOOKUP(tbl_FACTS[[#This Row],[OrderID]],Πίνακας64[OrderID],Πίνακας64[CustomerID])</f>
        <v>63</v>
      </c>
      <c r="G263" t="str">
        <f>_xlfn.XLOOKUP(tbl_FACTS[[#This Row],[CustomerID]],Πίνακας1[CustomerID],Πίνακας1[CustomerName])</f>
        <v>QUICK-Stop</v>
      </c>
      <c r="H263" t="str">
        <f>_xlfn.XLOOKUP(tbl_FACTS[[#This Row],[CustomerID]],Πίνακας1[CustomerID],Πίνακας1[Country])</f>
        <v>Germany</v>
      </c>
      <c r="I263">
        <f>_xlfn.XLOOKUP(tbl_FACTS[[#This Row],[OrderID]],Πίνακας64[OrderID],Πίνακας64[EmployeeID])</f>
        <v>2</v>
      </c>
      <c r="J263">
        <f>_xlfn.XLOOKUP(tbl_FACTS[[#This Row],[OrderID]],Πίνακας64[OrderID],Πίνακας64[ShipperID])</f>
        <v>2</v>
      </c>
      <c r="K263" t="str">
        <f>_xlfn.XLOOKUP(tbl_FACTS[[#This Row],[ShipperID]],Πίνακας8[ShipperID],Πίνακας8[ShipperName])</f>
        <v>United Package</v>
      </c>
      <c r="L263" t="str">
        <f>_xlfn.XLOOKUP(tbl_FACTS[[#This Row],[ProductID]],Πίνακας7[ProductID],Πίνακας7[ProductName])</f>
        <v>Teatime Chocolate Biscuits</v>
      </c>
      <c r="M263">
        <f>_xlfn.XLOOKUP(tbl_FACTS[[#This Row],[ProductID]],Πίνακας7[ProductID],Πίνακας7[CategoryID])</f>
        <v>3</v>
      </c>
      <c r="N263" t="str">
        <f>_xlfn.XLOOKUP(tbl_FACTS[[#This Row],[CategoryID]],Πίνακας4[CategoryID],Πίνακας4[CategoryName])</f>
        <v>Confections</v>
      </c>
      <c r="O263">
        <f>_xlfn.XLOOKUP(tbl_FACTS[[#This Row],[ProductID]],Πίνακας7[ProductID],Πίνακας7[SupplierID])</f>
        <v>8</v>
      </c>
      <c r="P263" t="str">
        <f>_xlfn.XLOOKUP(tbl_FACTS[[#This Row],[SupplierID]],Πίνακας9[SupplierID],Πίνακας9[SupplierName])</f>
        <v>Specialty Biscuits, Ltd.</v>
      </c>
      <c r="Q263" s="21">
        <f>_xlfn.XLOOKUP(tbl_FACTS[[#This Row],[ProductID]],Πίνακας7[ProductID],Πίνακας7[Price])</f>
        <v>9</v>
      </c>
      <c r="R263" s="21">
        <f>tbl_FACTS[[#This Row],[Quantity]]*tbl_FACTS[[#This Row],[Price]]</f>
        <v>720</v>
      </c>
      <c r="S263" s="19">
        <f>IF(COUNTIFS(tbl_FACTS[OrderID],tbl_FACTS[[#This Row],[OrderID]],tbl_FACTS[OrderDetailID],"&lt;"&amp;tbl_FACTS[[#This Row],[OrderDetailID]])=0,1,0)</f>
        <v>0</v>
      </c>
      <c r="T263" s="19">
        <f>YEAR(tbl_FACTS[[#This Row],[OrderDate]])</f>
        <v>1996</v>
      </c>
      <c r="U263" s="22">
        <f>DATE(YEAR(tbl_FACTS[[#This Row],[OrderDate]]),MONTH(tbl_FACTS[[#This Row],[OrderDate]]),1)</f>
        <v>35370</v>
      </c>
      <c r="V263" s="22" t="str">
        <f>IF(tbl_FACTS[[#This Row],[Quantity]]&lt;=10,"0–10",IF(tbl_FACTS[[#This Row],[Quantity]]&lt;=20,"11–20",IF(tbl_FACTS[[#This Row],[Quantity]]&lt;=30,"21–30",IF(tbl_FACTS[[#This Row],[Quantity]]&lt;=40,"31–40",IF(tbl_FACTS[[#This Row],[Quantity]]&lt;=50,"41–50","51+")))))</f>
        <v>51+</v>
      </c>
    </row>
    <row r="264" spans="1:22">
      <c r="A264">
        <v>263</v>
      </c>
      <c r="B264">
        <v>10345</v>
      </c>
      <c r="C264">
        <v>42</v>
      </c>
      <c r="D264" s="19">
        <v>9</v>
      </c>
      <c r="E264" s="20">
        <f>_xlfn.XLOOKUP(tbl_FACTS[[#This Row],[OrderID]],Πίνακας64[OrderID],Πίνακας64[OrderDate])</f>
        <v>35373</v>
      </c>
      <c r="F264">
        <f>_xlfn.XLOOKUP(tbl_FACTS[[#This Row],[OrderID]],Πίνακας64[OrderID],Πίνακας64[CustomerID])</f>
        <v>63</v>
      </c>
      <c r="G264" t="str">
        <f>_xlfn.XLOOKUP(tbl_FACTS[[#This Row],[CustomerID]],Πίνακας1[CustomerID],Πίνακας1[CustomerName])</f>
        <v>QUICK-Stop</v>
      </c>
      <c r="H264" t="str">
        <f>_xlfn.XLOOKUP(tbl_FACTS[[#This Row],[CustomerID]],Πίνακας1[CustomerID],Πίνακας1[Country])</f>
        <v>Germany</v>
      </c>
      <c r="I264">
        <f>_xlfn.XLOOKUP(tbl_FACTS[[#This Row],[OrderID]],Πίνακας64[OrderID],Πίνακας64[EmployeeID])</f>
        <v>2</v>
      </c>
      <c r="J264">
        <f>_xlfn.XLOOKUP(tbl_FACTS[[#This Row],[OrderID]],Πίνακας64[OrderID],Πίνακας64[ShipperID])</f>
        <v>2</v>
      </c>
      <c r="K264" t="str">
        <f>_xlfn.XLOOKUP(tbl_FACTS[[#This Row],[ShipperID]],Πίνακας8[ShipperID],Πίνακας8[ShipperName])</f>
        <v>United Package</v>
      </c>
      <c r="L264" t="str">
        <f>_xlfn.XLOOKUP(tbl_FACTS[[#This Row],[ProductID]],Πίνακας7[ProductID],Πίνακας7[ProductName])</f>
        <v>Singaporean Hokkien Fried Mee</v>
      </c>
      <c r="M264">
        <f>_xlfn.XLOOKUP(tbl_FACTS[[#This Row],[ProductID]],Πίνακας7[ProductID],Πίνακας7[CategoryID])</f>
        <v>5</v>
      </c>
      <c r="N264" t="str">
        <f>_xlfn.XLOOKUP(tbl_FACTS[[#This Row],[CategoryID]],Πίνακας4[CategoryID],Πίνακας4[CategoryName])</f>
        <v>Grains/Cereals</v>
      </c>
      <c r="O264">
        <f>_xlfn.XLOOKUP(tbl_FACTS[[#This Row],[ProductID]],Πίνακας7[ProductID],Πίνακας7[SupplierID])</f>
        <v>20</v>
      </c>
      <c r="P264" t="str">
        <f>_xlfn.XLOOKUP(tbl_FACTS[[#This Row],[SupplierID]],Πίνακας9[SupplierID],Πίνακας9[SupplierName])</f>
        <v>Leka Trading</v>
      </c>
      <c r="Q264" s="21">
        <f>_xlfn.XLOOKUP(tbl_FACTS[[#This Row],[ProductID]],Πίνακας7[ProductID],Πίνακας7[Price])</f>
        <v>14</v>
      </c>
      <c r="R264" s="21">
        <f>tbl_FACTS[[#This Row],[Quantity]]*tbl_FACTS[[#This Row],[Price]]</f>
        <v>126</v>
      </c>
      <c r="S264" s="19">
        <f>IF(COUNTIFS(tbl_FACTS[OrderID],tbl_FACTS[[#This Row],[OrderID]],tbl_FACTS[OrderDetailID],"&lt;"&amp;tbl_FACTS[[#This Row],[OrderDetailID]])=0,1,0)</f>
        <v>0</v>
      </c>
      <c r="T264" s="19">
        <f>YEAR(tbl_FACTS[[#This Row],[OrderDate]])</f>
        <v>1996</v>
      </c>
      <c r="U264" s="22">
        <f>DATE(YEAR(tbl_FACTS[[#This Row],[OrderDate]]),MONTH(tbl_FACTS[[#This Row],[OrderDate]]),1)</f>
        <v>35370</v>
      </c>
      <c r="V264" s="22" t="str">
        <f>IF(tbl_FACTS[[#This Row],[Quantity]]&lt;=10,"0–10",IF(tbl_FACTS[[#This Row],[Quantity]]&lt;=20,"11–20",IF(tbl_FACTS[[#This Row],[Quantity]]&lt;=30,"21–30",IF(tbl_FACTS[[#This Row],[Quantity]]&lt;=40,"31–40",IF(tbl_FACTS[[#This Row],[Quantity]]&lt;=50,"41–50","51+")))))</f>
        <v>0–10</v>
      </c>
    </row>
    <row r="265" spans="1:22">
      <c r="A265">
        <v>264</v>
      </c>
      <c r="B265">
        <v>10346</v>
      </c>
      <c r="C265">
        <v>17</v>
      </c>
      <c r="D265" s="19">
        <v>36</v>
      </c>
      <c r="E265" s="20">
        <f>_xlfn.XLOOKUP(tbl_FACTS[[#This Row],[OrderID]],Πίνακας64[OrderID],Πίνακας64[OrderDate])</f>
        <v>35374</v>
      </c>
      <c r="F265">
        <f>_xlfn.XLOOKUP(tbl_FACTS[[#This Row],[OrderID]],Πίνακας64[OrderID],Πίνακας64[CustomerID])</f>
        <v>65</v>
      </c>
      <c r="G265" t="str">
        <f>_xlfn.XLOOKUP(tbl_FACTS[[#This Row],[CustomerID]],Πίνακας1[CustomerID],Πίνακας1[CustomerName])</f>
        <v>Rattlesnake Canyon Grocery</v>
      </c>
      <c r="H265" t="str">
        <f>_xlfn.XLOOKUP(tbl_FACTS[[#This Row],[CustomerID]],Πίνακας1[CustomerID],Πίνακας1[Country])</f>
        <v>USA</v>
      </c>
      <c r="I265">
        <f>_xlfn.XLOOKUP(tbl_FACTS[[#This Row],[OrderID]],Πίνακας64[OrderID],Πίνακας64[EmployeeID])</f>
        <v>3</v>
      </c>
      <c r="J265">
        <f>_xlfn.XLOOKUP(tbl_FACTS[[#This Row],[OrderID]],Πίνακας64[OrderID],Πίνακας64[ShipperID])</f>
        <v>3</v>
      </c>
      <c r="K265" t="str">
        <f>_xlfn.XLOOKUP(tbl_FACTS[[#This Row],[ShipperID]],Πίνακας8[ShipperID],Πίνακας8[ShipperName])</f>
        <v>Federal Shipping</v>
      </c>
      <c r="L265" t="str">
        <f>_xlfn.XLOOKUP(tbl_FACTS[[#This Row],[ProductID]],Πίνακας7[ProductID],Πίνακας7[ProductName])</f>
        <v>Alice Mutton</v>
      </c>
      <c r="M265">
        <f>_xlfn.XLOOKUP(tbl_FACTS[[#This Row],[ProductID]],Πίνακας7[ProductID],Πίνακας7[CategoryID])</f>
        <v>6</v>
      </c>
      <c r="N265" t="str">
        <f>_xlfn.XLOOKUP(tbl_FACTS[[#This Row],[CategoryID]],Πίνακας4[CategoryID],Πίνακας4[CategoryName])</f>
        <v>Meat/Poultry</v>
      </c>
      <c r="O265">
        <f>_xlfn.XLOOKUP(tbl_FACTS[[#This Row],[ProductID]],Πίνακας7[ProductID],Πίνακας7[SupplierID])</f>
        <v>7</v>
      </c>
      <c r="P265" t="str">
        <f>_xlfn.XLOOKUP(tbl_FACTS[[#This Row],[SupplierID]],Πίνακας9[SupplierID],Πίνακας9[SupplierName])</f>
        <v>Pavlova, Ltd.</v>
      </c>
      <c r="Q265" s="21">
        <f>_xlfn.XLOOKUP(tbl_FACTS[[#This Row],[ProductID]],Πίνακας7[ProductID],Πίνακας7[Price])</f>
        <v>39</v>
      </c>
      <c r="R265" s="21">
        <f>tbl_FACTS[[#This Row],[Quantity]]*tbl_FACTS[[#This Row],[Price]]</f>
        <v>1404</v>
      </c>
      <c r="S265" s="19">
        <f>IF(COUNTIFS(tbl_FACTS[OrderID],tbl_FACTS[[#This Row],[OrderID]],tbl_FACTS[OrderDetailID],"&lt;"&amp;tbl_FACTS[[#This Row],[OrderDetailID]])=0,1,0)</f>
        <v>1</v>
      </c>
      <c r="T265" s="19">
        <f>YEAR(tbl_FACTS[[#This Row],[OrderDate]])</f>
        <v>1996</v>
      </c>
      <c r="U265" s="22">
        <f>DATE(YEAR(tbl_FACTS[[#This Row],[OrderDate]]),MONTH(tbl_FACTS[[#This Row],[OrderDate]]),1)</f>
        <v>35370</v>
      </c>
      <c r="V265" s="22" t="str">
        <f>IF(tbl_FACTS[[#This Row],[Quantity]]&lt;=10,"0–10",IF(tbl_FACTS[[#This Row],[Quantity]]&lt;=20,"11–20",IF(tbl_FACTS[[#This Row],[Quantity]]&lt;=30,"21–30",IF(tbl_FACTS[[#This Row],[Quantity]]&lt;=40,"31–40",IF(tbl_FACTS[[#This Row],[Quantity]]&lt;=50,"41–50","51+")))))</f>
        <v>31–40</v>
      </c>
    </row>
    <row r="266" spans="1:22">
      <c r="A266">
        <v>265</v>
      </c>
      <c r="B266">
        <v>10346</v>
      </c>
      <c r="C266">
        <v>56</v>
      </c>
      <c r="D266" s="19">
        <v>20</v>
      </c>
      <c r="E266" s="20">
        <f>_xlfn.XLOOKUP(tbl_FACTS[[#This Row],[OrderID]],Πίνακας64[OrderID],Πίνακας64[OrderDate])</f>
        <v>35374</v>
      </c>
      <c r="F266">
        <f>_xlfn.XLOOKUP(tbl_FACTS[[#This Row],[OrderID]],Πίνακας64[OrderID],Πίνακας64[CustomerID])</f>
        <v>65</v>
      </c>
      <c r="G266" t="str">
        <f>_xlfn.XLOOKUP(tbl_FACTS[[#This Row],[CustomerID]],Πίνακας1[CustomerID],Πίνακας1[CustomerName])</f>
        <v>Rattlesnake Canyon Grocery</v>
      </c>
      <c r="H266" t="str">
        <f>_xlfn.XLOOKUP(tbl_FACTS[[#This Row],[CustomerID]],Πίνακας1[CustomerID],Πίνακας1[Country])</f>
        <v>USA</v>
      </c>
      <c r="I266">
        <f>_xlfn.XLOOKUP(tbl_FACTS[[#This Row],[OrderID]],Πίνακας64[OrderID],Πίνακας64[EmployeeID])</f>
        <v>3</v>
      </c>
      <c r="J266">
        <f>_xlfn.XLOOKUP(tbl_FACTS[[#This Row],[OrderID]],Πίνακας64[OrderID],Πίνακας64[ShipperID])</f>
        <v>3</v>
      </c>
      <c r="K266" t="str">
        <f>_xlfn.XLOOKUP(tbl_FACTS[[#This Row],[ShipperID]],Πίνακας8[ShipperID],Πίνακας8[ShipperName])</f>
        <v>Federal Shipping</v>
      </c>
      <c r="L266" t="str">
        <f>_xlfn.XLOOKUP(tbl_FACTS[[#This Row],[ProductID]],Πίνακας7[ProductID],Πίνακας7[ProductName])</f>
        <v>Gnocchi di nonna Alice</v>
      </c>
      <c r="M266">
        <f>_xlfn.XLOOKUP(tbl_FACTS[[#This Row],[ProductID]],Πίνακας7[ProductID],Πίνακας7[CategoryID])</f>
        <v>5</v>
      </c>
      <c r="N266" t="str">
        <f>_xlfn.XLOOKUP(tbl_FACTS[[#This Row],[CategoryID]],Πίνακας4[CategoryID],Πίνακας4[CategoryName])</f>
        <v>Grains/Cereals</v>
      </c>
      <c r="O266">
        <f>_xlfn.XLOOKUP(tbl_FACTS[[#This Row],[ProductID]],Πίνακας7[ProductID],Πίνακας7[SupplierID])</f>
        <v>26</v>
      </c>
      <c r="P266" t="str">
        <f>_xlfn.XLOOKUP(tbl_FACTS[[#This Row],[SupplierID]],Πίνακας9[SupplierID],Πίνακας9[SupplierName])</f>
        <v>Pasta Buttini s.r.l.</v>
      </c>
      <c r="Q266" s="21">
        <f>_xlfn.XLOOKUP(tbl_FACTS[[#This Row],[ProductID]],Πίνακας7[ProductID],Πίνακας7[Price])</f>
        <v>38</v>
      </c>
      <c r="R266" s="21">
        <f>tbl_FACTS[[#This Row],[Quantity]]*tbl_FACTS[[#This Row],[Price]]</f>
        <v>760</v>
      </c>
      <c r="S266" s="19">
        <f>IF(COUNTIFS(tbl_FACTS[OrderID],tbl_FACTS[[#This Row],[OrderID]],tbl_FACTS[OrderDetailID],"&lt;"&amp;tbl_FACTS[[#This Row],[OrderDetailID]])=0,1,0)</f>
        <v>0</v>
      </c>
      <c r="T266" s="19">
        <f>YEAR(tbl_FACTS[[#This Row],[OrderDate]])</f>
        <v>1996</v>
      </c>
      <c r="U266" s="22">
        <f>DATE(YEAR(tbl_FACTS[[#This Row],[OrderDate]]),MONTH(tbl_FACTS[[#This Row],[OrderDate]]),1)</f>
        <v>35370</v>
      </c>
      <c r="V266" s="22" t="str">
        <f>IF(tbl_FACTS[[#This Row],[Quantity]]&lt;=10,"0–10",IF(tbl_FACTS[[#This Row],[Quantity]]&lt;=20,"11–20",IF(tbl_FACTS[[#This Row],[Quantity]]&lt;=30,"21–30",IF(tbl_FACTS[[#This Row],[Quantity]]&lt;=40,"31–40",IF(tbl_FACTS[[#This Row],[Quantity]]&lt;=50,"41–50","51+")))))</f>
        <v>11–20</v>
      </c>
    </row>
    <row r="267" spans="1:22">
      <c r="A267">
        <v>266</v>
      </c>
      <c r="B267">
        <v>10347</v>
      </c>
      <c r="C267">
        <v>25</v>
      </c>
      <c r="D267" s="19">
        <v>10</v>
      </c>
      <c r="E267" s="20">
        <f>_xlfn.XLOOKUP(tbl_FACTS[[#This Row],[OrderID]],Πίνακας64[OrderID],Πίνακας64[OrderDate])</f>
        <v>35375</v>
      </c>
      <c r="F267">
        <f>_xlfn.XLOOKUP(tbl_FACTS[[#This Row],[OrderID]],Πίνακας64[OrderID],Πίνακας64[CustomerID])</f>
        <v>21</v>
      </c>
      <c r="G267" t="str">
        <f>_xlfn.XLOOKUP(tbl_FACTS[[#This Row],[CustomerID]],Πίνακας1[CustomerID],Πίνακας1[CustomerName])</f>
        <v>Familia Arquibaldo</v>
      </c>
      <c r="H267" t="str">
        <f>_xlfn.XLOOKUP(tbl_FACTS[[#This Row],[CustomerID]],Πίνακας1[CustomerID],Πίνακας1[Country])</f>
        <v>Brazil</v>
      </c>
      <c r="I267">
        <f>_xlfn.XLOOKUP(tbl_FACTS[[#This Row],[OrderID]],Πίνακας64[OrderID],Πίνακας64[EmployeeID])</f>
        <v>4</v>
      </c>
      <c r="J267">
        <f>_xlfn.XLOOKUP(tbl_FACTS[[#This Row],[OrderID]],Πίνακας64[OrderID],Πίνακας64[ShipperID])</f>
        <v>3</v>
      </c>
      <c r="K267" t="str">
        <f>_xlfn.XLOOKUP(tbl_FACTS[[#This Row],[ShipperID]],Πίνακας8[ShipperID],Πίνακας8[ShipperName])</f>
        <v>Federal Shipping</v>
      </c>
      <c r="L267" t="str">
        <f>_xlfn.XLOOKUP(tbl_FACTS[[#This Row],[ProductID]],Πίνακας7[ProductID],Πίνακας7[ProductName])</f>
        <v>NuNuCa Nu├ƒ-Nougat-Creme</v>
      </c>
      <c r="M267">
        <f>_xlfn.XLOOKUP(tbl_FACTS[[#This Row],[ProductID]],Πίνακας7[ProductID],Πίνακας7[CategoryID])</f>
        <v>3</v>
      </c>
      <c r="N267" t="str">
        <f>_xlfn.XLOOKUP(tbl_FACTS[[#This Row],[CategoryID]],Πίνακας4[CategoryID],Πίνακας4[CategoryName])</f>
        <v>Confections</v>
      </c>
      <c r="O267">
        <f>_xlfn.XLOOKUP(tbl_FACTS[[#This Row],[ProductID]],Πίνακας7[ProductID],Πίνακας7[SupplierID])</f>
        <v>11</v>
      </c>
      <c r="P267" t="str">
        <f>_xlfn.XLOOKUP(tbl_FACTS[[#This Row],[SupplierID]],Πίνακας9[SupplierID],Πίνακας9[SupplierName])</f>
        <v>Heli Su├ƒwaren GmbH &amp; Co. KG</v>
      </c>
      <c r="Q267" s="21">
        <f>_xlfn.XLOOKUP(tbl_FACTS[[#This Row],[ProductID]],Πίνακας7[ProductID],Πίνακας7[Price])</f>
        <v>14</v>
      </c>
      <c r="R267" s="21">
        <f>tbl_FACTS[[#This Row],[Quantity]]*tbl_FACTS[[#This Row],[Price]]</f>
        <v>140</v>
      </c>
      <c r="S267" s="19">
        <f>IF(COUNTIFS(tbl_FACTS[OrderID],tbl_FACTS[[#This Row],[OrderID]],tbl_FACTS[OrderDetailID],"&lt;"&amp;tbl_FACTS[[#This Row],[OrderDetailID]])=0,1,0)</f>
        <v>1</v>
      </c>
      <c r="T267" s="19">
        <f>YEAR(tbl_FACTS[[#This Row],[OrderDate]])</f>
        <v>1996</v>
      </c>
      <c r="U267" s="22">
        <f>DATE(YEAR(tbl_FACTS[[#This Row],[OrderDate]]),MONTH(tbl_FACTS[[#This Row],[OrderDate]]),1)</f>
        <v>35370</v>
      </c>
      <c r="V267" s="22" t="str">
        <f>IF(tbl_FACTS[[#This Row],[Quantity]]&lt;=10,"0–10",IF(tbl_FACTS[[#This Row],[Quantity]]&lt;=20,"11–20",IF(tbl_FACTS[[#This Row],[Quantity]]&lt;=30,"21–30",IF(tbl_FACTS[[#This Row],[Quantity]]&lt;=40,"31–40",IF(tbl_FACTS[[#This Row],[Quantity]]&lt;=50,"41–50","51+")))))</f>
        <v>0–10</v>
      </c>
    </row>
    <row r="268" spans="1:22">
      <c r="A268">
        <v>267</v>
      </c>
      <c r="B268">
        <v>10347</v>
      </c>
      <c r="C268">
        <v>39</v>
      </c>
      <c r="D268" s="19">
        <v>50</v>
      </c>
      <c r="E268" s="20">
        <f>_xlfn.XLOOKUP(tbl_FACTS[[#This Row],[OrderID]],Πίνακας64[OrderID],Πίνακας64[OrderDate])</f>
        <v>35375</v>
      </c>
      <c r="F268">
        <f>_xlfn.XLOOKUP(tbl_FACTS[[#This Row],[OrderID]],Πίνακας64[OrderID],Πίνακας64[CustomerID])</f>
        <v>21</v>
      </c>
      <c r="G268" t="str">
        <f>_xlfn.XLOOKUP(tbl_FACTS[[#This Row],[CustomerID]],Πίνακας1[CustomerID],Πίνακας1[CustomerName])</f>
        <v>Familia Arquibaldo</v>
      </c>
      <c r="H268" t="str">
        <f>_xlfn.XLOOKUP(tbl_FACTS[[#This Row],[CustomerID]],Πίνακας1[CustomerID],Πίνακας1[Country])</f>
        <v>Brazil</v>
      </c>
      <c r="I268">
        <f>_xlfn.XLOOKUP(tbl_FACTS[[#This Row],[OrderID]],Πίνακας64[OrderID],Πίνακας64[EmployeeID])</f>
        <v>4</v>
      </c>
      <c r="J268">
        <f>_xlfn.XLOOKUP(tbl_FACTS[[#This Row],[OrderID]],Πίνακας64[OrderID],Πίνακας64[ShipperID])</f>
        <v>3</v>
      </c>
      <c r="K268" t="str">
        <f>_xlfn.XLOOKUP(tbl_FACTS[[#This Row],[ShipperID]],Πίνακας8[ShipperID],Πίνακας8[ShipperName])</f>
        <v>Federal Shipping</v>
      </c>
      <c r="L268" t="str">
        <f>_xlfn.XLOOKUP(tbl_FACTS[[#This Row],[ProductID]],Πίνακας7[ProductID],Πίνακας7[ProductName])</f>
        <v>Chartreuse verte</v>
      </c>
      <c r="M268">
        <f>_xlfn.XLOOKUP(tbl_FACTS[[#This Row],[ProductID]],Πίνακας7[ProductID],Πίνακας7[CategoryID])</f>
        <v>1</v>
      </c>
      <c r="N268" t="str">
        <f>_xlfn.XLOOKUP(tbl_FACTS[[#This Row],[CategoryID]],Πίνακας4[CategoryID],Πίνακας4[CategoryName])</f>
        <v>Beverages</v>
      </c>
      <c r="O268">
        <f>_xlfn.XLOOKUP(tbl_FACTS[[#This Row],[ProductID]],Πίνακας7[ProductID],Πίνακας7[SupplierID])</f>
        <v>18</v>
      </c>
      <c r="P268" t="str">
        <f>_xlfn.XLOOKUP(tbl_FACTS[[#This Row],[SupplierID]],Πίνακας9[SupplierID],Πίνακας9[SupplierName])</f>
        <v>Aux joyeux ecclesiastiques</v>
      </c>
      <c r="Q268" s="21">
        <f>_xlfn.XLOOKUP(tbl_FACTS[[#This Row],[ProductID]],Πίνακας7[ProductID],Πίνακας7[Price])</f>
        <v>18</v>
      </c>
      <c r="R268" s="21">
        <f>tbl_FACTS[[#This Row],[Quantity]]*tbl_FACTS[[#This Row],[Price]]</f>
        <v>900</v>
      </c>
      <c r="S268" s="19">
        <f>IF(COUNTIFS(tbl_FACTS[OrderID],tbl_FACTS[[#This Row],[OrderID]],tbl_FACTS[OrderDetailID],"&lt;"&amp;tbl_FACTS[[#This Row],[OrderDetailID]])=0,1,0)</f>
        <v>0</v>
      </c>
      <c r="T268" s="19">
        <f>YEAR(tbl_FACTS[[#This Row],[OrderDate]])</f>
        <v>1996</v>
      </c>
      <c r="U268" s="22">
        <f>DATE(YEAR(tbl_FACTS[[#This Row],[OrderDate]]),MONTH(tbl_FACTS[[#This Row],[OrderDate]]),1)</f>
        <v>35370</v>
      </c>
      <c r="V268" s="22" t="str">
        <f>IF(tbl_FACTS[[#This Row],[Quantity]]&lt;=10,"0–10",IF(tbl_FACTS[[#This Row],[Quantity]]&lt;=20,"11–20",IF(tbl_FACTS[[#This Row],[Quantity]]&lt;=30,"21–30",IF(tbl_FACTS[[#This Row],[Quantity]]&lt;=40,"31–40",IF(tbl_FACTS[[#This Row],[Quantity]]&lt;=50,"41–50","51+")))))</f>
        <v>41–50</v>
      </c>
    </row>
    <row r="269" spans="1:22">
      <c r="A269">
        <v>268</v>
      </c>
      <c r="B269">
        <v>10347</v>
      </c>
      <c r="C269">
        <v>40</v>
      </c>
      <c r="D269" s="19">
        <v>4</v>
      </c>
      <c r="E269" s="20">
        <f>_xlfn.XLOOKUP(tbl_FACTS[[#This Row],[OrderID]],Πίνακας64[OrderID],Πίνακας64[OrderDate])</f>
        <v>35375</v>
      </c>
      <c r="F269">
        <f>_xlfn.XLOOKUP(tbl_FACTS[[#This Row],[OrderID]],Πίνακας64[OrderID],Πίνακας64[CustomerID])</f>
        <v>21</v>
      </c>
      <c r="G269" t="str">
        <f>_xlfn.XLOOKUP(tbl_FACTS[[#This Row],[CustomerID]],Πίνακας1[CustomerID],Πίνακας1[CustomerName])</f>
        <v>Familia Arquibaldo</v>
      </c>
      <c r="H269" t="str">
        <f>_xlfn.XLOOKUP(tbl_FACTS[[#This Row],[CustomerID]],Πίνακας1[CustomerID],Πίνακας1[Country])</f>
        <v>Brazil</v>
      </c>
      <c r="I269">
        <f>_xlfn.XLOOKUP(tbl_FACTS[[#This Row],[OrderID]],Πίνακας64[OrderID],Πίνακας64[EmployeeID])</f>
        <v>4</v>
      </c>
      <c r="J269">
        <f>_xlfn.XLOOKUP(tbl_FACTS[[#This Row],[OrderID]],Πίνακας64[OrderID],Πίνακας64[ShipperID])</f>
        <v>3</v>
      </c>
      <c r="K269" t="str">
        <f>_xlfn.XLOOKUP(tbl_FACTS[[#This Row],[ShipperID]],Πίνακας8[ShipperID],Πίνακας8[ShipperName])</f>
        <v>Federal Shipping</v>
      </c>
      <c r="L269" t="str">
        <f>_xlfn.XLOOKUP(tbl_FACTS[[#This Row],[ProductID]],Πίνακας7[ProductID],Πίνακας7[ProductName])</f>
        <v>Boston Crab Meat</v>
      </c>
      <c r="M269">
        <f>_xlfn.XLOOKUP(tbl_FACTS[[#This Row],[ProductID]],Πίνακας7[ProductID],Πίνακας7[CategoryID])</f>
        <v>8</v>
      </c>
      <c r="N269" t="str">
        <f>_xlfn.XLOOKUP(tbl_FACTS[[#This Row],[CategoryID]],Πίνακας4[CategoryID],Πίνακας4[CategoryName])</f>
        <v>Seafood</v>
      </c>
      <c r="O269">
        <f>_xlfn.XLOOKUP(tbl_FACTS[[#This Row],[ProductID]],Πίνακας7[ProductID],Πίνακας7[SupplierID])</f>
        <v>19</v>
      </c>
      <c r="P269" t="str">
        <f>_xlfn.XLOOKUP(tbl_FACTS[[#This Row],[SupplierID]],Πίνακας9[SupplierID],Πίνακας9[SupplierName])</f>
        <v>New England Seafood Cannery</v>
      </c>
      <c r="Q269" s="21">
        <f>_xlfn.XLOOKUP(tbl_FACTS[[#This Row],[ProductID]],Πίνακας7[ProductID],Πίνακας7[Price])</f>
        <v>18</v>
      </c>
      <c r="R269" s="21">
        <f>tbl_FACTS[[#This Row],[Quantity]]*tbl_FACTS[[#This Row],[Price]]</f>
        <v>72</v>
      </c>
      <c r="S269" s="19">
        <f>IF(COUNTIFS(tbl_FACTS[OrderID],tbl_FACTS[[#This Row],[OrderID]],tbl_FACTS[OrderDetailID],"&lt;"&amp;tbl_FACTS[[#This Row],[OrderDetailID]])=0,1,0)</f>
        <v>0</v>
      </c>
      <c r="T269" s="19">
        <f>YEAR(tbl_FACTS[[#This Row],[OrderDate]])</f>
        <v>1996</v>
      </c>
      <c r="U269" s="22">
        <f>DATE(YEAR(tbl_FACTS[[#This Row],[OrderDate]]),MONTH(tbl_FACTS[[#This Row],[OrderDate]]),1)</f>
        <v>35370</v>
      </c>
      <c r="V269" s="22" t="str">
        <f>IF(tbl_FACTS[[#This Row],[Quantity]]&lt;=10,"0–10",IF(tbl_FACTS[[#This Row],[Quantity]]&lt;=20,"11–20",IF(tbl_FACTS[[#This Row],[Quantity]]&lt;=30,"21–30",IF(tbl_FACTS[[#This Row],[Quantity]]&lt;=40,"31–40",IF(tbl_FACTS[[#This Row],[Quantity]]&lt;=50,"41–50","51+")))))</f>
        <v>0–10</v>
      </c>
    </row>
    <row r="270" spans="1:22">
      <c r="A270">
        <v>269</v>
      </c>
      <c r="B270">
        <v>10347</v>
      </c>
      <c r="C270">
        <v>75</v>
      </c>
      <c r="D270" s="19">
        <v>6</v>
      </c>
      <c r="E270" s="20">
        <f>_xlfn.XLOOKUP(tbl_FACTS[[#This Row],[OrderID]],Πίνακας64[OrderID],Πίνακας64[OrderDate])</f>
        <v>35375</v>
      </c>
      <c r="F270">
        <f>_xlfn.XLOOKUP(tbl_FACTS[[#This Row],[OrderID]],Πίνακας64[OrderID],Πίνακας64[CustomerID])</f>
        <v>21</v>
      </c>
      <c r="G270" t="str">
        <f>_xlfn.XLOOKUP(tbl_FACTS[[#This Row],[CustomerID]],Πίνακας1[CustomerID],Πίνακας1[CustomerName])</f>
        <v>Familia Arquibaldo</v>
      </c>
      <c r="H270" t="str">
        <f>_xlfn.XLOOKUP(tbl_FACTS[[#This Row],[CustomerID]],Πίνακας1[CustomerID],Πίνακας1[Country])</f>
        <v>Brazil</v>
      </c>
      <c r="I270">
        <f>_xlfn.XLOOKUP(tbl_FACTS[[#This Row],[OrderID]],Πίνακας64[OrderID],Πίνακας64[EmployeeID])</f>
        <v>4</v>
      </c>
      <c r="J270">
        <f>_xlfn.XLOOKUP(tbl_FACTS[[#This Row],[OrderID]],Πίνακας64[OrderID],Πίνακας64[ShipperID])</f>
        <v>3</v>
      </c>
      <c r="K270" t="str">
        <f>_xlfn.XLOOKUP(tbl_FACTS[[#This Row],[ShipperID]],Πίνακας8[ShipperID],Πίνακας8[ShipperName])</f>
        <v>Federal Shipping</v>
      </c>
      <c r="L270" t="str">
        <f>_xlfn.XLOOKUP(tbl_FACTS[[#This Row],[ProductID]],Πίνακας7[ProductID],Πίνακας7[ProductName])</f>
        <v>Rhonbrau Klosterbier</v>
      </c>
      <c r="M270">
        <f>_xlfn.XLOOKUP(tbl_FACTS[[#This Row],[ProductID]],Πίνακας7[ProductID],Πίνακας7[CategoryID])</f>
        <v>1</v>
      </c>
      <c r="N270" t="str">
        <f>_xlfn.XLOOKUP(tbl_FACTS[[#This Row],[CategoryID]],Πίνακας4[CategoryID],Πίνακας4[CategoryName])</f>
        <v>Beverages</v>
      </c>
      <c r="O270">
        <f>_xlfn.XLOOKUP(tbl_FACTS[[#This Row],[ProductID]],Πίνακας7[ProductID],Πίνακας7[SupplierID])</f>
        <v>12</v>
      </c>
      <c r="P270" t="str">
        <f>_xlfn.XLOOKUP(tbl_FACTS[[#This Row],[SupplierID]],Πίνακας9[SupplierID],Πίνακας9[SupplierName])</f>
        <v>Plutzer Lebensmittelgro├ƒmarkte AG</v>
      </c>
      <c r="Q270" s="21">
        <f>_xlfn.XLOOKUP(tbl_FACTS[[#This Row],[ProductID]],Πίνακας7[ProductID],Πίνακας7[Price])</f>
        <v>8</v>
      </c>
      <c r="R270" s="21">
        <f>tbl_FACTS[[#This Row],[Quantity]]*tbl_FACTS[[#This Row],[Price]]</f>
        <v>48</v>
      </c>
      <c r="S270" s="19">
        <f>IF(COUNTIFS(tbl_FACTS[OrderID],tbl_FACTS[[#This Row],[OrderID]],tbl_FACTS[OrderDetailID],"&lt;"&amp;tbl_FACTS[[#This Row],[OrderDetailID]])=0,1,0)</f>
        <v>0</v>
      </c>
      <c r="T270" s="19">
        <f>YEAR(tbl_FACTS[[#This Row],[OrderDate]])</f>
        <v>1996</v>
      </c>
      <c r="U270" s="22">
        <f>DATE(YEAR(tbl_FACTS[[#This Row],[OrderDate]]),MONTH(tbl_FACTS[[#This Row],[OrderDate]]),1)</f>
        <v>35370</v>
      </c>
      <c r="V270" s="22" t="str">
        <f>IF(tbl_FACTS[[#This Row],[Quantity]]&lt;=10,"0–10",IF(tbl_FACTS[[#This Row],[Quantity]]&lt;=20,"11–20",IF(tbl_FACTS[[#This Row],[Quantity]]&lt;=30,"21–30",IF(tbl_FACTS[[#This Row],[Quantity]]&lt;=40,"31–40",IF(tbl_FACTS[[#This Row],[Quantity]]&lt;=50,"41–50","51+")))))</f>
        <v>0–10</v>
      </c>
    </row>
    <row r="271" spans="1:22">
      <c r="A271">
        <v>270</v>
      </c>
      <c r="B271">
        <v>10348</v>
      </c>
      <c r="C271">
        <v>1</v>
      </c>
      <c r="D271" s="19">
        <v>15</v>
      </c>
      <c r="E271" s="20">
        <f>_xlfn.XLOOKUP(tbl_FACTS[[#This Row],[OrderID]],Πίνακας64[OrderID],Πίνακας64[OrderDate])</f>
        <v>35376</v>
      </c>
      <c r="F271">
        <f>_xlfn.XLOOKUP(tbl_FACTS[[#This Row],[OrderID]],Πίνακας64[OrderID],Πίνακας64[CustomerID])</f>
        <v>86</v>
      </c>
      <c r="G271" t="str">
        <f>_xlfn.XLOOKUP(tbl_FACTS[[#This Row],[CustomerID]],Πίνακας1[CustomerID],Πίνακας1[CustomerName])</f>
        <v>Die Wandernde Kuh</v>
      </c>
      <c r="H271" t="str">
        <f>_xlfn.XLOOKUP(tbl_FACTS[[#This Row],[CustomerID]],Πίνακας1[CustomerID],Πίνακας1[Country])</f>
        <v>Germany</v>
      </c>
      <c r="I271">
        <f>_xlfn.XLOOKUP(tbl_FACTS[[#This Row],[OrderID]],Πίνακας64[OrderID],Πίνακας64[EmployeeID])</f>
        <v>4</v>
      </c>
      <c r="J271">
        <f>_xlfn.XLOOKUP(tbl_FACTS[[#This Row],[OrderID]],Πίνακας64[OrderID],Πίνακας64[ShipperID])</f>
        <v>2</v>
      </c>
      <c r="K271" t="str">
        <f>_xlfn.XLOOKUP(tbl_FACTS[[#This Row],[ShipperID]],Πίνακας8[ShipperID],Πίνακας8[ShipperName])</f>
        <v>United Package</v>
      </c>
      <c r="L271" t="str">
        <f>_xlfn.XLOOKUP(tbl_FACTS[[#This Row],[ProductID]],Πίνακας7[ProductID],Πίνακας7[ProductName])</f>
        <v>Chais</v>
      </c>
      <c r="M271">
        <f>_xlfn.XLOOKUP(tbl_FACTS[[#This Row],[ProductID]],Πίνακας7[ProductID],Πίνακας7[CategoryID])</f>
        <v>1</v>
      </c>
      <c r="N271" t="str">
        <f>_xlfn.XLOOKUP(tbl_FACTS[[#This Row],[CategoryID]],Πίνακας4[CategoryID],Πίνακας4[CategoryName])</f>
        <v>Beverages</v>
      </c>
      <c r="O271">
        <f>_xlfn.XLOOKUP(tbl_FACTS[[#This Row],[ProductID]],Πίνακας7[ProductID],Πίνακας7[SupplierID])</f>
        <v>1</v>
      </c>
      <c r="P271" t="str">
        <f>_xlfn.XLOOKUP(tbl_FACTS[[#This Row],[SupplierID]],Πίνακας9[SupplierID],Πίνακας9[SupplierName])</f>
        <v>Exotic Liquid</v>
      </c>
      <c r="Q271" s="21">
        <f>_xlfn.XLOOKUP(tbl_FACTS[[#This Row],[ProductID]],Πίνακας7[ProductID],Πίνακας7[Price])</f>
        <v>18</v>
      </c>
      <c r="R271" s="21">
        <f>tbl_FACTS[[#This Row],[Quantity]]*tbl_FACTS[[#This Row],[Price]]</f>
        <v>270</v>
      </c>
      <c r="S271" s="19">
        <f>IF(COUNTIFS(tbl_FACTS[OrderID],tbl_FACTS[[#This Row],[OrderID]],tbl_FACTS[OrderDetailID],"&lt;"&amp;tbl_FACTS[[#This Row],[OrderDetailID]])=0,1,0)</f>
        <v>1</v>
      </c>
      <c r="T271" s="19">
        <f>YEAR(tbl_FACTS[[#This Row],[OrderDate]])</f>
        <v>1996</v>
      </c>
      <c r="U271" s="22">
        <f>DATE(YEAR(tbl_FACTS[[#This Row],[OrderDate]]),MONTH(tbl_FACTS[[#This Row],[OrderDate]]),1)</f>
        <v>35370</v>
      </c>
      <c r="V271" s="22" t="str">
        <f>IF(tbl_FACTS[[#This Row],[Quantity]]&lt;=10,"0–10",IF(tbl_FACTS[[#This Row],[Quantity]]&lt;=20,"11–20",IF(tbl_FACTS[[#This Row],[Quantity]]&lt;=30,"21–30",IF(tbl_FACTS[[#This Row],[Quantity]]&lt;=40,"31–40",IF(tbl_FACTS[[#This Row],[Quantity]]&lt;=50,"41–50","51+")))))</f>
        <v>11–20</v>
      </c>
    </row>
    <row r="272" spans="1:22">
      <c r="A272">
        <v>271</v>
      </c>
      <c r="B272">
        <v>10348</v>
      </c>
      <c r="C272">
        <v>23</v>
      </c>
      <c r="D272" s="19">
        <v>25</v>
      </c>
      <c r="E272" s="20">
        <f>_xlfn.XLOOKUP(tbl_FACTS[[#This Row],[OrderID]],Πίνακας64[OrderID],Πίνακας64[OrderDate])</f>
        <v>35376</v>
      </c>
      <c r="F272">
        <f>_xlfn.XLOOKUP(tbl_FACTS[[#This Row],[OrderID]],Πίνακας64[OrderID],Πίνακας64[CustomerID])</f>
        <v>86</v>
      </c>
      <c r="G272" t="str">
        <f>_xlfn.XLOOKUP(tbl_FACTS[[#This Row],[CustomerID]],Πίνακας1[CustomerID],Πίνακας1[CustomerName])</f>
        <v>Die Wandernde Kuh</v>
      </c>
      <c r="H272" t="str">
        <f>_xlfn.XLOOKUP(tbl_FACTS[[#This Row],[CustomerID]],Πίνακας1[CustomerID],Πίνακας1[Country])</f>
        <v>Germany</v>
      </c>
      <c r="I272">
        <f>_xlfn.XLOOKUP(tbl_FACTS[[#This Row],[OrderID]],Πίνακας64[OrderID],Πίνακας64[EmployeeID])</f>
        <v>4</v>
      </c>
      <c r="J272">
        <f>_xlfn.XLOOKUP(tbl_FACTS[[#This Row],[OrderID]],Πίνακας64[OrderID],Πίνακας64[ShipperID])</f>
        <v>2</v>
      </c>
      <c r="K272" t="str">
        <f>_xlfn.XLOOKUP(tbl_FACTS[[#This Row],[ShipperID]],Πίνακας8[ShipperID],Πίνακας8[ShipperName])</f>
        <v>United Package</v>
      </c>
      <c r="L272" t="str">
        <f>_xlfn.XLOOKUP(tbl_FACTS[[#This Row],[ProductID]],Πίνακας7[ProductID],Πίνακας7[ProductName])</f>
        <v>Tunnbrod</v>
      </c>
      <c r="M272">
        <f>_xlfn.XLOOKUP(tbl_FACTS[[#This Row],[ProductID]],Πίνακας7[ProductID],Πίνακας7[CategoryID])</f>
        <v>5</v>
      </c>
      <c r="N272" t="str">
        <f>_xlfn.XLOOKUP(tbl_FACTS[[#This Row],[CategoryID]],Πίνακας4[CategoryID],Πίνακας4[CategoryName])</f>
        <v>Grains/Cereals</v>
      </c>
      <c r="O272">
        <f>_xlfn.XLOOKUP(tbl_FACTS[[#This Row],[ProductID]],Πίνακας7[ProductID],Πίνακας7[SupplierID])</f>
        <v>9</v>
      </c>
      <c r="P272" t="str">
        <f>_xlfn.XLOOKUP(tbl_FACTS[[#This Row],[SupplierID]],Πίνακας9[SupplierID],Πίνακας9[SupplierName])</f>
        <v>PB Knackebrod AB</v>
      </c>
      <c r="Q272" s="21">
        <f>_xlfn.XLOOKUP(tbl_FACTS[[#This Row],[ProductID]],Πίνακας7[ProductID],Πίνακας7[Price])</f>
        <v>9</v>
      </c>
      <c r="R272" s="21">
        <f>tbl_FACTS[[#This Row],[Quantity]]*tbl_FACTS[[#This Row],[Price]]</f>
        <v>225</v>
      </c>
      <c r="S272" s="19">
        <f>IF(COUNTIFS(tbl_FACTS[OrderID],tbl_FACTS[[#This Row],[OrderID]],tbl_FACTS[OrderDetailID],"&lt;"&amp;tbl_FACTS[[#This Row],[OrderDetailID]])=0,1,0)</f>
        <v>0</v>
      </c>
      <c r="T272" s="19">
        <f>YEAR(tbl_FACTS[[#This Row],[OrderDate]])</f>
        <v>1996</v>
      </c>
      <c r="U272" s="22">
        <f>DATE(YEAR(tbl_FACTS[[#This Row],[OrderDate]]),MONTH(tbl_FACTS[[#This Row],[OrderDate]]),1)</f>
        <v>35370</v>
      </c>
      <c r="V272" s="22" t="str">
        <f>IF(tbl_FACTS[[#This Row],[Quantity]]&lt;=10,"0–10",IF(tbl_FACTS[[#This Row],[Quantity]]&lt;=20,"11–20",IF(tbl_FACTS[[#This Row],[Quantity]]&lt;=30,"21–30",IF(tbl_FACTS[[#This Row],[Quantity]]&lt;=40,"31–40",IF(tbl_FACTS[[#This Row],[Quantity]]&lt;=50,"41–50","51+")))))</f>
        <v>21–30</v>
      </c>
    </row>
    <row r="273" spans="1:22">
      <c r="A273">
        <v>272</v>
      </c>
      <c r="B273">
        <v>10349</v>
      </c>
      <c r="C273">
        <v>54</v>
      </c>
      <c r="D273" s="19">
        <v>24</v>
      </c>
      <c r="E273" s="20">
        <f>_xlfn.XLOOKUP(tbl_FACTS[[#This Row],[OrderID]],Πίνακας64[OrderID],Πίνακας64[OrderDate])</f>
        <v>35377</v>
      </c>
      <c r="F273">
        <f>_xlfn.XLOOKUP(tbl_FACTS[[#This Row],[OrderID]],Πίνακας64[OrderID],Πίνακας64[CustomerID])</f>
        <v>75</v>
      </c>
      <c r="G273" t="str">
        <f>_xlfn.XLOOKUP(tbl_FACTS[[#This Row],[CustomerID]],Πίνακας1[CustomerID],Πίνακας1[CustomerName])</f>
        <v>Split Rail Beer &amp; Ale</v>
      </c>
      <c r="H273" t="str">
        <f>_xlfn.XLOOKUP(tbl_FACTS[[#This Row],[CustomerID]],Πίνακας1[CustomerID],Πίνακας1[Country])</f>
        <v>USA</v>
      </c>
      <c r="I273">
        <f>_xlfn.XLOOKUP(tbl_FACTS[[#This Row],[OrderID]],Πίνακας64[OrderID],Πίνακας64[EmployeeID])</f>
        <v>7</v>
      </c>
      <c r="J273">
        <f>_xlfn.XLOOKUP(tbl_FACTS[[#This Row],[OrderID]],Πίνακας64[OrderID],Πίνακας64[ShipperID])</f>
        <v>1</v>
      </c>
      <c r="K273" t="str">
        <f>_xlfn.XLOOKUP(tbl_FACTS[[#This Row],[ShipperID]],Πίνακας8[ShipperID],Πίνακας8[ShipperName])</f>
        <v>Speedy Express</v>
      </c>
      <c r="L273" t="str">
        <f>_xlfn.XLOOKUP(tbl_FACTS[[#This Row],[ProductID]],Πίνακας7[ProductID],Πίνακας7[ProductName])</f>
        <v>Tourtiere</v>
      </c>
      <c r="M273">
        <f>_xlfn.XLOOKUP(tbl_FACTS[[#This Row],[ProductID]],Πίνακας7[ProductID],Πίνακας7[CategoryID])</f>
        <v>6</v>
      </c>
      <c r="N273" t="str">
        <f>_xlfn.XLOOKUP(tbl_FACTS[[#This Row],[CategoryID]],Πίνακας4[CategoryID],Πίνακας4[CategoryName])</f>
        <v>Meat/Poultry</v>
      </c>
      <c r="O273">
        <f>_xlfn.XLOOKUP(tbl_FACTS[[#This Row],[ProductID]],Πίνακας7[ProductID],Πίνακας7[SupplierID])</f>
        <v>25</v>
      </c>
      <c r="P273" t="str">
        <f>_xlfn.XLOOKUP(tbl_FACTS[[#This Row],[SupplierID]],Πίνακας9[SupplierID],Πίνακας9[SupplierName])</f>
        <v>Ma Maison</v>
      </c>
      <c r="Q273" s="21">
        <f>_xlfn.XLOOKUP(tbl_FACTS[[#This Row],[ProductID]],Πίνακας7[ProductID],Πίνακας7[Price])</f>
        <v>7</v>
      </c>
      <c r="R273" s="21">
        <f>tbl_FACTS[[#This Row],[Quantity]]*tbl_FACTS[[#This Row],[Price]]</f>
        <v>168</v>
      </c>
      <c r="S273" s="19">
        <f>IF(COUNTIFS(tbl_FACTS[OrderID],tbl_FACTS[[#This Row],[OrderID]],tbl_FACTS[OrderDetailID],"&lt;"&amp;tbl_FACTS[[#This Row],[OrderDetailID]])=0,1,0)</f>
        <v>1</v>
      </c>
      <c r="T273" s="19">
        <f>YEAR(tbl_FACTS[[#This Row],[OrderDate]])</f>
        <v>1996</v>
      </c>
      <c r="U273" s="22">
        <f>DATE(YEAR(tbl_FACTS[[#This Row],[OrderDate]]),MONTH(tbl_FACTS[[#This Row],[OrderDate]]),1)</f>
        <v>35370</v>
      </c>
      <c r="V273" s="22" t="str">
        <f>IF(tbl_FACTS[[#This Row],[Quantity]]&lt;=10,"0–10",IF(tbl_FACTS[[#This Row],[Quantity]]&lt;=20,"11–20",IF(tbl_FACTS[[#This Row],[Quantity]]&lt;=30,"21–30",IF(tbl_FACTS[[#This Row],[Quantity]]&lt;=40,"31–40",IF(tbl_FACTS[[#This Row],[Quantity]]&lt;=50,"41–50","51+")))))</f>
        <v>21–30</v>
      </c>
    </row>
    <row r="274" spans="1:22">
      <c r="A274">
        <v>273</v>
      </c>
      <c r="B274">
        <v>10350</v>
      </c>
      <c r="C274">
        <v>50</v>
      </c>
      <c r="D274" s="19">
        <v>15</v>
      </c>
      <c r="E274" s="20">
        <f>_xlfn.XLOOKUP(tbl_FACTS[[#This Row],[OrderID]],Πίνακας64[OrderID],Πίνακας64[OrderDate])</f>
        <v>35380</v>
      </c>
      <c r="F274">
        <f>_xlfn.XLOOKUP(tbl_FACTS[[#This Row],[OrderID]],Πίνακας64[OrderID],Πίνακας64[CustomerID])</f>
        <v>41</v>
      </c>
      <c r="G274" t="str">
        <f>_xlfn.XLOOKUP(tbl_FACTS[[#This Row],[CustomerID]],Πίνακας1[CustomerID],Πίνακας1[CustomerName])</f>
        <v>La maison d''Asie</v>
      </c>
      <c r="H274" t="str">
        <f>_xlfn.XLOOKUP(tbl_FACTS[[#This Row],[CustomerID]],Πίνακας1[CustomerID],Πίνακας1[Country])</f>
        <v>France</v>
      </c>
      <c r="I274">
        <f>_xlfn.XLOOKUP(tbl_FACTS[[#This Row],[OrderID]],Πίνακας64[OrderID],Πίνακας64[EmployeeID])</f>
        <v>6</v>
      </c>
      <c r="J274">
        <f>_xlfn.XLOOKUP(tbl_FACTS[[#This Row],[OrderID]],Πίνακας64[OrderID],Πίνακας64[ShipperID])</f>
        <v>2</v>
      </c>
      <c r="K274" t="str">
        <f>_xlfn.XLOOKUP(tbl_FACTS[[#This Row],[ShipperID]],Πίνακας8[ShipperID],Πίνακας8[ShipperName])</f>
        <v>United Package</v>
      </c>
      <c r="L274" t="str">
        <f>_xlfn.XLOOKUP(tbl_FACTS[[#This Row],[ProductID]],Πίνακας7[ProductID],Πίνακας7[ProductName])</f>
        <v>Valkoinen suklaa</v>
      </c>
      <c r="M274">
        <f>_xlfn.XLOOKUP(tbl_FACTS[[#This Row],[ProductID]],Πίνακας7[ProductID],Πίνακας7[CategoryID])</f>
        <v>3</v>
      </c>
      <c r="N274" t="str">
        <f>_xlfn.XLOOKUP(tbl_FACTS[[#This Row],[CategoryID]],Πίνακας4[CategoryID],Πίνακας4[CategoryName])</f>
        <v>Confections</v>
      </c>
      <c r="O274">
        <f>_xlfn.XLOOKUP(tbl_FACTS[[#This Row],[ProductID]],Πίνακας7[ProductID],Πίνακας7[SupplierID])</f>
        <v>23</v>
      </c>
      <c r="P274" t="str">
        <f>_xlfn.XLOOKUP(tbl_FACTS[[#This Row],[SupplierID]],Πίνακας9[SupplierID],Πίνακας9[SupplierName])</f>
        <v>Karkki Oy</v>
      </c>
      <c r="Q274" s="21">
        <f>_xlfn.XLOOKUP(tbl_FACTS[[#This Row],[ProductID]],Πίνακας7[ProductID],Πίνακας7[Price])</f>
        <v>16</v>
      </c>
      <c r="R274" s="21">
        <f>tbl_FACTS[[#This Row],[Quantity]]*tbl_FACTS[[#This Row],[Price]]</f>
        <v>240</v>
      </c>
      <c r="S274" s="19">
        <f>IF(COUNTIFS(tbl_FACTS[OrderID],tbl_FACTS[[#This Row],[OrderID]],tbl_FACTS[OrderDetailID],"&lt;"&amp;tbl_FACTS[[#This Row],[OrderDetailID]])=0,1,0)</f>
        <v>1</v>
      </c>
      <c r="T274" s="19">
        <f>YEAR(tbl_FACTS[[#This Row],[OrderDate]])</f>
        <v>1996</v>
      </c>
      <c r="U274" s="22">
        <f>DATE(YEAR(tbl_FACTS[[#This Row],[OrderDate]]),MONTH(tbl_FACTS[[#This Row],[OrderDate]]),1)</f>
        <v>35370</v>
      </c>
      <c r="V274" s="22" t="str">
        <f>IF(tbl_FACTS[[#This Row],[Quantity]]&lt;=10,"0–10",IF(tbl_FACTS[[#This Row],[Quantity]]&lt;=20,"11–20",IF(tbl_FACTS[[#This Row],[Quantity]]&lt;=30,"21–30",IF(tbl_FACTS[[#This Row],[Quantity]]&lt;=40,"31–40",IF(tbl_FACTS[[#This Row],[Quantity]]&lt;=50,"41–50","51+")))))</f>
        <v>11–20</v>
      </c>
    </row>
    <row r="275" spans="1:22">
      <c r="A275">
        <v>274</v>
      </c>
      <c r="B275">
        <v>10350</v>
      </c>
      <c r="C275">
        <v>69</v>
      </c>
      <c r="D275" s="19">
        <v>18</v>
      </c>
      <c r="E275" s="20">
        <f>_xlfn.XLOOKUP(tbl_FACTS[[#This Row],[OrderID]],Πίνακας64[OrderID],Πίνακας64[OrderDate])</f>
        <v>35380</v>
      </c>
      <c r="F275">
        <f>_xlfn.XLOOKUP(tbl_FACTS[[#This Row],[OrderID]],Πίνακας64[OrderID],Πίνακας64[CustomerID])</f>
        <v>41</v>
      </c>
      <c r="G275" t="str">
        <f>_xlfn.XLOOKUP(tbl_FACTS[[#This Row],[CustomerID]],Πίνακας1[CustomerID],Πίνακας1[CustomerName])</f>
        <v>La maison d''Asie</v>
      </c>
      <c r="H275" t="str">
        <f>_xlfn.XLOOKUP(tbl_FACTS[[#This Row],[CustomerID]],Πίνακας1[CustomerID],Πίνακας1[Country])</f>
        <v>France</v>
      </c>
      <c r="I275">
        <f>_xlfn.XLOOKUP(tbl_FACTS[[#This Row],[OrderID]],Πίνακας64[OrderID],Πίνακας64[EmployeeID])</f>
        <v>6</v>
      </c>
      <c r="J275">
        <f>_xlfn.XLOOKUP(tbl_FACTS[[#This Row],[OrderID]],Πίνακας64[OrderID],Πίνακας64[ShipperID])</f>
        <v>2</v>
      </c>
      <c r="K275" t="str">
        <f>_xlfn.XLOOKUP(tbl_FACTS[[#This Row],[ShipperID]],Πίνακας8[ShipperID],Πίνακας8[ShipperName])</f>
        <v>United Package</v>
      </c>
      <c r="L275" t="str">
        <f>_xlfn.XLOOKUP(tbl_FACTS[[#This Row],[ProductID]],Πίνακας7[ProductID],Πίνακας7[ProductName])</f>
        <v>Gudbrandsdalsost</v>
      </c>
      <c r="M275">
        <f>_xlfn.XLOOKUP(tbl_FACTS[[#This Row],[ProductID]],Πίνακας7[ProductID],Πίνακας7[CategoryID])</f>
        <v>4</v>
      </c>
      <c r="N275" t="str">
        <f>_xlfn.XLOOKUP(tbl_FACTS[[#This Row],[CategoryID]],Πίνακας4[CategoryID],Πίνακας4[CategoryName])</f>
        <v>Dairy Products</v>
      </c>
      <c r="O275">
        <f>_xlfn.XLOOKUP(tbl_FACTS[[#This Row],[ProductID]],Πίνακας7[ProductID],Πίνακας7[SupplierID])</f>
        <v>15</v>
      </c>
      <c r="P275" t="str">
        <f>_xlfn.XLOOKUP(tbl_FACTS[[#This Row],[SupplierID]],Πίνακας9[SupplierID],Πίνακας9[SupplierName])</f>
        <v>Norske Meierier</v>
      </c>
      <c r="Q275" s="21">
        <f>_xlfn.XLOOKUP(tbl_FACTS[[#This Row],[ProductID]],Πίνακας7[ProductID],Πίνακας7[Price])</f>
        <v>36</v>
      </c>
      <c r="R275" s="21">
        <f>tbl_FACTS[[#This Row],[Quantity]]*tbl_FACTS[[#This Row],[Price]]</f>
        <v>648</v>
      </c>
      <c r="S275" s="19">
        <f>IF(COUNTIFS(tbl_FACTS[OrderID],tbl_FACTS[[#This Row],[OrderID]],tbl_FACTS[OrderDetailID],"&lt;"&amp;tbl_FACTS[[#This Row],[OrderDetailID]])=0,1,0)</f>
        <v>0</v>
      </c>
      <c r="T275" s="19">
        <f>YEAR(tbl_FACTS[[#This Row],[OrderDate]])</f>
        <v>1996</v>
      </c>
      <c r="U275" s="22">
        <f>DATE(YEAR(tbl_FACTS[[#This Row],[OrderDate]]),MONTH(tbl_FACTS[[#This Row],[OrderDate]]),1)</f>
        <v>35370</v>
      </c>
      <c r="V275" s="22" t="str">
        <f>IF(tbl_FACTS[[#This Row],[Quantity]]&lt;=10,"0–10",IF(tbl_FACTS[[#This Row],[Quantity]]&lt;=20,"11–20",IF(tbl_FACTS[[#This Row],[Quantity]]&lt;=30,"21–30",IF(tbl_FACTS[[#This Row],[Quantity]]&lt;=40,"31–40",IF(tbl_FACTS[[#This Row],[Quantity]]&lt;=50,"41–50","51+")))))</f>
        <v>11–20</v>
      </c>
    </row>
    <row r="276" spans="1:22">
      <c r="A276">
        <v>275</v>
      </c>
      <c r="B276">
        <v>10351</v>
      </c>
      <c r="C276">
        <v>38</v>
      </c>
      <c r="D276" s="19">
        <v>20</v>
      </c>
      <c r="E276" s="20">
        <f>_xlfn.XLOOKUP(tbl_FACTS[[#This Row],[OrderID]],Πίνακας64[OrderID],Πίνακας64[OrderDate])</f>
        <v>35380</v>
      </c>
      <c r="F276">
        <f>_xlfn.XLOOKUP(tbl_FACTS[[#This Row],[OrderID]],Πίνακας64[OrderID],Πίνακας64[CustomerID])</f>
        <v>20</v>
      </c>
      <c r="G276" t="str">
        <f>_xlfn.XLOOKUP(tbl_FACTS[[#This Row],[CustomerID]],Πίνακας1[CustomerID],Πίνακας1[CustomerName])</f>
        <v>Ernst Handel</v>
      </c>
      <c r="H276" t="str">
        <f>_xlfn.XLOOKUP(tbl_FACTS[[#This Row],[CustomerID]],Πίνακας1[CustomerID],Πίνακας1[Country])</f>
        <v>Austria</v>
      </c>
      <c r="I276">
        <f>_xlfn.XLOOKUP(tbl_FACTS[[#This Row],[OrderID]],Πίνακας64[OrderID],Πίνακας64[EmployeeID])</f>
        <v>1</v>
      </c>
      <c r="J276">
        <f>_xlfn.XLOOKUP(tbl_FACTS[[#This Row],[OrderID]],Πίνακας64[OrderID],Πίνακας64[ShipperID])</f>
        <v>1</v>
      </c>
      <c r="K276" t="str">
        <f>_xlfn.XLOOKUP(tbl_FACTS[[#This Row],[ShipperID]],Πίνακας8[ShipperID],Πίνακας8[ShipperName])</f>
        <v>Speedy Express</v>
      </c>
      <c r="L276" t="str">
        <f>_xlfn.XLOOKUP(tbl_FACTS[[#This Row],[ProductID]],Πίνακας7[ProductID],Πίνακας7[ProductName])</f>
        <v>Cote de Blaye</v>
      </c>
      <c r="M276">
        <f>_xlfn.XLOOKUP(tbl_FACTS[[#This Row],[ProductID]],Πίνακας7[ProductID],Πίνακας7[CategoryID])</f>
        <v>1</v>
      </c>
      <c r="N276" t="str">
        <f>_xlfn.XLOOKUP(tbl_FACTS[[#This Row],[CategoryID]],Πίνακας4[CategoryID],Πίνακας4[CategoryName])</f>
        <v>Beverages</v>
      </c>
      <c r="O276">
        <f>_xlfn.XLOOKUP(tbl_FACTS[[#This Row],[ProductID]],Πίνακας7[ProductID],Πίνακας7[SupplierID])</f>
        <v>18</v>
      </c>
      <c r="P276" t="str">
        <f>_xlfn.XLOOKUP(tbl_FACTS[[#This Row],[SupplierID]],Πίνακας9[SupplierID],Πίνακας9[SupplierName])</f>
        <v>Aux joyeux ecclesiastiques</v>
      </c>
      <c r="Q276" s="21">
        <f>_xlfn.XLOOKUP(tbl_FACTS[[#This Row],[ProductID]],Πίνακας7[ProductID],Πίνακας7[Price])</f>
        <v>264</v>
      </c>
      <c r="R276" s="21">
        <f>tbl_FACTS[[#This Row],[Quantity]]*tbl_FACTS[[#This Row],[Price]]</f>
        <v>5280</v>
      </c>
      <c r="S276" s="19">
        <f>IF(COUNTIFS(tbl_FACTS[OrderID],tbl_FACTS[[#This Row],[OrderID]],tbl_FACTS[OrderDetailID],"&lt;"&amp;tbl_FACTS[[#This Row],[OrderDetailID]])=0,1,0)</f>
        <v>1</v>
      </c>
      <c r="T276" s="19">
        <f>YEAR(tbl_FACTS[[#This Row],[OrderDate]])</f>
        <v>1996</v>
      </c>
      <c r="U276" s="22">
        <f>DATE(YEAR(tbl_FACTS[[#This Row],[OrderDate]]),MONTH(tbl_FACTS[[#This Row],[OrderDate]]),1)</f>
        <v>35370</v>
      </c>
      <c r="V276" s="22" t="str">
        <f>IF(tbl_FACTS[[#This Row],[Quantity]]&lt;=10,"0–10",IF(tbl_FACTS[[#This Row],[Quantity]]&lt;=20,"11–20",IF(tbl_FACTS[[#This Row],[Quantity]]&lt;=30,"21–30",IF(tbl_FACTS[[#This Row],[Quantity]]&lt;=40,"31–40",IF(tbl_FACTS[[#This Row],[Quantity]]&lt;=50,"41–50","51+")))))</f>
        <v>11–20</v>
      </c>
    </row>
    <row r="277" spans="1:22">
      <c r="A277">
        <v>276</v>
      </c>
      <c r="B277">
        <v>10351</v>
      </c>
      <c r="C277">
        <v>41</v>
      </c>
      <c r="D277" s="19">
        <v>13</v>
      </c>
      <c r="E277" s="20">
        <f>_xlfn.XLOOKUP(tbl_FACTS[[#This Row],[OrderID]],Πίνακας64[OrderID],Πίνακας64[OrderDate])</f>
        <v>35380</v>
      </c>
      <c r="F277">
        <f>_xlfn.XLOOKUP(tbl_FACTS[[#This Row],[OrderID]],Πίνακας64[OrderID],Πίνακας64[CustomerID])</f>
        <v>20</v>
      </c>
      <c r="G277" t="str">
        <f>_xlfn.XLOOKUP(tbl_FACTS[[#This Row],[CustomerID]],Πίνακας1[CustomerID],Πίνακας1[CustomerName])</f>
        <v>Ernst Handel</v>
      </c>
      <c r="H277" t="str">
        <f>_xlfn.XLOOKUP(tbl_FACTS[[#This Row],[CustomerID]],Πίνακας1[CustomerID],Πίνακας1[Country])</f>
        <v>Austria</v>
      </c>
      <c r="I277">
        <f>_xlfn.XLOOKUP(tbl_FACTS[[#This Row],[OrderID]],Πίνακας64[OrderID],Πίνακας64[EmployeeID])</f>
        <v>1</v>
      </c>
      <c r="J277">
        <f>_xlfn.XLOOKUP(tbl_FACTS[[#This Row],[OrderID]],Πίνακας64[OrderID],Πίνακας64[ShipperID])</f>
        <v>1</v>
      </c>
      <c r="K277" t="str">
        <f>_xlfn.XLOOKUP(tbl_FACTS[[#This Row],[ShipperID]],Πίνακας8[ShipperID],Πίνακας8[ShipperName])</f>
        <v>Speedy Express</v>
      </c>
      <c r="L277" t="str">
        <f>_xlfn.XLOOKUP(tbl_FACTS[[#This Row],[ProductID]],Πίνακας7[ProductID],Πίνακας7[ProductName])</f>
        <v>Jack's New England Clam Chowder</v>
      </c>
      <c r="M277">
        <f>_xlfn.XLOOKUP(tbl_FACTS[[#This Row],[ProductID]],Πίνακας7[ProductID],Πίνακας7[CategoryID])</f>
        <v>8</v>
      </c>
      <c r="N277" t="str">
        <f>_xlfn.XLOOKUP(tbl_FACTS[[#This Row],[CategoryID]],Πίνακας4[CategoryID],Πίνακας4[CategoryName])</f>
        <v>Seafood</v>
      </c>
      <c r="O277">
        <f>_xlfn.XLOOKUP(tbl_FACTS[[#This Row],[ProductID]],Πίνακας7[ProductID],Πίνακας7[SupplierID])</f>
        <v>19</v>
      </c>
      <c r="P277" t="str">
        <f>_xlfn.XLOOKUP(tbl_FACTS[[#This Row],[SupplierID]],Πίνακας9[SupplierID],Πίνακας9[SupplierName])</f>
        <v>New England Seafood Cannery</v>
      </c>
      <c r="Q277" s="21">
        <f>_xlfn.XLOOKUP(tbl_FACTS[[#This Row],[ProductID]],Πίνακας7[ProductID],Πίνακας7[Price])</f>
        <v>10</v>
      </c>
      <c r="R277" s="21">
        <f>tbl_FACTS[[#This Row],[Quantity]]*tbl_FACTS[[#This Row],[Price]]</f>
        <v>130</v>
      </c>
      <c r="S277" s="19">
        <f>IF(COUNTIFS(tbl_FACTS[OrderID],tbl_FACTS[[#This Row],[OrderID]],tbl_FACTS[OrderDetailID],"&lt;"&amp;tbl_FACTS[[#This Row],[OrderDetailID]])=0,1,0)</f>
        <v>0</v>
      </c>
      <c r="T277" s="19">
        <f>YEAR(tbl_FACTS[[#This Row],[OrderDate]])</f>
        <v>1996</v>
      </c>
      <c r="U277" s="22">
        <f>DATE(YEAR(tbl_FACTS[[#This Row],[OrderDate]]),MONTH(tbl_FACTS[[#This Row],[OrderDate]]),1)</f>
        <v>35370</v>
      </c>
      <c r="V277" s="22" t="str">
        <f>IF(tbl_FACTS[[#This Row],[Quantity]]&lt;=10,"0–10",IF(tbl_FACTS[[#This Row],[Quantity]]&lt;=20,"11–20",IF(tbl_FACTS[[#This Row],[Quantity]]&lt;=30,"21–30",IF(tbl_FACTS[[#This Row],[Quantity]]&lt;=40,"31–40",IF(tbl_FACTS[[#This Row],[Quantity]]&lt;=50,"41–50","51+")))))</f>
        <v>11–20</v>
      </c>
    </row>
    <row r="278" spans="1:22">
      <c r="A278">
        <v>277</v>
      </c>
      <c r="B278">
        <v>10351</v>
      </c>
      <c r="C278">
        <v>44</v>
      </c>
      <c r="D278" s="19">
        <v>77</v>
      </c>
      <c r="E278" s="20">
        <f>_xlfn.XLOOKUP(tbl_FACTS[[#This Row],[OrderID]],Πίνακας64[OrderID],Πίνακας64[OrderDate])</f>
        <v>35380</v>
      </c>
      <c r="F278">
        <f>_xlfn.XLOOKUP(tbl_FACTS[[#This Row],[OrderID]],Πίνακας64[OrderID],Πίνακας64[CustomerID])</f>
        <v>20</v>
      </c>
      <c r="G278" t="str">
        <f>_xlfn.XLOOKUP(tbl_FACTS[[#This Row],[CustomerID]],Πίνακας1[CustomerID],Πίνακας1[CustomerName])</f>
        <v>Ernst Handel</v>
      </c>
      <c r="H278" t="str">
        <f>_xlfn.XLOOKUP(tbl_FACTS[[#This Row],[CustomerID]],Πίνακας1[CustomerID],Πίνακας1[Country])</f>
        <v>Austria</v>
      </c>
      <c r="I278">
        <f>_xlfn.XLOOKUP(tbl_FACTS[[#This Row],[OrderID]],Πίνακας64[OrderID],Πίνακας64[EmployeeID])</f>
        <v>1</v>
      </c>
      <c r="J278">
        <f>_xlfn.XLOOKUP(tbl_FACTS[[#This Row],[OrderID]],Πίνακας64[OrderID],Πίνακας64[ShipperID])</f>
        <v>1</v>
      </c>
      <c r="K278" t="str">
        <f>_xlfn.XLOOKUP(tbl_FACTS[[#This Row],[ShipperID]],Πίνακας8[ShipperID],Πίνακας8[ShipperName])</f>
        <v>Speedy Express</v>
      </c>
      <c r="L278" t="str">
        <f>_xlfn.XLOOKUP(tbl_FACTS[[#This Row],[ProductID]],Πίνακας7[ProductID],Πίνακας7[ProductName])</f>
        <v>Gula Malacca</v>
      </c>
      <c r="M278">
        <f>_xlfn.XLOOKUP(tbl_FACTS[[#This Row],[ProductID]],Πίνακας7[ProductID],Πίνακας7[CategoryID])</f>
        <v>2</v>
      </c>
      <c r="N278" t="str">
        <f>_xlfn.XLOOKUP(tbl_FACTS[[#This Row],[CategoryID]],Πίνακας4[CategoryID],Πίνακας4[CategoryName])</f>
        <v>Condiments</v>
      </c>
      <c r="O278">
        <f>_xlfn.XLOOKUP(tbl_FACTS[[#This Row],[ProductID]],Πίνακας7[ProductID],Πίνακας7[SupplierID])</f>
        <v>20</v>
      </c>
      <c r="P278" t="str">
        <f>_xlfn.XLOOKUP(tbl_FACTS[[#This Row],[SupplierID]],Πίνακας9[SupplierID],Πίνακας9[SupplierName])</f>
        <v>Leka Trading</v>
      </c>
      <c r="Q278" s="21">
        <f>_xlfn.XLOOKUP(tbl_FACTS[[#This Row],[ProductID]],Πίνακας7[ProductID],Πίνακας7[Price])</f>
        <v>19</v>
      </c>
      <c r="R278" s="21">
        <f>tbl_FACTS[[#This Row],[Quantity]]*tbl_FACTS[[#This Row],[Price]]</f>
        <v>1463</v>
      </c>
      <c r="S278" s="19">
        <f>IF(COUNTIFS(tbl_FACTS[OrderID],tbl_FACTS[[#This Row],[OrderID]],tbl_FACTS[OrderDetailID],"&lt;"&amp;tbl_FACTS[[#This Row],[OrderDetailID]])=0,1,0)</f>
        <v>0</v>
      </c>
      <c r="T278" s="19">
        <f>YEAR(tbl_FACTS[[#This Row],[OrderDate]])</f>
        <v>1996</v>
      </c>
      <c r="U278" s="22">
        <f>DATE(YEAR(tbl_FACTS[[#This Row],[OrderDate]]),MONTH(tbl_FACTS[[#This Row],[OrderDate]]),1)</f>
        <v>35370</v>
      </c>
      <c r="V278" s="22" t="str">
        <f>IF(tbl_FACTS[[#This Row],[Quantity]]&lt;=10,"0–10",IF(tbl_FACTS[[#This Row],[Quantity]]&lt;=20,"11–20",IF(tbl_FACTS[[#This Row],[Quantity]]&lt;=30,"21–30",IF(tbl_FACTS[[#This Row],[Quantity]]&lt;=40,"31–40",IF(tbl_FACTS[[#This Row],[Quantity]]&lt;=50,"41–50","51+")))))</f>
        <v>51+</v>
      </c>
    </row>
    <row r="279" spans="1:22">
      <c r="A279">
        <v>278</v>
      </c>
      <c r="B279">
        <v>10351</v>
      </c>
      <c r="C279">
        <v>65</v>
      </c>
      <c r="D279" s="19">
        <v>10</v>
      </c>
      <c r="E279" s="20">
        <f>_xlfn.XLOOKUP(tbl_FACTS[[#This Row],[OrderID]],Πίνακας64[OrderID],Πίνακας64[OrderDate])</f>
        <v>35380</v>
      </c>
      <c r="F279">
        <f>_xlfn.XLOOKUP(tbl_FACTS[[#This Row],[OrderID]],Πίνακας64[OrderID],Πίνακας64[CustomerID])</f>
        <v>20</v>
      </c>
      <c r="G279" t="str">
        <f>_xlfn.XLOOKUP(tbl_FACTS[[#This Row],[CustomerID]],Πίνακας1[CustomerID],Πίνακας1[CustomerName])</f>
        <v>Ernst Handel</v>
      </c>
      <c r="H279" t="str">
        <f>_xlfn.XLOOKUP(tbl_FACTS[[#This Row],[CustomerID]],Πίνακας1[CustomerID],Πίνακας1[Country])</f>
        <v>Austria</v>
      </c>
      <c r="I279">
        <f>_xlfn.XLOOKUP(tbl_FACTS[[#This Row],[OrderID]],Πίνακας64[OrderID],Πίνακας64[EmployeeID])</f>
        <v>1</v>
      </c>
      <c r="J279">
        <f>_xlfn.XLOOKUP(tbl_FACTS[[#This Row],[OrderID]],Πίνακας64[OrderID],Πίνακας64[ShipperID])</f>
        <v>1</v>
      </c>
      <c r="K279" t="str">
        <f>_xlfn.XLOOKUP(tbl_FACTS[[#This Row],[ShipperID]],Πίνακας8[ShipperID],Πίνακας8[ShipperName])</f>
        <v>Speedy Express</v>
      </c>
      <c r="L279" t="str">
        <f>_xlfn.XLOOKUP(tbl_FACTS[[#This Row],[ProductID]],Πίνακας7[ProductID],Πίνακας7[ProductName])</f>
        <v>Louisiana Fiery Hot Pepper Sauce</v>
      </c>
      <c r="M279">
        <f>_xlfn.XLOOKUP(tbl_FACTS[[#This Row],[ProductID]],Πίνακας7[ProductID],Πίνακας7[CategoryID])</f>
        <v>2</v>
      </c>
      <c r="N279" t="str">
        <f>_xlfn.XLOOKUP(tbl_FACTS[[#This Row],[CategoryID]],Πίνακας4[CategoryID],Πίνακας4[CategoryName])</f>
        <v>Condiments</v>
      </c>
      <c r="O279">
        <f>_xlfn.XLOOKUP(tbl_FACTS[[#This Row],[ProductID]],Πίνακας7[ProductID],Πίνακας7[SupplierID])</f>
        <v>2</v>
      </c>
      <c r="P279" t="str">
        <f>_xlfn.XLOOKUP(tbl_FACTS[[#This Row],[SupplierID]],Πίνακας9[SupplierID],Πίνακας9[SupplierName])</f>
        <v>New Orleans Cajun Delights</v>
      </c>
      <c r="Q279" s="21">
        <f>_xlfn.XLOOKUP(tbl_FACTS[[#This Row],[ProductID]],Πίνακας7[ProductID],Πίνακας7[Price])</f>
        <v>21</v>
      </c>
      <c r="R279" s="21">
        <f>tbl_FACTS[[#This Row],[Quantity]]*tbl_FACTS[[#This Row],[Price]]</f>
        <v>210</v>
      </c>
      <c r="S279" s="19">
        <f>IF(COUNTIFS(tbl_FACTS[OrderID],tbl_FACTS[[#This Row],[OrderID]],tbl_FACTS[OrderDetailID],"&lt;"&amp;tbl_FACTS[[#This Row],[OrderDetailID]])=0,1,0)</f>
        <v>0</v>
      </c>
      <c r="T279" s="19">
        <f>YEAR(tbl_FACTS[[#This Row],[OrderDate]])</f>
        <v>1996</v>
      </c>
      <c r="U279" s="22">
        <f>DATE(YEAR(tbl_FACTS[[#This Row],[OrderDate]]),MONTH(tbl_FACTS[[#This Row],[OrderDate]]),1)</f>
        <v>35370</v>
      </c>
      <c r="V279" s="22" t="str">
        <f>IF(tbl_FACTS[[#This Row],[Quantity]]&lt;=10,"0–10",IF(tbl_FACTS[[#This Row],[Quantity]]&lt;=20,"11–20",IF(tbl_FACTS[[#This Row],[Quantity]]&lt;=30,"21–30",IF(tbl_FACTS[[#This Row],[Quantity]]&lt;=40,"31–40",IF(tbl_FACTS[[#This Row],[Quantity]]&lt;=50,"41–50","51+")))))</f>
        <v>0–10</v>
      </c>
    </row>
    <row r="280" spans="1:22">
      <c r="A280">
        <v>279</v>
      </c>
      <c r="B280">
        <v>10352</v>
      </c>
      <c r="C280">
        <v>24</v>
      </c>
      <c r="D280" s="19">
        <v>10</v>
      </c>
      <c r="E280" s="20">
        <f>_xlfn.XLOOKUP(tbl_FACTS[[#This Row],[OrderID]],Πίνακας64[OrderID],Πίνακας64[OrderDate])</f>
        <v>35381</v>
      </c>
      <c r="F280">
        <f>_xlfn.XLOOKUP(tbl_FACTS[[#This Row],[OrderID]],Πίνακας64[OrderID],Πίνακας64[CustomerID])</f>
        <v>28</v>
      </c>
      <c r="G280" t="str">
        <f>_xlfn.XLOOKUP(tbl_FACTS[[#This Row],[CustomerID]],Πίνακας1[CustomerID],Πίνακας1[CustomerName])</f>
        <v>Furia Bacalhau e Frutos do Mar</v>
      </c>
      <c r="H280" t="str">
        <f>_xlfn.XLOOKUP(tbl_FACTS[[#This Row],[CustomerID]],Πίνακας1[CustomerID],Πίνακας1[Country])</f>
        <v>Portugal</v>
      </c>
      <c r="I280">
        <f>_xlfn.XLOOKUP(tbl_FACTS[[#This Row],[OrderID]],Πίνακας64[OrderID],Πίνακας64[EmployeeID])</f>
        <v>3</v>
      </c>
      <c r="J280">
        <f>_xlfn.XLOOKUP(tbl_FACTS[[#This Row],[OrderID]],Πίνακας64[OrderID],Πίνακας64[ShipperID])</f>
        <v>3</v>
      </c>
      <c r="K280" t="str">
        <f>_xlfn.XLOOKUP(tbl_FACTS[[#This Row],[ShipperID]],Πίνακας8[ShipperID],Πίνακας8[ShipperName])</f>
        <v>Federal Shipping</v>
      </c>
      <c r="L280" t="str">
        <f>_xlfn.XLOOKUP(tbl_FACTS[[#This Row],[ProductID]],Πίνακας7[ProductID],Πίνακας7[ProductName])</f>
        <v>Guarana Fantastica</v>
      </c>
      <c r="M280">
        <f>_xlfn.XLOOKUP(tbl_FACTS[[#This Row],[ProductID]],Πίνακας7[ProductID],Πίνακας7[CategoryID])</f>
        <v>1</v>
      </c>
      <c r="N280" t="str">
        <f>_xlfn.XLOOKUP(tbl_FACTS[[#This Row],[CategoryID]],Πίνακας4[CategoryID],Πίνακας4[CategoryName])</f>
        <v>Beverages</v>
      </c>
      <c r="O280">
        <f>_xlfn.XLOOKUP(tbl_FACTS[[#This Row],[ProductID]],Πίνακας7[ProductID],Πίνακας7[SupplierID])</f>
        <v>10</v>
      </c>
      <c r="P280" t="str">
        <f>_xlfn.XLOOKUP(tbl_FACTS[[#This Row],[SupplierID]],Πίνακας9[SupplierID],Πίνακας9[SupplierName])</f>
        <v>Refrescos Americanas LTDA</v>
      </c>
      <c r="Q280" s="21">
        <f>_xlfn.XLOOKUP(tbl_FACTS[[#This Row],[ProductID]],Πίνακας7[ProductID],Πίνακας7[Price])</f>
        <v>5</v>
      </c>
      <c r="R280" s="21">
        <f>tbl_FACTS[[#This Row],[Quantity]]*tbl_FACTS[[#This Row],[Price]]</f>
        <v>50</v>
      </c>
      <c r="S280" s="19">
        <f>IF(COUNTIFS(tbl_FACTS[OrderID],tbl_FACTS[[#This Row],[OrderID]],tbl_FACTS[OrderDetailID],"&lt;"&amp;tbl_FACTS[[#This Row],[OrderDetailID]])=0,1,0)</f>
        <v>1</v>
      </c>
      <c r="T280" s="19">
        <f>YEAR(tbl_FACTS[[#This Row],[OrderDate]])</f>
        <v>1996</v>
      </c>
      <c r="U280" s="22">
        <f>DATE(YEAR(tbl_FACTS[[#This Row],[OrderDate]]),MONTH(tbl_FACTS[[#This Row],[OrderDate]]),1)</f>
        <v>35370</v>
      </c>
      <c r="V280" s="22" t="str">
        <f>IF(tbl_FACTS[[#This Row],[Quantity]]&lt;=10,"0–10",IF(tbl_FACTS[[#This Row],[Quantity]]&lt;=20,"11–20",IF(tbl_FACTS[[#This Row],[Quantity]]&lt;=30,"21–30",IF(tbl_FACTS[[#This Row],[Quantity]]&lt;=40,"31–40",IF(tbl_FACTS[[#This Row],[Quantity]]&lt;=50,"41–50","51+")))))</f>
        <v>0–10</v>
      </c>
    </row>
    <row r="281" spans="1:22">
      <c r="A281">
        <v>280</v>
      </c>
      <c r="B281">
        <v>10352</v>
      </c>
      <c r="C281">
        <v>54</v>
      </c>
      <c r="D281" s="19">
        <v>20</v>
      </c>
      <c r="E281" s="20">
        <f>_xlfn.XLOOKUP(tbl_FACTS[[#This Row],[OrderID]],Πίνακας64[OrderID],Πίνακας64[OrderDate])</f>
        <v>35381</v>
      </c>
      <c r="F281">
        <f>_xlfn.XLOOKUP(tbl_FACTS[[#This Row],[OrderID]],Πίνακας64[OrderID],Πίνακας64[CustomerID])</f>
        <v>28</v>
      </c>
      <c r="G281" t="str">
        <f>_xlfn.XLOOKUP(tbl_FACTS[[#This Row],[CustomerID]],Πίνακας1[CustomerID],Πίνακας1[CustomerName])</f>
        <v>Furia Bacalhau e Frutos do Mar</v>
      </c>
      <c r="H281" t="str">
        <f>_xlfn.XLOOKUP(tbl_FACTS[[#This Row],[CustomerID]],Πίνακας1[CustomerID],Πίνακας1[Country])</f>
        <v>Portugal</v>
      </c>
      <c r="I281">
        <f>_xlfn.XLOOKUP(tbl_FACTS[[#This Row],[OrderID]],Πίνακας64[OrderID],Πίνακας64[EmployeeID])</f>
        <v>3</v>
      </c>
      <c r="J281">
        <f>_xlfn.XLOOKUP(tbl_FACTS[[#This Row],[OrderID]],Πίνακας64[OrderID],Πίνακας64[ShipperID])</f>
        <v>3</v>
      </c>
      <c r="K281" t="str">
        <f>_xlfn.XLOOKUP(tbl_FACTS[[#This Row],[ShipperID]],Πίνακας8[ShipperID],Πίνακας8[ShipperName])</f>
        <v>Federal Shipping</v>
      </c>
      <c r="L281" t="str">
        <f>_xlfn.XLOOKUP(tbl_FACTS[[#This Row],[ProductID]],Πίνακας7[ProductID],Πίνακας7[ProductName])</f>
        <v>Tourtiere</v>
      </c>
      <c r="M281">
        <f>_xlfn.XLOOKUP(tbl_FACTS[[#This Row],[ProductID]],Πίνακας7[ProductID],Πίνακας7[CategoryID])</f>
        <v>6</v>
      </c>
      <c r="N281" t="str">
        <f>_xlfn.XLOOKUP(tbl_FACTS[[#This Row],[CategoryID]],Πίνακας4[CategoryID],Πίνακας4[CategoryName])</f>
        <v>Meat/Poultry</v>
      </c>
      <c r="O281">
        <f>_xlfn.XLOOKUP(tbl_FACTS[[#This Row],[ProductID]],Πίνακας7[ProductID],Πίνακας7[SupplierID])</f>
        <v>25</v>
      </c>
      <c r="P281" t="str">
        <f>_xlfn.XLOOKUP(tbl_FACTS[[#This Row],[SupplierID]],Πίνακας9[SupplierID],Πίνακας9[SupplierName])</f>
        <v>Ma Maison</v>
      </c>
      <c r="Q281" s="21">
        <f>_xlfn.XLOOKUP(tbl_FACTS[[#This Row],[ProductID]],Πίνακας7[ProductID],Πίνακας7[Price])</f>
        <v>7</v>
      </c>
      <c r="R281" s="21">
        <f>tbl_FACTS[[#This Row],[Quantity]]*tbl_FACTS[[#This Row],[Price]]</f>
        <v>140</v>
      </c>
      <c r="S281" s="19">
        <f>IF(COUNTIFS(tbl_FACTS[OrderID],tbl_FACTS[[#This Row],[OrderID]],tbl_FACTS[OrderDetailID],"&lt;"&amp;tbl_FACTS[[#This Row],[OrderDetailID]])=0,1,0)</f>
        <v>0</v>
      </c>
      <c r="T281" s="19">
        <f>YEAR(tbl_FACTS[[#This Row],[OrderDate]])</f>
        <v>1996</v>
      </c>
      <c r="U281" s="22">
        <f>DATE(YEAR(tbl_FACTS[[#This Row],[OrderDate]]),MONTH(tbl_FACTS[[#This Row],[OrderDate]]),1)</f>
        <v>35370</v>
      </c>
      <c r="V281" s="22" t="str">
        <f>IF(tbl_FACTS[[#This Row],[Quantity]]&lt;=10,"0–10",IF(tbl_FACTS[[#This Row],[Quantity]]&lt;=20,"11–20",IF(tbl_FACTS[[#This Row],[Quantity]]&lt;=30,"21–30",IF(tbl_FACTS[[#This Row],[Quantity]]&lt;=40,"31–40",IF(tbl_FACTS[[#This Row],[Quantity]]&lt;=50,"41–50","51+")))))</f>
        <v>11–20</v>
      </c>
    </row>
    <row r="282" spans="1:22">
      <c r="A282">
        <v>281</v>
      </c>
      <c r="B282">
        <v>10353</v>
      </c>
      <c r="C282">
        <v>11</v>
      </c>
      <c r="D282" s="19">
        <v>12</v>
      </c>
      <c r="E282" s="20">
        <f>_xlfn.XLOOKUP(tbl_FACTS[[#This Row],[OrderID]],Πίνακας64[OrderID],Πίνακας64[OrderDate])</f>
        <v>35382</v>
      </c>
      <c r="F282">
        <f>_xlfn.XLOOKUP(tbl_FACTS[[#This Row],[OrderID]],Πίνακας64[OrderID],Πίνακας64[CustomerID])</f>
        <v>59</v>
      </c>
      <c r="G282" t="str">
        <f>_xlfn.XLOOKUP(tbl_FACTS[[#This Row],[CustomerID]],Πίνακας1[CustomerID],Πίνακας1[CustomerName])</f>
        <v>Piccolo und mehr</v>
      </c>
      <c r="H282" t="str">
        <f>_xlfn.XLOOKUP(tbl_FACTS[[#This Row],[CustomerID]],Πίνακας1[CustomerID],Πίνακας1[Country])</f>
        <v>Austria</v>
      </c>
      <c r="I282">
        <f>_xlfn.XLOOKUP(tbl_FACTS[[#This Row],[OrderID]],Πίνακας64[OrderID],Πίνακας64[EmployeeID])</f>
        <v>7</v>
      </c>
      <c r="J282">
        <f>_xlfn.XLOOKUP(tbl_FACTS[[#This Row],[OrderID]],Πίνακας64[OrderID],Πίνακας64[ShipperID])</f>
        <v>3</v>
      </c>
      <c r="K282" t="str">
        <f>_xlfn.XLOOKUP(tbl_FACTS[[#This Row],[ShipperID]],Πίνακας8[ShipperID],Πίνακας8[ShipperName])</f>
        <v>Federal Shipping</v>
      </c>
      <c r="L282" t="str">
        <f>_xlfn.XLOOKUP(tbl_FACTS[[#This Row],[ProductID]],Πίνακας7[ProductID],Πίνακας7[ProductName])</f>
        <v>Queso Cabrales</v>
      </c>
      <c r="M282">
        <f>_xlfn.XLOOKUP(tbl_FACTS[[#This Row],[ProductID]],Πίνακας7[ProductID],Πίνακας7[CategoryID])</f>
        <v>4</v>
      </c>
      <c r="N282" t="str">
        <f>_xlfn.XLOOKUP(tbl_FACTS[[#This Row],[CategoryID]],Πίνακας4[CategoryID],Πίνακας4[CategoryName])</f>
        <v>Dairy Products</v>
      </c>
      <c r="O282">
        <f>_xlfn.XLOOKUP(tbl_FACTS[[#This Row],[ProductID]],Πίνακας7[ProductID],Πίνακας7[SupplierID])</f>
        <v>5</v>
      </c>
      <c r="P282" t="str">
        <f>_xlfn.XLOOKUP(tbl_FACTS[[#This Row],[SupplierID]],Πίνακας9[SupplierID],Πίνακας9[SupplierName])</f>
        <v>Cooperativa de Quesos 'Las Cabras'</v>
      </c>
      <c r="Q282" s="21">
        <f>_xlfn.XLOOKUP(tbl_FACTS[[#This Row],[ProductID]],Πίνακας7[ProductID],Πίνακας7[Price])</f>
        <v>21</v>
      </c>
      <c r="R282" s="21">
        <f>tbl_FACTS[[#This Row],[Quantity]]*tbl_FACTS[[#This Row],[Price]]</f>
        <v>252</v>
      </c>
      <c r="S282" s="19">
        <f>IF(COUNTIFS(tbl_FACTS[OrderID],tbl_FACTS[[#This Row],[OrderID]],tbl_FACTS[OrderDetailID],"&lt;"&amp;tbl_FACTS[[#This Row],[OrderDetailID]])=0,1,0)</f>
        <v>1</v>
      </c>
      <c r="T282" s="19">
        <f>YEAR(tbl_FACTS[[#This Row],[OrderDate]])</f>
        <v>1996</v>
      </c>
      <c r="U282" s="22">
        <f>DATE(YEAR(tbl_FACTS[[#This Row],[OrderDate]]),MONTH(tbl_FACTS[[#This Row],[OrderDate]]),1)</f>
        <v>35370</v>
      </c>
      <c r="V282" s="22" t="str">
        <f>IF(tbl_FACTS[[#This Row],[Quantity]]&lt;=10,"0–10",IF(tbl_FACTS[[#This Row],[Quantity]]&lt;=20,"11–20",IF(tbl_FACTS[[#This Row],[Quantity]]&lt;=30,"21–30",IF(tbl_FACTS[[#This Row],[Quantity]]&lt;=40,"31–40",IF(tbl_FACTS[[#This Row],[Quantity]]&lt;=50,"41–50","51+")))))</f>
        <v>11–20</v>
      </c>
    </row>
    <row r="283" spans="1:22">
      <c r="A283">
        <v>282</v>
      </c>
      <c r="B283">
        <v>10353</v>
      </c>
      <c r="C283">
        <v>38</v>
      </c>
      <c r="D283" s="19">
        <v>50</v>
      </c>
      <c r="E283" s="20">
        <f>_xlfn.XLOOKUP(tbl_FACTS[[#This Row],[OrderID]],Πίνακας64[OrderID],Πίνακας64[OrderDate])</f>
        <v>35382</v>
      </c>
      <c r="F283">
        <f>_xlfn.XLOOKUP(tbl_FACTS[[#This Row],[OrderID]],Πίνακας64[OrderID],Πίνακας64[CustomerID])</f>
        <v>59</v>
      </c>
      <c r="G283" t="str">
        <f>_xlfn.XLOOKUP(tbl_FACTS[[#This Row],[CustomerID]],Πίνακας1[CustomerID],Πίνακας1[CustomerName])</f>
        <v>Piccolo und mehr</v>
      </c>
      <c r="H283" t="str">
        <f>_xlfn.XLOOKUP(tbl_FACTS[[#This Row],[CustomerID]],Πίνακας1[CustomerID],Πίνακας1[Country])</f>
        <v>Austria</v>
      </c>
      <c r="I283">
        <f>_xlfn.XLOOKUP(tbl_FACTS[[#This Row],[OrderID]],Πίνακας64[OrderID],Πίνακας64[EmployeeID])</f>
        <v>7</v>
      </c>
      <c r="J283">
        <f>_xlfn.XLOOKUP(tbl_FACTS[[#This Row],[OrderID]],Πίνακας64[OrderID],Πίνακας64[ShipperID])</f>
        <v>3</v>
      </c>
      <c r="K283" t="str">
        <f>_xlfn.XLOOKUP(tbl_FACTS[[#This Row],[ShipperID]],Πίνακας8[ShipperID],Πίνακας8[ShipperName])</f>
        <v>Federal Shipping</v>
      </c>
      <c r="L283" t="str">
        <f>_xlfn.XLOOKUP(tbl_FACTS[[#This Row],[ProductID]],Πίνακας7[ProductID],Πίνακας7[ProductName])</f>
        <v>Cote de Blaye</v>
      </c>
      <c r="M283">
        <f>_xlfn.XLOOKUP(tbl_FACTS[[#This Row],[ProductID]],Πίνακας7[ProductID],Πίνακας7[CategoryID])</f>
        <v>1</v>
      </c>
      <c r="N283" t="str">
        <f>_xlfn.XLOOKUP(tbl_FACTS[[#This Row],[CategoryID]],Πίνακας4[CategoryID],Πίνακας4[CategoryName])</f>
        <v>Beverages</v>
      </c>
      <c r="O283">
        <f>_xlfn.XLOOKUP(tbl_FACTS[[#This Row],[ProductID]],Πίνακας7[ProductID],Πίνακας7[SupplierID])</f>
        <v>18</v>
      </c>
      <c r="P283" t="str">
        <f>_xlfn.XLOOKUP(tbl_FACTS[[#This Row],[SupplierID]],Πίνακας9[SupplierID],Πίνακας9[SupplierName])</f>
        <v>Aux joyeux ecclesiastiques</v>
      </c>
      <c r="Q283" s="21">
        <f>_xlfn.XLOOKUP(tbl_FACTS[[#This Row],[ProductID]],Πίνακας7[ProductID],Πίνακας7[Price])</f>
        <v>264</v>
      </c>
      <c r="R283" s="21">
        <f>tbl_FACTS[[#This Row],[Quantity]]*tbl_FACTS[[#This Row],[Price]]</f>
        <v>13200</v>
      </c>
      <c r="S283" s="19">
        <f>IF(COUNTIFS(tbl_FACTS[OrderID],tbl_FACTS[[#This Row],[OrderID]],tbl_FACTS[OrderDetailID],"&lt;"&amp;tbl_FACTS[[#This Row],[OrderDetailID]])=0,1,0)</f>
        <v>0</v>
      </c>
      <c r="T283" s="19">
        <f>YEAR(tbl_FACTS[[#This Row],[OrderDate]])</f>
        <v>1996</v>
      </c>
      <c r="U283" s="22">
        <f>DATE(YEAR(tbl_FACTS[[#This Row],[OrderDate]]),MONTH(tbl_FACTS[[#This Row],[OrderDate]]),1)</f>
        <v>35370</v>
      </c>
      <c r="V283" s="22" t="str">
        <f>IF(tbl_FACTS[[#This Row],[Quantity]]&lt;=10,"0–10",IF(tbl_FACTS[[#This Row],[Quantity]]&lt;=20,"11–20",IF(tbl_FACTS[[#This Row],[Quantity]]&lt;=30,"21–30",IF(tbl_FACTS[[#This Row],[Quantity]]&lt;=40,"31–40",IF(tbl_FACTS[[#This Row],[Quantity]]&lt;=50,"41–50","51+")))))</f>
        <v>41–50</v>
      </c>
    </row>
    <row r="284" spans="1:22">
      <c r="A284">
        <v>283</v>
      </c>
      <c r="B284">
        <v>10354</v>
      </c>
      <c r="C284">
        <v>1</v>
      </c>
      <c r="D284" s="19">
        <v>12</v>
      </c>
      <c r="E284" s="20">
        <f>_xlfn.XLOOKUP(tbl_FACTS[[#This Row],[OrderID]],Πίνακας64[OrderID],Πίνακας64[OrderDate])</f>
        <v>35383</v>
      </c>
      <c r="F284">
        <f>_xlfn.XLOOKUP(tbl_FACTS[[#This Row],[OrderID]],Πίνακας64[OrderID],Πίνακας64[CustomerID])</f>
        <v>58</v>
      </c>
      <c r="G284" t="str">
        <f>_xlfn.XLOOKUP(tbl_FACTS[[#This Row],[CustomerID]],Πίνακας1[CustomerID],Πίνακας1[CustomerName])</f>
        <v>Pericles Comidas clasicas</v>
      </c>
      <c r="H284" t="str">
        <f>_xlfn.XLOOKUP(tbl_FACTS[[#This Row],[CustomerID]],Πίνακας1[CustomerID],Πίνακας1[Country])</f>
        <v>Mexico</v>
      </c>
      <c r="I284">
        <f>_xlfn.XLOOKUP(tbl_FACTS[[#This Row],[OrderID]],Πίνακας64[OrderID],Πίνακας64[EmployeeID])</f>
        <v>8</v>
      </c>
      <c r="J284">
        <f>_xlfn.XLOOKUP(tbl_FACTS[[#This Row],[OrderID]],Πίνακας64[OrderID],Πίνακας64[ShipperID])</f>
        <v>3</v>
      </c>
      <c r="K284" t="str">
        <f>_xlfn.XLOOKUP(tbl_FACTS[[#This Row],[ShipperID]],Πίνακας8[ShipperID],Πίνακας8[ShipperName])</f>
        <v>Federal Shipping</v>
      </c>
      <c r="L284" t="str">
        <f>_xlfn.XLOOKUP(tbl_FACTS[[#This Row],[ProductID]],Πίνακας7[ProductID],Πίνακας7[ProductName])</f>
        <v>Chais</v>
      </c>
      <c r="M284">
        <f>_xlfn.XLOOKUP(tbl_FACTS[[#This Row],[ProductID]],Πίνακας7[ProductID],Πίνακας7[CategoryID])</f>
        <v>1</v>
      </c>
      <c r="N284" t="str">
        <f>_xlfn.XLOOKUP(tbl_FACTS[[#This Row],[CategoryID]],Πίνακας4[CategoryID],Πίνακας4[CategoryName])</f>
        <v>Beverages</v>
      </c>
      <c r="O284">
        <f>_xlfn.XLOOKUP(tbl_FACTS[[#This Row],[ProductID]],Πίνακας7[ProductID],Πίνακας7[SupplierID])</f>
        <v>1</v>
      </c>
      <c r="P284" t="str">
        <f>_xlfn.XLOOKUP(tbl_FACTS[[#This Row],[SupplierID]],Πίνακας9[SupplierID],Πίνακας9[SupplierName])</f>
        <v>Exotic Liquid</v>
      </c>
      <c r="Q284" s="21">
        <f>_xlfn.XLOOKUP(tbl_FACTS[[#This Row],[ProductID]],Πίνακας7[ProductID],Πίνακας7[Price])</f>
        <v>18</v>
      </c>
      <c r="R284" s="21">
        <f>tbl_FACTS[[#This Row],[Quantity]]*tbl_FACTS[[#This Row],[Price]]</f>
        <v>216</v>
      </c>
      <c r="S284" s="19">
        <f>IF(COUNTIFS(tbl_FACTS[OrderID],tbl_FACTS[[#This Row],[OrderID]],tbl_FACTS[OrderDetailID],"&lt;"&amp;tbl_FACTS[[#This Row],[OrderDetailID]])=0,1,0)</f>
        <v>1</v>
      </c>
      <c r="T284" s="19">
        <f>YEAR(tbl_FACTS[[#This Row],[OrderDate]])</f>
        <v>1996</v>
      </c>
      <c r="U284" s="22">
        <f>DATE(YEAR(tbl_FACTS[[#This Row],[OrderDate]]),MONTH(tbl_FACTS[[#This Row],[OrderDate]]),1)</f>
        <v>35370</v>
      </c>
      <c r="V284" s="22" t="str">
        <f>IF(tbl_FACTS[[#This Row],[Quantity]]&lt;=10,"0–10",IF(tbl_FACTS[[#This Row],[Quantity]]&lt;=20,"11–20",IF(tbl_FACTS[[#This Row],[Quantity]]&lt;=30,"21–30",IF(tbl_FACTS[[#This Row],[Quantity]]&lt;=40,"31–40",IF(tbl_FACTS[[#This Row],[Quantity]]&lt;=50,"41–50","51+")))))</f>
        <v>11–20</v>
      </c>
    </row>
    <row r="285" spans="1:22">
      <c r="A285">
        <v>284</v>
      </c>
      <c r="B285">
        <v>10354</v>
      </c>
      <c r="C285">
        <v>29</v>
      </c>
      <c r="D285" s="19">
        <v>4</v>
      </c>
      <c r="E285" s="20">
        <f>_xlfn.XLOOKUP(tbl_FACTS[[#This Row],[OrderID]],Πίνακας64[OrderID],Πίνακας64[OrderDate])</f>
        <v>35383</v>
      </c>
      <c r="F285">
        <f>_xlfn.XLOOKUP(tbl_FACTS[[#This Row],[OrderID]],Πίνακας64[OrderID],Πίνακας64[CustomerID])</f>
        <v>58</v>
      </c>
      <c r="G285" t="str">
        <f>_xlfn.XLOOKUP(tbl_FACTS[[#This Row],[CustomerID]],Πίνακας1[CustomerID],Πίνακας1[CustomerName])</f>
        <v>Pericles Comidas clasicas</v>
      </c>
      <c r="H285" t="str">
        <f>_xlfn.XLOOKUP(tbl_FACTS[[#This Row],[CustomerID]],Πίνακας1[CustomerID],Πίνακας1[Country])</f>
        <v>Mexico</v>
      </c>
      <c r="I285">
        <f>_xlfn.XLOOKUP(tbl_FACTS[[#This Row],[OrderID]],Πίνακας64[OrderID],Πίνακας64[EmployeeID])</f>
        <v>8</v>
      </c>
      <c r="J285">
        <f>_xlfn.XLOOKUP(tbl_FACTS[[#This Row],[OrderID]],Πίνακας64[OrderID],Πίνακας64[ShipperID])</f>
        <v>3</v>
      </c>
      <c r="K285" t="str">
        <f>_xlfn.XLOOKUP(tbl_FACTS[[#This Row],[ShipperID]],Πίνακας8[ShipperID],Πίνακας8[ShipperName])</f>
        <v>Federal Shipping</v>
      </c>
      <c r="L285" t="str">
        <f>_xlfn.XLOOKUP(tbl_FACTS[[#This Row],[ProductID]],Πίνακας7[ProductID],Πίνακας7[ProductName])</f>
        <v>Thuringer Rostbratwurst</v>
      </c>
      <c r="M285">
        <f>_xlfn.XLOOKUP(tbl_FACTS[[#This Row],[ProductID]],Πίνακας7[ProductID],Πίνακας7[CategoryID])</f>
        <v>6</v>
      </c>
      <c r="N285" t="str">
        <f>_xlfn.XLOOKUP(tbl_FACTS[[#This Row],[CategoryID]],Πίνακας4[CategoryID],Πίνακας4[CategoryName])</f>
        <v>Meat/Poultry</v>
      </c>
      <c r="O285">
        <f>_xlfn.XLOOKUP(tbl_FACTS[[#This Row],[ProductID]],Πίνακας7[ProductID],Πίνακας7[SupplierID])</f>
        <v>12</v>
      </c>
      <c r="P285" t="str">
        <f>_xlfn.XLOOKUP(tbl_FACTS[[#This Row],[SupplierID]],Πίνακας9[SupplierID],Πίνακας9[SupplierName])</f>
        <v>Plutzer Lebensmittelgro├ƒmarkte AG</v>
      </c>
      <c r="Q285" s="21">
        <f>_xlfn.XLOOKUP(tbl_FACTS[[#This Row],[ProductID]],Πίνακας7[ProductID],Πίνακας7[Price])</f>
        <v>124</v>
      </c>
      <c r="R285" s="21">
        <f>tbl_FACTS[[#This Row],[Quantity]]*tbl_FACTS[[#This Row],[Price]]</f>
        <v>496</v>
      </c>
      <c r="S285" s="19">
        <f>IF(COUNTIFS(tbl_FACTS[OrderID],tbl_FACTS[[#This Row],[OrderID]],tbl_FACTS[OrderDetailID],"&lt;"&amp;tbl_FACTS[[#This Row],[OrderDetailID]])=0,1,0)</f>
        <v>0</v>
      </c>
      <c r="T285" s="19">
        <f>YEAR(tbl_FACTS[[#This Row],[OrderDate]])</f>
        <v>1996</v>
      </c>
      <c r="U285" s="22">
        <f>DATE(YEAR(tbl_FACTS[[#This Row],[OrderDate]]),MONTH(tbl_FACTS[[#This Row],[OrderDate]]),1)</f>
        <v>35370</v>
      </c>
      <c r="V285" s="22" t="str">
        <f>IF(tbl_FACTS[[#This Row],[Quantity]]&lt;=10,"0–10",IF(tbl_FACTS[[#This Row],[Quantity]]&lt;=20,"11–20",IF(tbl_FACTS[[#This Row],[Quantity]]&lt;=30,"21–30",IF(tbl_FACTS[[#This Row],[Quantity]]&lt;=40,"31–40",IF(tbl_FACTS[[#This Row],[Quantity]]&lt;=50,"41–50","51+")))))</f>
        <v>0–10</v>
      </c>
    </row>
    <row r="286" spans="1:22">
      <c r="A286">
        <v>285</v>
      </c>
      <c r="B286">
        <v>10355</v>
      </c>
      <c r="C286">
        <v>24</v>
      </c>
      <c r="D286" s="19">
        <v>25</v>
      </c>
      <c r="E286" s="20">
        <f>_xlfn.XLOOKUP(tbl_FACTS[[#This Row],[OrderID]],Πίνακας64[OrderID],Πίνακας64[OrderDate])</f>
        <v>35384</v>
      </c>
      <c r="F286">
        <f>_xlfn.XLOOKUP(tbl_FACTS[[#This Row],[OrderID]],Πίνακας64[OrderID],Πίνακας64[CustomerID])</f>
        <v>4</v>
      </c>
      <c r="G286" t="str">
        <f>_xlfn.XLOOKUP(tbl_FACTS[[#This Row],[CustomerID]],Πίνακας1[CustomerID],Πίνακας1[CustomerName])</f>
        <v>Around the Horn</v>
      </c>
      <c r="H286" t="str">
        <f>_xlfn.XLOOKUP(tbl_FACTS[[#This Row],[CustomerID]],Πίνακας1[CustomerID],Πίνακας1[Country])</f>
        <v>UK</v>
      </c>
      <c r="I286">
        <f>_xlfn.XLOOKUP(tbl_FACTS[[#This Row],[OrderID]],Πίνακας64[OrderID],Πίνακας64[EmployeeID])</f>
        <v>6</v>
      </c>
      <c r="J286">
        <f>_xlfn.XLOOKUP(tbl_FACTS[[#This Row],[OrderID]],Πίνακας64[OrderID],Πίνακας64[ShipperID])</f>
        <v>1</v>
      </c>
      <c r="K286" t="str">
        <f>_xlfn.XLOOKUP(tbl_FACTS[[#This Row],[ShipperID]],Πίνακας8[ShipperID],Πίνακας8[ShipperName])</f>
        <v>Speedy Express</v>
      </c>
      <c r="L286" t="str">
        <f>_xlfn.XLOOKUP(tbl_FACTS[[#This Row],[ProductID]],Πίνακας7[ProductID],Πίνακας7[ProductName])</f>
        <v>Guarana Fantastica</v>
      </c>
      <c r="M286">
        <f>_xlfn.XLOOKUP(tbl_FACTS[[#This Row],[ProductID]],Πίνακας7[ProductID],Πίνακας7[CategoryID])</f>
        <v>1</v>
      </c>
      <c r="N286" t="str">
        <f>_xlfn.XLOOKUP(tbl_FACTS[[#This Row],[CategoryID]],Πίνακας4[CategoryID],Πίνακας4[CategoryName])</f>
        <v>Beverages</v>
      </c>
      <c r="O286">
        <f>_xlfn.XLOOKUP(tbl_FACTS[[#This Row],[ProductID]],Πίνακας7[ProductID],Πίνακας7[SupplierID])</f>
        <v>10</v>
      </c>
      <c r="P286" t="str">
        <f>_xlfn.XLOOKUP(tbl_FACTS[[#This Row],[SupplierID]],Πίνακας9[SupplierID],Πίνακας9[SupplierName])</f>
        <v>Refrescos Americanas LTDA</v>
      </c>
      <c r="Q286" s="21">
        <f>_xlfn.XLOOKUP(tbl_FACTS[[#This Row],[ProductID]],Πίνακας7[ProductID],Πίνακας7[Price])</f>
        <v>5</v>
      </c>
      <c r="R286" s="21">
        <f>tbl_FACTS[[#This Row],[Quantity]]*tbl_FACTS[[#This Row],[Price]]</f>
        <v>125</v>
      </c>
      <c r="S286" s="19">
        <f>IF(COUNTIFS(tbl_FACTS[OrderID],tbl_FACTS[[#This Row],[OrderID]],tbl_FACTS[OrderDetailID],"&lt;"&amp;tbl_FACTS[[#This Row],[OrderDetailID]])=0,1,0)</f>
        <v>1</v>
      </c>
      <c r="T286" s="19">
        <f>YEAR(tbl_FACTS[[#This Row],[OrderDate]])</f>
        <v>1996</v>
      </c>
      <c r="U286" s="22">
        <f>DATE(YEAR(tbl_FACTS[[#This Row],[OrderDate]]),MONTH(tbl_FACTS[[#This Row],[OrderDate]]),1)</f>
        <v>35370</v>
      </c>
      <c r="V286" s="22" t="str">
        <f>IF(tbl_FACTS[[#This Row],[Quantity]]&lt;=10,"0–10",IF(tbl_FACTS[[#This Row],[Quantity]]&lt;=20,"11–20",IF(tbl_FACTS[[#This Row],[Quantity]]&lt;=30,"21–30",IF(tbl_FACTS[[#This Row],[Quantity]]&lt;=40,"31–40",IF(tbl_FACTS[[#This Row],[Quantity]]&lt;=50,"41–50","51+")))))</f>
        <v>21–30</v>
      </c>
    </row>
    <row r="287" spans="1:22">
      <c r="A287">
        <v>286</v>
      </c>
      <c r="B287">
        <v>10355</v>
      </c>
      <c r="C287">
        <v>57</v>
      </c>
      <c r="D287" s="19">
        <v>25</v>
      </c>
      <c r="E287" s="20">
        <f>_xlfn.XLOOKUP(tbl_FACTS[[#This Row],[OrderID]],Πίνακας64[OrderID],Πίνακας64[OrderDate])</f>
        <v>35384</v>
      </c>
      <c r="F287">
        <f>_xlfn.XLOOKUP(tbl_FACTS[[#This Row],[OrderID]],Πίνακας64[OrderID],Πίνακας64[CustomerID])</f>
        <v>4</v>
      </c>
      <c r="G287" t="str">
        <f>_xlfn.XLOOKUP(tbl_FACTS[[#This Row],[CustomerID]],Πίνακας1[CustomerID],Πίνακας1[CustomerName])</f>
        <v>Around the Horn</v>
      </c>
      <c r="H287" t="str">
        <f>_xlfn.XLOOKUP(tbl_FACTS[[#This Row],[CustomerID]],Πίνακας1[CustomerID],Πίνακας1[Country])</f>
        <v>UK</v>
      </c>
      <c r="I287">
        <f>_xlfn.XLOOKUP(tbl_FACTS[[#This Row],[OrderID]],Πίνακας64[OrderID],Πίνακας64[EmployeeID])</f>
        <v>6</v>
      </c>
      <c r="J287">
        <f>_xlfn.XLOOKUP(tbl_FACTS[[#This Row],[OrderID]],Πίνακας64[OrderID],Πίνακας64[ShipperID])</f>
        <v>1</v>
      </c>
      <c r="K287" t="str">
        <f>_xlfn.XLOOKUP(tbl_FACTS[[#This Row],[ShipperID]],Πίνακας8[ShipperID],Πίνακας8[ShipperName])</f>
        <v>Speedy Express</v>
      </c>
      <c r="L287" t="str">
        <f>_xlfn.XLOOKUP(tbl_FACTS[[#This Row],[ProductID]],Πίνακας7[ProductID],Πίνακας7[ProductName])</f>
        <v>Ravioli Angelo</v>
      </c>
      <c r="M287">
        <f>_xlfn.XLOOKUP(tbl_FACTS[[#This Row],[ProductID]],Πίνακας7[ProductID],Πίνακας7[CategoryID])</f>
        <v>5</v>
      </c>
      <c r="N287" t="str">
        <f>_xlfn.XLOOKUP(tbl_FACTS[[#This Row],[CategoryID]],Πίνακας4[CategoryID],Πίνακας4[CategoryName])</f>
        <v>Grains/Cereals</v>
      </c>
      <c r="O287">
        <f>_xlfn.XLOOKUP(tbl_FACTS[[#This Row],[ProductID]],Πίνακας7[ProductID],Πίνακας7[SupplierID])</f>
        <v>26</v>
      </c>
      <c r="P287" t="str">
        <f>_xlfn.XLOOKUP(tbl_FACTS[[#This Row],[SupplierID]],Πίνακας9[SupplierID],Πίνακας9[SupplierName])</f>
        <v>Pasta Buttini s.r.l.</v>
      </c>
      <c r="Q287" s="21">
        <f>_xlfn.XLOOKUP(tbl_FACTS[[#This Row],[ProductID]],Πίνακας7[ProductID],Πίνακας7[Price])</f>
        <v>20</v>
      </c>
      <c r="R287" s="21">
        <f>tbl_FACTS[[#This Row],[Quantity]]*tbl_FACTS[[#This Row],[Price]]</f>
        <v>500</v>
      </c>
      <c r="S287" s="19">
        <f>IF(COUNTIFS(tbl_FACTS[OrderID],tbl_FACTS[[#This Row],[OrderID]],tbl_FACTS[OrderDetailID],"&lt;"&amp;tbl_FACTS[[#This Row],[OrderDetailID]])=0,1,0)</f>
        <v>0</v>
      </c>
      <c r="T287" s="19">
        <f>YEAR(tbl_FACTS[[#This Row],[OrderDate]])</f>
        <v>1996</v>
      </c>
      <c r="U287" s="22">
        <f>DATE(YEAR(tbl_FACTS[[#This Row],[OrderDate]]),MONTH(tbl_FACTS[[#This Row],[OrderDate]]),1)</f>
        <v>35370</v>
      </c>
      <c r="V287" s="22" t="str">
        <f>IF(tbl_FACTS[[#This Row],[Quantity]]&lt;=10,"0–10",IF(tbl_FACTS[[#This Row],[Quantity]]&lt;=20,"11–20",IF(tbl_FACTS[[#This Row],[Quantity]]&lt;=30,"21–30",IF(tbl_FACTS[[#This Row],[Quantity]]&lt;=40,"31–40",IF(tbl_FACTS[[#This Row],[Quantity]]&lt;=50,"41–50","51+")))))</f>
        <v>21–30</v>
      </c>
    </row>
    <row r="288" spans="1:22">
      <c r="A288">
        <v>287</v>
      </c>
      <c r="B288">
        <v>10356</v>
      </c>
      <c r="C288">
        <v>31</v>
      </c>
      <c r="D288" s="19">
        <v>30</v>
      </c>
      <c r="E288" s="20">
        <f>_xlfn.XLOOKUP(tbl_FACTS[[#This Row],[OrderID]],Πίνακας64[OrderID],Πίνακας64[OrderDate])</f>
        <v>35387</v>
      </c>
      <c r="F288">
        <f>_xlfn.XLOOKUP(tbl_FACTS[[#This Row],[OrderID]],Πίνακας64[OrderID],Πίνακας64[CustomerID])</f>
        <v>86</v>
      </c>
      <c r="G288" t="str">
        <f>_xlfn.XLOOKUP(tbl_FACTS[[#This Row],[CustomerID]],Πίνακας1[CustomerID],Πίνακας1[CustomerName])</f>
        <v>Die Wandernde Kuh</v>
      </c>
      <c r="H288" t="str">
        <f>_xlfn.XLOOKUP(tbl_FACTS[[#This Row],[CustomerID]],Πίνακας1[CustomerID],Πίνακας1[Country])</f>
        <v>Germany</v>
      </c>
      <c r="I288">
        <f>_xlfn.XLOOKUP(tbl_FACTS[[#This Row],[OrderID]],Πίνακας64[OrderID],Πίνακας64[EmployeeID])</f>
        <v>6</v>
      </c>
      <c r="J288">
        <f>_xlfn.XLOOKUP(tbl_FACTS[[#This Row],[OrderID]],Πίνακας64[OrderID],Πίνακας64[ShipperID])</f>
        <v>2</v>
      </c>
      <c r="K288" t="str">
        <f>_xlfn.XLOOKUP(tbl_FACTS[[#This Row],[ShipperID]],Πίνακας8[ShipperID],Πίνακας8[ShipperName])</f>
        <v>United Package</v>
      </c>
      <c r="L288" t="str">
        <f>_xlfn.XLOOKUP(tbl_FACTS[[#This Row],[ProductID]],Πίνακας7[ProductID],Πίνακας7[ProductName])</f>
        <v>Gorgonzola Telino</v>
      </c>
      <c r="M288">
        <f>_xlfn.XLOOKUP(tbl_FACTS[[#This Row],[ProductID]],Πίνακας7[ProductID],Πίνακας7[CategoryID])</f>
        <v>4</v>
      </c>
      <c r="N288" t="str">
        <f>_xlfn.XLOOKUP(tbl_FACTS[[#This Row],[CategoryID]],Πίνακας4[CategoryID],Πίνακας4[CategoryName])</f>
        <v>Dairy Products</v>
      </c>
      <c r="O288">
        <f>_xlfn.XLOOKUP(tbl_FACTS[[#This Row],[ProductID]],Πίνακας7[ProductID],Πίνακας7[SupplierID])</f>
        <v>14</v>
      </c>
      <c r="P288" t="str">
        <f>_xlfn.XLOOKUP(tbl_FACTS[[#This Row],[SupplierID]],Πίνακας9[SupplierID],Πίνακας9[SupplierName])</f>
        <v>Formaggi Fortini s.r.l.</v>
      </c>
      <c r="Q288" s="21">
        <f>_xlfn.XLOOKUP(tbl_FACTS[[#This Row],[ProductID]],Πίνακας7[ProductID],Πίνακας7[Price])</f>
        <v>13</v>
      </c>
      <c r="R288" s="21">
        <f>tbl_FACTS[[#This Row],[Quantity]]*tbl_FACTS[[#This Row],[Price]]</f>
        <v>390</v>
      </c>
      <c r="S288" s="19">
        <f>IF(COUNTIFS(tbl_FACTS[OrderID],tbl_FACTS[[#This Row],[OrderID]],tbl_FACTS[OrderDetailID],"&lt;"&amp;tbl_FACTS[[#This Row],[OrderDetailID]])=0,1,0)</f>
        <v>1</v>
      </c>
      <c r="T288" s="19">
        <f>YEAR(tbl_FACTS[[#This Row],[OrderDate]])</f>
        <v>1996</v>
      </c>
      <c r="U288" s="22">
        <f>DATE(YEAR(tbl_FACTS[[#This Row],[OrderDate]]),MONTH(tbl_FACTS[[#This Row],[OrderDate]]),1)</f>
        <v>35370</v>
      </c>
      <c r="V288" s="22" t="str">
        <f>IF(tbl_FACTS[[#This Row],[Quantity]]&lt;=10,"0–10",IF(tbl_FACTS[[#This Row],[Quantity]]&lt;=20,"11–20",IF(tbl_FACTS[[#This Row],[Quantity]]&lt;=30,"21–30",IF(tbl_FACTS[[#This Row],[Quantity]]&lt;=40,"31–40",IF(tbl_FACTS[[#This Row],[Quantity]]&lt;=50,"41–50","51+")))))</f>
        <v>21–30</v>
      </c>
    </row>
    <row r="289" spans="1:22">
      <c r="A289">
        <v>288</v>
      </c>
      <c r="B289">
        <v>10356</v>
      </c>
      <c r="C289">
        <v>55</v>
      </c>
      <c r="D289" s="19">
        <v>12</v>
      </c>
      <c r="E289" s="20">
        <f>_xlfn.XLOOKUP(tbl_FACTS[[#This Row],[OrderID]],Πίνακας64[OrderID],Πίνακας64[OrderDate])</f>
        <v>35387</v>
      </c>
      <c r="F289">
        <f>_xlfn.XLOOKUP(tbl_FACTS[[#This Row],[OrderID]],Πίνακας64[OrderID],Πίνακας64[CustomerID])</f>
        <v>86</v>
      </c>
      <c r="G289" t="str">
        <f>_xlfn.XLOOKUP(tbl_FACTS[[#This Row],[CustomerID]],Πίνακας1[CustomerID],Πίνακας1[CustomerName])</f>
        <v>Die Wandernde Kuh</v>
      </c>
      <c r="H289" t="str">
        <f>_xlfn.XLOOKUP(tbl_FACTS[[#This Row],[CustomerID]],Πίνακας1[CustomerID],Πίνακας1[Country])</f>
        <v>Germany</v>
      </c>
      <c r="I289">
        <f>_xlfn.XLOOKUP(tbl_FACTS[[#This Row],[OrderID]],Πίνακας64[OrderID],Πίνακας64[EmployeeID])</f>
        <v>6</v>
      </c>
      <c r="J289">
        <f>_xlfn.XLOOKUP(tbl_FACTS[[#This Row],[OrderID]],Πίνακας64[OrderID],Πίνακας64[ShipperID])</f>
        <v>2</v>
      </c>
      <c r="K289" t="str">
        <f>_xlfn.XLOOKUP(tbl_FACTS[[#This Row],[ShipperID]],Πίνακας8[ShipperID],Πίνακας8[ShipperName])</f>
        <v>United Package</v>
      </c>
      <c r="L289" t="str">
        <f>_xlfn.XLOOKUP(tbl_FACTS[[#This Row],[ProductID]],Πίνακας7[ProductID],Πίνακας7[ProductName])</f>
        <v>Pate chinois</v>
      </c>
      <c r="M289">
        <f>_xlfn.XLOOKUP(tbl_FACTS[[#This Row],[ProductID]],Πίνακας7[ProductID],Πίνακας7[CategoryID])</f>
        <v>6</v>
      </c>
      <c r="N289" t="str">
        <f>_xlfn.XLOOKUP(tbl_FACTS[[#This Row],[CategoryID]],Πίνακας4[CategoryID],Πίνακας4[CategoryName])</f>
        <v>Meat/Poultry</v>
      </c>
      <c r="O289">
        <f>_xlfn.XLOOKUP(tbl_FACTS[[#This Row],[ProductID]],Πίνακας7[ProductID],Πίνακας7[SupplierID])</f>
        <v>25</v>
      </c>
      <c r="P289" t="str">
        <f>_xlfn.XLOOKUP(tbl_FACTS[[#This Row],[SupplierID]],Πίνακας9[SupplierID],Πίνακας9[SupplierName])</f>
        <v>Ma Maison</v>
      </c>
      <c r="Q289" s="21">
        <f>_xlfn.XLOOKUP(tbl_FACTS[[#This Row],[ProductID]],Πίνακας7[ProductID],Πίνακας7[Price])</f>
        <v>24</v>
      </c>
      <c r="R289" s="21">
        <f>tbl_FACTS[[#This Row],[Quantity]]*tbl_FACTS[[#This Row],[Price]]</f>
        <v>288</v>
      </c>
      <c r="S289" s="19">
        <f>IF(COUNTIFS(tbl_FACTS[OrderID],tbl_FACTS[[#This Row],[OrderID]],tbl_FACTS[OrderDetailID],"&lt;"&amp;tbl_FACTS[[#This Row],[OrderDetailID]])=0,1,0)</f>
        <v>0</v>
      </c>
      <c r="T289" s="19">
        <f>YEAR(tbl_FACTS[[#This Row],[OrderDate]])</f>
        <v>1996</v>
      </c>
      <c r="U289" s="22">
        <f>DATE(YEAR(tbl_FACTS[[#This Row],[OrderDate]]),MONTH(tbl_FACTS[[#This Row],[OrderDate]]),1)</f>
        <v>35370</v>
      </c>
      <c r="V289" s="22" t="str">
        <f>IF(tbl_FACTS[[#This Row],[Quantity]]&lt;=10,"0–10",IF(tbl_FACTS[[#This Row],[Quantity]]&lt;=20,"11–20",IF(tbl_FACTS[[#This Row],[Quantity]]&lt;=30,"21–30",IF(tbl_FACTS[[#This Row],[Quantity]]&lt;=40,"31–40",IF(tbl_FACTS[[#This Row],[Quantity]]&lt;=50,"41–50","51+")))))</f>
        <v>11–20</v>
      </c>
    </row>
    <row r="290" spans="1:22">
      <c r="A290">
        <v>289</v>
      </c>
      <c r="B290">
        <v>10356</v>
      </c>
      <c r="C290">
        <v>69</v>
      </c>
      <c r="D290" s="19">
        <v>20</v>
      </c>
      <c r="E290" s="20">
        <f>_xlfn.XLOOKUP(tbl_FACTS[[#This Row],[OrderID]],Πίνακας64[OrderID],Πίνακας64[OrderDate])</f>
        <v>35387</v>
      </c>
      <c r="F290">
        <f>_xlfn.XLOOKUP(tbl_FACTS[[#This Row],[OrderID]],Πίνακας64[OrderID],Πίνακας64[CustomerID])</f>
        <v>86</v>
      </c>
      <c r="G290" t="str">
        <f>_xlfn.XLOOKUP(tbl_FACTS[[#This Row],[CustomerID]],Πίνακας1[CustomerID],Πίνακας1[CustomerName])</f>
        <v>Die Wandernde Kuh</v>
      </c>
      <c r="H290" t="str">
        <f>_xlfn.XLOOKUP(tbl_FACTS[[#This Row],[CustomerID]],Πίνακας1[CustomerID],Πίνακας1[Country])</f>
        <v>Germany</v>
      </c>
      <c r="I290">
        <f>_xlfn.XLOOKUP(tbl_FACTS[[#This Row],[OrderID]],Πίνακας64[OrderID],Πίνακας64[EmployeeID])</f>
        <v>6</v>
      </c>
      <c r="J290">
        <f>_xlfn.XLOOKUP(tbl_FACTS[[#This Row],[OrderID]],Πίνακας64[OrderID],Πίνακας64[ShipperID])</f>
        <v>2</v>
      </c>
      <c r="K290" t="str">
        <f>_xlfn.XLOOKUP(tbl_FACTS[[#This Row],[ShipperID]],Πίνακας8[ShipperID],Πίνακας8[ShipperName])</f>
        <v>United Package</v>
      </c>
      <c r="L290" t="str">
        <f>_xlfn.XLOOKUP(tbl_FACTS[[#This Row],[ProductID]],Πίνακας7[ProductID],Πίνακας7[ProductName])</f>
        <v>Gudbrandsdalsost</v>
      </c>
      <c r="M290">
        <f>_xlfn.XLOOKUP(tbl_FACTS[[#This Row],[ProductID]],Πίνακας7[ProductID],Πίνακας7[CategoryID])</f>
        <v>4</v>
      </c>
      <c r="N290" t="str">
        <f>_xlfn.XLOOKUP(tbl_FACTS[[#This Row],[CategoryID]],Πίνακας4[CategoryID],Πίνακας4[CategoryName])</f>
        <v>Dairy Products</v>
      </c>
      <c r="O290">
        <f>_xlfn.XLOOKUP(tbl_FACTS[[#This Row],[ProductID]],Πίνακας7[ProductID],Πίνακας7[SupplierID])</f>
        <v>15</v>
      </c>
      <c r="P290" t="str">
        <f>_xlfn.XLOOKUP(tbl_FACTS[[#This Row],[SupplierID]],Πίνακας9[SupplierID],Πίνακας9[SupplierName])</f>
        <v>Norske Meierier</v>
      </c>
      <c r="Q290" s="21">
        <f>_xlfn.XLOOKUP(tbl_FACTS[[#This Row],[ProductID]],Πίνακας7[ProductID],Πίνακας7[Price])</f>
        <v>36</v>
      </c>
      <c r="R290" s="21">
        <f>tbl_FACTS[[#This Row],[Quantity]]*tbl_FACTS[[#This Row],[Price]]</f>
        <v>720</v>
      </c>
      <c r="S290" s="19">
        <f>IF(COUNTIFS(tbl_FACTS[OrderID],tbl_FACTS[[#This Row],[OrderID]],tbl_FACTS[OrderDetailID],"&lt;"&amp;tbl_FACTS[[#This Row],[OrderDetailID]])=0,1,0)</f>
        <v>0</v>
      </c>
      <c r="T290" s="19">
        <f>YEAR(tbl_FACTS[[#This Row],[OrderDate]])</f>
        <v>1996</v>
      </c>
      <c r="U290" s="22">
        <f>DATE(YEAR(tbl_FACTS[[#This Row],[OrderDate]]),MONTH(tbl_FACTS[[#This Row],[OrderDate]]),1)</f>
        <v>35370</v>
      </c>
      <c r="V290" s="22" t="str">
        <f>IF(tbl_FACTS[[#This Row],[Quantity]]&lt;=10,"0–10",IF(tbl_FACTS[[#This Row],[Quantity]]&lt;=20,"11–20",IF(tbl_FACTS[[#This Row],[Quantity]]&lt;=30,"21–30",IF(tbl_FACTS[[#This Row],[Quantity]]&lt;=40,"31–40",IF(tbl_FACTS[[#This Row],[Quantity]]&lt;=50,"41–50","51+")))))</f>
        <v>11–20</v>
      </c>
    </row>
    <row r="291" spans="1:22">
      <c r="A291">
        <v>290</v>
      </c>
      <c r="B291">
        <v>10357</v>
      </c>
      <c r="C291">
        <v>10</v>
      </c>
      <c r="D291" s="19">
        <v>30</v>
      </c>
      <c r="E291" s="20">
        <f>_xlfn.XLOOKUP(tbl_FACTS[[#This Row],[OrderID]],Πίνακας64[OrderID],Πίνακας64[OrderDate])</f>
        <v>35388</v>
      </c>
      <c r="F291">
        <f>_xlfn.XLOOKUP(tbl_FACTS[[#This Row],[OrderID]],Πίνακας64[OrderID],Πίνακας64[CustomerID])</f>
        <v>46</v>
      </c>
      <c r="G291" t="str">
        <f>_xlfn.XLOOKUP(tbl_FACTS[[#This Row],[CustomerID]],Πίνακας1[CustomerID],Πίνακας1[CustomerName])</f>
        <v>LILA-Supermercado</v>
      </c>
      <c r="H291" t="str">
        <f>_xlfn.XLOOKUP(tbl_FACTS[[#This Row],[CustomerID]],Πίνακας1[CustomerID],Πίνακας1[Country])</f>
        <v>Venezuela</v>
      </c>
      <c r="I291">
        <f>_xlfn.XLOOKUP(tbl_FACTS[[#This Row],[OrderID]],Πίνακας64[OrderID],Πίνακας64[EmployeeID])</f>
        <v>1</v>
      </c>
      <c r="J291">
        <f>_xlfn.XLOOKUP(tbl_FACTS[[#This Row],[OrderID]],Πίνακας64[OrderID],Πίνακας64[ShipperID])</f>
        <v>3</v>
      </c>
      <c r="K291" t="str">
        <f>_xlfn.XLOOKUP(tbl_FACTS[[#This Row],[ShipperID]],Πίνακας8[ShipperID],Πίνακας8[ShipperName])</f>
        <v>Federal Shipping</v>
      </c>
      <c r="L291" t="str">
        <f>_xlfn.XLOOKUP(tbl_FACTS[[#This Row],[ProductID]],Πίνακας7[ProductID],Πίνακας7[ProductName])</f>
        <v>Ikura</v>
      </c>
      <c r="M291">
        <f>_xlfn.XLOOKUP(tbl_FACTS[[#This Row],[ProductID]],Πίνακας7[ProductID],Πίνακας7[CategoryID])</f>
        <v>8</v>
      </c>
      <c r="N291" t="str">
        <f>_xlfn.XLOOKUP(tbl_FACTS[[#This Row],[CategoryID]],Πίνακας4[CategoryID],Πίνακας4[CategoryName])</f>
        <v>Seafood</v>
      </c>
      <c r="O291">
        <f>_xlfn.XLOOKUP(tbl_FACTS[[#This Row],[ProductID]],Πίνακας7[ProductID],Πίνακας7[SupplierID])</f>
        <v>4</v>
      </c>
      <c r="P291" t="str">
        <f>_xlfn.XLOOKUP(tbl_FACTS[[#This Row],[SupplierID]],Πίνακας9[SupplierID],Πίνακας9[SupplierName])</f>
        <v>Tokyo Traders</v>
      </c>
      <c r="Q291" s="21">
        <f>_xlfn.XLOOKUP(tbl_FACTS[[#This Row],[ProductID]],Πίνακας7[ProductID],Πίνακας7[Price])</f>
        <v>31</v>
      </c>
      <c r="R291" s="21">
        <f>tbl_FACTS[[#This Row],[Quantity]]*tbl_FACTS[[#This Row],[Price]]</f>
        <v>930</v>
      </c>
      <c r="S291" s="19">
        <f>IF(COUNTIFS(tbl_FACTS[OrderID],tbl_FACTS[[#This Row],[OrderID]],tbl_FACTS[OrderDetailID],"&lt;"&amp;tbl_FACTS[[#This Row],[OrderDetailID]])=0,1,0)</f>
        <v>1</v>
      </c>
      <c r="T291" s="19">
        <f>YEAR(tbl_FACTS[[#This Row],[OrderDate]])</f>
        <v>1996</v>
      </c>
      <c r="U291" s="22">
        <f>DATE(YEAR(tbl_FACTS[[#This Row],[OrderDate]]),MONTH(tbl_FACTS[[#This Row],[OrderDate]]),1)</f>
        <v>35370</v>
      </c>
      <c r="V291" s="22" t="str">
        <f>IF(tbl_FACTS[[#This Row],[Quantity]]&lt;=10,"0–10",IF(tbl_FACTS[[#This Row],[Quantity]]&lt;=20,"11–20",IF(tbl_FACTS[[#This Row],[Quantity]]&lt;=30,"21–30",IF(tbl_FACTS[[#This Row],[Quantity]]&lt;=40,"31–40",IF(tbl_FACTS[[#This Row],[Quantity]]&lt;=50,"41–50","51+")))))</f>
        <v>21–30</v>
      </c>
    </row>
    <row r="292" spans="1:22">
      <c r="A292">
        <v>291</v>
      </c>
      <c r="B292">
        <v>10357</v>
      </c>
      <c r="C292">
        <v>26</v>
      </c>
      <c r="D292" s="19">
        <v>16</v>
      </c>
      <c r="E292" s="20">
        <f>_xlfn.XLOOKUP(tbl_FACTS[[#This Row],[OrderID]],Πίνακας64[OrderID],Πίνακας64[OrderDate])</f>
        <v>35388</v>
      </c>
      <c r="F292">
        <f>_xlfn.XLOOKUP(tbl_FACTS[[#This Row],[OrderID]],Πίνακας64[OrderID],Πίνακας64[CustomerID])</f>
        <v>46</v>
      </c>
      <c r="G292" t="str">
        <f>_xlfn.XLOOKUP(tbl_FACTS[[#This Row],[CustomerID]],Πίνακας1[CustomerID],Πίνακας1[CustomerName])</f>
        <v>LILA-Supermercado</v>
      </c>
      <c r="H292" t="str">
        <f>_xlfn.XLOOKUP(tbl_FACTS[[#This Row],[CustomerID]],Πίνακας1[CustomerID],Πίνακας1[Country])</f>
        <v>Venezuela</v>
      </c>
      <c r="I292">
        <f>_xlfn.XLOOKUP(tbl_FACTS[[#This Row],[OrderID]],Πίνακας64[OrderID],Πίνακας64[EmployeeID])</f>
        <v>1</v>
      </c>
      <c r="J292">
        <f>_xlfn.XLOOKUP(tbl_FACTS[[#This Row],[OrderID]],Πίνακας64[OrderID],Πίνακας64[ShipperID])</f>
        <v>3</v>
      </c>
      <c r="K292" t="str">
        <f>_xlfn.XLOOKUP(tbl_FACTS[[#This Row],[ShipperID]],Πίνακας8[ShipperID],Πίνακας8[ShipperName])</f>
        <v>Federal Shipping</v>
      </c>
      <c r="L292" t="str">
        <f>_xlfn.XLOOKUP(tbl_FACTS[[#This Row],[ProductID]],Πίνακας7[ProductID],Πίνακας7[ProductName])</f>
        <v>Gumbar Gummibarchen</v>
      </c>
      <c r="M292">
        <f>_xlfn.XLOOKUP(tbl_FACTS[[#This Row],[ProductID]],Πίνακας7[ProductID],Πίνακας7[CategoryID])</f>
        <v>3</v>
      </c>
      <c r="N292" t="str">
        <f>_xlfn.XLOOKUP(tbl_FACTS[[#This Row],[CategoryID]],Πίνακας4[CategoryID],Πίνακας4[CategoryName])</f>
        <v>Confections</v>
      </c>
      <c r="O292">
        <f>_xlfn.XLOOKUP(tbl_FACTS[[#This Row],[ProductID]],Πίνακας7[ProductID],Πίνακας7[SupplierID])</f>
        <v>11</v>
      </c>
      <c r="P292" t="str">
        <f>_xlfn.XLOOKUP(tbl_FACTS[[#This Row],[SupplierID]],Πίνακας9[SupplierID],Πίνακας9[SupplierName])</f>
        <v>Heli Su├ƒwaren GmbH &amp; Co. KG</v>
      </c>
      <c r="Q292" s="21">
        <f>_xlfn.XLOOKUP(tbl_FACTS[[#This Row],[ProductID]],Πίνακας7[ProductID],Πίνακας7[Price])</f>
        <v>31</v>
      </c>
      <c r="R292" s="21">
        <f>tbl_FACTS[[#This Row],[Quantity]]*tbl_FACTS[[#This Row],[Price]]</f>
        <v>496</v>
      </c>
      <c r="S292" s="19">
        <f>IF(COUNTIFS(tbl_FACTS[OrderID],tbl_FACTS[[#This Row],[OrderID]],tbl_FACTS[OrderDetailID],"&lt;"&amp;tbl_FACTS[[#This Row],[OrderDetailID]])=0,1,0)</f>
        <v>0</v>
      </c>
      <c r="T292" s="19">
        <f>YEAR(tbl_FACTS[[#This Row],[OrderDate]])</f>
        <v>1996</v>
      </c>
      <c r="U292" s="22">
        <f>DATE(YEAR(tbl_FACTS[[#This Row],[OrderDate]]),MONTH(tbl_FACTS[[#This Row],[OrderDate]]),1)</f>
        <v>35370</v>
      </c>
      <c r="V292" s="22" t="str">
        <f>IF(tbl_FACTS[[#This Row],[Quantity]]&lt;=10,"0–10",IF(tbl_FACTS[[#This Row],[Quantity]]&lt;=20,"11–20",IF(tbl_FACTS[[#This Row],[Quantity]]&lt;=30,"21–30",IF(tbl_FACTS[[#This Row],[Quantity]]&lt;=40,"31–40",IF(tbl_FACTS[[#This Row],[Quantity]]&lt;=50,"41–50","51+")))))</f>
        <v>11–20</v>
      </c>
    </row>
    <row r="293" spans="1:22">
      <c r="A293">
        <v>292</v>
      </c>
      <c r="B293">
        <v>10357</v>
      </c>
      <c r="C293">
        <v>60</v>
      </c>
      <c r="D293" s="19">
        <v>8</v>
      </c>
      <c r="E293" s="20">
        <f>_xlfn.XLOOKUP(tbl_FACTS[[#This Row],[OrderID]],Πίνακας64[OrderID],Πίνακας64[OrderDate])</f>
        <v>35388</v>
      </c>
      <c r="F293">
        <f>_xlfn.XLOOKUP(tbl_FACTS[[#This Row],[OrderID]],Πίνακας64[OrderID],Πίνακας64[CustomerID])</f>
        <v>46</v>
      </c>
      <c r="G293" t="str">
        <f>_xlfn.XLOOKUP(tbl_FACTS[[#This Row],[CustomerID]],Πίνακας1[CustomerID],Πίνακας1[CustomerName])</f>
        <v>LILA-Supermercado</v>
      </c>
      <c r="H293" t="str">
        <f>_xlfn.XLOOKUP(tbl_FACTS[[#This Row],[CustomerID]],Πίνακας1[CustomerID],Πίνακας1[Country])</f>
        <v>Venezuela</v>
      </c>
      <c r="I293">
        <f>_xlfn.XLOOKUP(tbl_FACTS[[#This Row],[OrderID]],Πίνακας64[OrderID],Πίνακας64[EmployeeID])</f>
        <v>1</v>
      </c>
      <c r="J293">
        <f>_xlfn.XLOOKUP(tbl_FACTS[[#This Row],[OrderID]],Πίνακας64[OrderID],Πίνακας64[ShipperID])</f>
        <v>3</v>
      </c>
      <c r="K293" t="str">
        <f>_xlfn.XLOOKUP(tbl_FACTS[[#This Row],[ShipperID]],Πίνακας8[ShipperID],Πίνακας8[ShipperName])</f>
        <v>Federal Shipping</v>
      </c>
      <c r="L293" t="str">
        <f>_xlfn.XLOOKUP(tbl_FACTS[[#This Row],[ProductID]],Πίνακας7[ProductID],Πίνακας7[ProductName])</f>
        <v>Camembert Pierrot</v>
      </c>
      <c r="M293">
        <f>_xlfn.XLOOKUP(tbl_FACTS[[#This Row],[ProductID]],Πίνακας7[ProductID],Πίνακας7[CategoryID])</f>
        <v>4</v>
      </c>
      <c r="N293" t="str">
        <f>_xlfn.XLOOKUP(tbl_FACTS[[#This Row],[CategoryID]],Πίνακας4[CategoryID],Πίνακας4[CategoryName])</f>
        <v>Dairy Products</v>
      </c>
      <c r="O293">
        <f>_xlfn.XLOOKUP(tbl_FACTS[[#This Row],[ProductID]],Πίνακας7[ProductID],Πίνακας7[SupplierID])</f>
        <v>28</v>
      </c>
      <c r="P293" t="str">
        <f>_xlfn.XLOOKUP(tbl_FACTS[[#This Row],[SupplierID]],Πίνακας9[SupplierID],Πίνακας9[SupplierName])</f>
        <v>Gai paturage</v>
      </c>
      <c r="Q293" s="21">
        <f>_xlfn.XLOOKUP(tbl_FACTS[[#This Row],[ProductID]],Πίνακας7[ProductID],Πίνακας7[Price])</f>
        <v>34</v>
      </c>
      <c r="R293" s="21">
        <f>tbl_FACTS[[#This Row],[Quantity]]*tbl_FACTS[[#This Row],[Price]]</f>
        <v>272</v>
      </c>
      <c r="S293" s="19">
        <f>IF(COUNTIFS(tbl_FACTS[OrderID],tbl_FACTS[[#This Row],[OrderID]],tbl_FACTS[OrderDetailID],"&lt;"&amp;tbl_FACTS[[#This Row],[OrderDetailID]])=0,1,0)</f>
        <v>0</v>
      </c>
      <c r="T293" s="19">
        <f>YEAR(tbl_FACTS[[#This Row],[OrderDate]])</f>
        <v>1996</v>
      </c>
      <c r="U293" s="22">
        <f>DATE(YEAR(tbl_FACTS[[#This Row],[OrderDate]]),MONTH(tbl_FACTS[[#This Row],[OrderDate]]),1)</f>
        <v>35370</v>
      </c>
      <c r="V293" s="22" t="str">
        <f>IF(tbl_FACTS[[#This Row],[Quantity]]&lt;=10,"0–10",IF(tbl_FACTS[[#This Row],[Quantity]]&lt;=20,"11–20",IF(tbl_FACTS[[#This Row],[Quantity]]&lt;=30,"21–30",IF(tbl_FACTS[[#This Row],[Quantity]]&lt;=40,"31–40",IF(tbl_FACTS[[#This Row],[Quantity]]&lt;=50,"41–50","51+")))))</f>
        <v>0–10</v>
      </c>
    </row>
    <row r="294" spans="1:22">
      <c r="A294">
        <v>293</v>
      </c>
      <c r="B294">
        <v>10358</v>
      </c>
      <c r="C294">
        <v>24</v>
      </c>
      <c r="D294" s="19">
        <v>10</v>
      </c>
      <c r="E294" s="20">
        <f>_xlfn.XLOOKUP(tbl_FACTS[[#This Row],[OrderID]],Πίνακας64[OrderID],Πίνακας64[OrderDate])</f>
        <v>35389</v>
      </c>
      <c r="F294">
        <f>_xlfn.XLOOKUP(tbl_FACTS[[#This Row],[OrderID]],Πίνακας64[OrderID],Πίνακας64[CustomerID])</f>
        <v>41</v>
      </c>
      <c r="G294" t="str">
        <f>_xlfn.XLOOKUP(tbl_FACTS[[#This Row],[CustomerID]],Πίνακας1[CustomerID],Πίνακας1[CustomerName])</f>
        <v>La maison d''Asie</v>
      </c>
      <c r="H294" t="str">
        <f>_xlfn.XLOOKUP(tbl_FACTS[[#This Row],[CustomerID]],Πίνακας1[CustomerID],Πίνακας1[Country])</f>
        <v>France</v>
      </c>
      <c r="I294">
        <f>_xlfn.XLOOKUP(tbl_FACTS[[#This Row],[OrderID]],Πίνακας64[OrderID],Πίνακας64[EmployeeID])</f>
        <v>5</v>
      </c>
      <c r="J294">
        <f>_xlfn.XLOOKUP(tbl_FACTS[[#This Row],[OrderID]],Πίνακας64[OrderID],Πίνακας64[ShipperID])</f>
        <v>1</v>
      </c>
      <c r="K294" t="str">
        <f>_xlfn.XLOOKUP(tbl_FACTS[[#This Row],[ShipperID]],Πίνακας8[ShipperID],Πίνακας8[ShipperName])</f>
        <v>Speedy Express</v>
      </c>
      <c r="L294" t="str">
        <f>_xlfn.XLOOKUP(tbl_FACTS[[#This Row],[ProductID]],Πίνακας7[ProductID],Πίνακας7[ProductName])</f>
        <v>Guarana Fantastica</v>
      </c>
      <c r="M294">
        <f>_xlfn.XLOOKUP(tbl_FACTS[[#This Row],[ProductID]],Πίνακας7[ProductID],Πίνακας7[CategoryID])</f>
        <v>1</v>
      </c>
      <c r="N294" t="str">
        <f>_xlfn.XLOOKUP(tbl_FACTS[[#This Row],[CategoryID]],Πίνακας4[CategoryID],Πίνακας4[CategoryName])</f>
        <v>Beverages</v>
      </c>
      <c r="O294">
        <f>_xlfn.XLOOKUP(tbl_FACTS[[#This Row],[ProductID]],Πίνακας7[ProductID],Πίνακας7[SupplierID])</f>
        <v>10</v>
      </c>
      <c r="P294" t="str">
        <f>_xlfn.XLOOKUP(tbl_FACTS[[#This Row],[SupplierID]],Πίνακας9[SupplierID],Πίνακας9[SupplierName])</f>
        <v>Refrescos Americanas LTDA</v>
      </c>
      <c r="Q294" s="21">
        <f>_xlfn.XLOOKUP(tbl_FACTS[[#This Row],[ProductID]],Πίνακας7[ProductID],Πίνακας7[Price])</f>
        <v>5</v>
      </c>
      <c r="R294" s="21">
        <f>tbl_FACTS[[#This Row],[Quantity]]*tbl_FACTS[[#This Row],[Price]]</f>
        <v>50</v>
      </c>
      <c r="S294" s="19">
        <f>IF(COUNTIFS(tbl_FACTS[OrderID],tbl_FACTS[[#This Row],[OrderID]],tbl_FACTS[OrderDetailID],"&lt;"&amp;tbl_FACTS[[#This Row],[OrderDetailID]])=0,1,0)</f>
        <v>1</v>
      </c>
      <c r="T294" s="19">
        <f>YEAR(tbl_FACTS[[#This Row],[OrderDate]])</f>
        <v>1996</v>
      </c>
      <c r="U294" s="22">
        <f>DATE(YEAR(tbl_FACTS[[#This Row],[OrderDate]]),MONTH(tbl_FACTS[[#This Row],[OrderDate]]),1)</f>
        <v>35370</v>
      </c>
      <c r="V294" s="22" t="str">
        <f>IF(tbl_FACTS[[#This Row],[Quantity]]&lt;=10,"0–10",IF(tbl_FACTS[[#This Row],[Quantity]]&lt;=20,"11–20",IF(tbl_FACTS[[#This Row],[Quantity]]&lt;=30,"21–30",IF(tbl_FACTS[[#This Row],[Quantity]]&lt;=40,"31–40",IF(tbl_FACTS[[#This Row],[Quantity]]&lt;=50,"41–50","51+")))))</f>
        <v>0–10</v>
      </c>
    </row>
    <row r="295" spans="1:22">
      <c r="A295">
        <v>294</v>
      </c>
      <c r="B295">
        <v>10358</v>
      </c>
      <c r="C295">
        <v>34</v>
      </c>
      <c r="D295" s="19">
        <v>10</v>
      </c>
      <c r="E295" s="20">
        <f>_xlfn.XLOOKUP(tbl_FACTS[[#This Row],[OrderID]],Πίνακας64[OrderID],Πίνακας64[OrderDate])</f>
        <v>35389</v>
      </c>
      <c r="F295">
        <f>_xlfn.XLOOKUP(tbl_FACTS[[#This Row],[OrderID]],Πίνακας64[OrderID],Πίνακας64[CustomerID])</f>
        <v>41</v>
      </c>
      <c r="G295" t="str">
        <f>_xlfn.XLOOKUP(tbl_FACTS[[#This Row],[CustomerID]],Πίνακας1[CustomerID],Πίνακας1[CustomerName])</f>
        <v>La maison d''Asie</v>
      </c>
      <c r="H295" t="str">
        <f>_xlfn.XLOOKUP(tbl_FACTS[[#This Row],[CustomerID]],Πίνακας1[CustomerID],Πίνακας1[Country])</f>
        <v>France</v>
      </c>
      <c r="I295">
        <f>_xlfn.XLOOKUP(tbl_FACTS[[#This Row],[OrderID]],Πίνακας64[OrderID],Πίνακας64[EmployeeID])</f>
        <v>5</v>
      </c>
      <c r="J295">
        <f>_xlfn.XLOOKUP(tbl_FACTS[[#This Row],[OrderID]],Πίνακας64[OrderID],Πίνακας64[ShipperID])</f>
        <v>1</v>
      </c>
      <c r="K295" t="str">
        <f>_xlfn.XLOOKUP(tbl_FACTS[[#This Row],[ShipperID]],Πίνακας8[ShipperID],Πίνακας8[ShipperName])</f>
        <v>Speedy Express</v>
      </c>
      <c r="L295" t="str">
        <f>_xlfn.XLOOKUP(tbl_FACTS[[#This Row],[ProductID]],Πίνακας7[ProductID],Πίνακας7[ProductName])</f>
        <v>Sasquatch Ale</v>
      </c>
      <c r="M295">
        <f>_xlfn.XLOOKUP(tbl_FACTS[[#This Row],[ProductID]],Πίνακας7[ProductID],Πίνακας7[CategoryID])</f>
        <v>1</v>
      </c>
      <c r="N295" t="str">
        <f>_xlfn.XLOOKUP(tbl_FACTS[[#This Row],[CategoryID]],Πίνακας4[CategoryID],Πίνακας4[CategoryName])</f>
        <v>Beverages</v>
      </c>
      <c r="O295">
        <f>_xlfn.XLOOKUP(tbl_FACTS[[#This Row],[ProductID]],Πίνακας7[ProductID],Πίνακας7[SupplierID])</f>
        <v>16</v>
      </c>
      <c r="P295" t="str">
        <f>_xlfn.XLOOKUP(tbl_FACTS[[#This Row],[SupplierID]],Πίνακας9[SupplierID],Πίνακας9[SupplierName])</f>
        <v>Bigfoot Breweries</v>
      </c>
      <c r="Q295" s="21">
        <f>_xlfn.XLOOKUP(tbl_FACTS[[#This Row],[ProductID]],Πίνακας7[ProductID],Πίνακας7[Price])</f>
        <v>14</v>
      </c>
      <c r="R295" s="21">
        <f>tbl_FACTS[[#This Row],[Quantity]]*tbl_FACTS[[#This Row],[Price]]</f>
        <v>140</v>
      </c>
      <c r="S295" s="19">
        <f>IF(COUNTIFS(tbl_FACTS[OrderID],tbl_FACTS[[#This Row],[OrderID]],tbl_FACTS[OrderDetailID],"&lt;"&amp;tbl_FACTS[[#This Row],[OrderDetailID]])=0,1,0)</f>
        <v>0</v>
      </c>
      <c r="T295" s="19">
        <f>YEAR(tbl_FACTS[[#This Row],[OrderDate]])</f>
        <v>1996</v>
      </c>
      <c r="U295" s="22">
        <f>DATE(YEAR(tbl_FACTS[[#This Row],[OrderDate]]),MONTH(tbl_FACTS[[#This Row],[OrderDate]]),1)</f>
        <v>35370</v>
      </c>
      <c r="V295" s="22" t="str">
        <f>IF(tbl_FACTS[[#This Row],[Quantity]]&lt;=10,"0–10",IF(tbl_FACTS[[#This Row],[Quantity]]&lt;=20,"11–20",IF(tbl_FACTS[[#This Row],[Quantity]]&lt;=30,"21–30",IF(tbl_FACTS[[#This Row],[Quantity]]&lt;=40,"31–40",IF(tbl_FACTS[[#This Row],[Quantity]]&lt;=50,"41–50","51+")))))</f>
        <v>0–10</v>
      </c>
    </row>
    <row r="296" spans="1:22">
      <c r="A296">
        <v>295</v>
      </c>
      <c r="B296">
        <v>10358</v>
      </c>
      <c r="C296">
        <v>36</v>
      </c>
      <c r="D296" s="19">
        <v>20</v>
      </c>
      <c r="E296" s="20">
        <f>_xlfn.XLOOKUP(tbl_FACTS[[#This Row],[OrderID]],Πίνακας64[OrderID],Πίνακας64[OrderDate])</f>
        <v>35389</v>
      </c>
      <c r="F296">
        <f>_xlfn.XLOOKUP(tbl_FACTS[[#This Row],[OrderID]],Πίνακας64[OrderID],Πίνακας64[CustomerID])</f>
        <v>41</v>
      </c>
      <c r="G296" t="str">
        <f>_xlfn.XLOOKUP(tbl_FACTS[[#This Row],[CustomerID]],Πίνακας1[CustomerID],Πίνακας1[CustomerName])</f>
        <v>La maison d''Asie</v>
      </c>
      <c r="H296" t="str">
        <f>_xlfn.XLOOKUP(tbl_FACTS[[#This Row],[CustomerID]],Πίνακας1[CustomerID],Πίνακας1[Country])</f>
        <v>France</v>
      </c>
      <c r="I296">
        <f>_xlfn.XLOOKUP(tbl_FACTS[[#This Row],[OrderID]],Πίνακας64[OrderID],Πίνακας64[EmployeeID])</f>
        <v>5</v>
      </c>
      <c r="J296">
        <f>_xlfn.XLOOKUP(tbl_FACTS[[#This Row],[OrderID]],Πίνακας64[OrderID],Πίνακας64[ShipperID])</f>
        <v>1</v>
      </c>
      <c r="K296" t="str">
        <f>_xlfn.XLOOKUP(tbl_FACTS[[#This Row],[ShipperID]],Πίνακας8[ShipperID],Πίνακας8[ShipperName])</f>
        <v>Speedy Express</v>
      </c>
      <c r="L296" t="str">
        <f>_xlfn.XLOOKUP(tbl_FACTS[[#This Row],[ProductID]],Πίνακας7[ProductID],Πίνακας7[ProductName])</f>
        <v>Inlagd Sill</v>
      </c>
      <c r="M296">
        <f>_xlfn.XLOOKUP(tbl_FACTS[[#This Row],[ProductID]],Πίνακας7[ProductID],Πίνακας7[CategoryID])</f>
        <v>8</v>
      </c>
      <c r="N296" t="str">
        <f>_xlfn.XLOOKUP(tbl_FACTS[[#This Row],[CategoryID]],Πίνακας4[CategoryID],Πίνακας4[CategoryName])</f>
        <v>Seafood</v>
      </c>
      <c r="O296">
        <f>_xlfn.XLOOKUP(tbl_FACTS[[#This Row],[ProductID]],Πίνακας7[ProductID],Πίνακας7[SupplierID])</f>
        <v>17</v>
      </c>
      <c r="P296" t="str">
        <f>_xlfn.XLOOKUP(tbl_FACTS[[#This Row],[SupplierID]],Πίνακας9[SupplierID],Πίνακας9[SupplierName])</f>
        <v>Svensk Sjofoda AB</v>
      </c>
      <c r="Q296" s="21">
        <f>_xlfn.XLOOKUP(tbl_FACTS[[#This Row],[ProductID]],Πίνακας7[ProductID],Πίνακας7[Price])</f>
        <v>19</v>
      </c>
      <c r="R296" s="21">
        <f>tbl_FACTS[[#This Row],[Quantity]]*tbl_FACTS[[#This Row],[Price]]</f>
        <v>380</v>
      </c>
      <c r="S296" s="19">
        <f>IF(COUNTIFS(tbl_FACTS[OrderID],tbl_FACTS[[#This Row],[OrderID]],tbl_FACTS[OrderDetailID],"&lt;"&amp;tbl_FACTS[[#This Row],[OrderDetailID]])=0,1,0)</f>
        <v>0</v>
      </c>
      <c r="T296" s="19">
        <f>YEAR(tbl_FACTS[[#This Row],[OrderDate]])</f>
        <v>1996</v>
      </c>
      <c r="U296" s="22">
        <f>DATE(YEAR(tbl_FACTS[[#This Row],[OrderDate]]),MONTH(tbl_FACTS[[#This Row],[OrderDate]]),1)</f>
        <v>35370</v>
      </c>
      <c r="V296" s="22" t="str">
        <f>IF(tbl_FACTS[[#This Row],[Quantity]]&lt;=10,"0–10",IF(tbl_FACTS[[#This Row],[Quantity]]&lt;=20,"11–20",IF(tbl_FACTS[[#This Row],[Quantity]]&lt;=30,"21–30",IF(tbl_FACTS[[#This Row],[Quantity]]&lt;=40,"31–40",IF(tbl_FACTS[[#This Row],[Quantity]]&lt;=50,"41–50","51+")))))</f>
        <v>11–20</v>
      </c>
    </row>
    <row r="297" spans="1:22">
      <c r="A297">
        <v>296</v>
      </c>
      <c r="B297">
        <v>10359</v>
      </c>
      <c r="C297">
        <v>16</v>
      </c>
      <c r="D297" s="19">
        <v>56</v>
      </c>
      <c r="E297" s="20">
        <f>_xlfn.XLOOKUP(tbl_FACTS[[#This Row],[OrderID]],Πίνακας64[OrderID],Πίνακας64[OrderDate])</f>
        <v>35390</v>
      </c>
      <c r="F297">
        <f>_xlfn.XLOOKUP(tbl_FACTS[[#This Row],[OrderID]],Πίνακας64[OrderID],Πίνακας64[CustomerID])</f>
        <v>72</v>
      </c>
      <c r="G297" t="str">
        <f>_xlfn.XLOOKUP(tbl_FACTS[[#This Row],[CustomerID]],Πίνακας1[CustomerID],Πίνακας1[CustomerName])</f>
        <v>Seven Seas Imports</v>
      </c>
      <c r="H297" t="str">
        <f>_xlfn.XLOOKUP(tbl_FACTS[[#This Row],[CustomerID]],Πίνακας1[CustomerID],Πίνακας1[Country])</f>
        <v>UK</v>
      </c>
      <c r="I297">
        <f>_xlfn.XLOOKUP(tbl_FACTS[[#This Row],[OrderID]],Πίνακας64[OrderID],Πίνακας64[EmployeeID])</f>
        <v>5</v>
      </c>
      <c r="J297">
        <f>_xlfn.XLOOKUP(tbl_FACTS[[#This Row],[OrderID]],Πίνακας64[OrderID],Πίνακας64[ShipperID])</f>
        <v>3</v>
      </c>
      <c r="K297" t="str">
        <f>_xlfn.XLOOKUP(tbl_FACTS[[#This Row],[ShipperID]],Πίνακας8[ShipperID],Πίνακας8[ShipperName])</f>
        <v>Federal Shipping</v>
      </c>
      <c r="L297" t="str">
        <f>_xlfn.XLOOKUP(tbl_FACTS[[#This Row],[ProductID]],Πίνακας7[ProductID],Πίνακας7[ProductName])</f>
        <v>Pavlova</v>
      </c>
      <c r="M297">
        <f>_xlfn.XLOOKUP(tbl_FACTS[[#This Row],[ProductID]],Πίνακας7[ProductID],Πίνακας7[CategoryID])</f>
        <v>3</v>
      </c>
      <c r="N297" t="str">
        <f>_xlfn.XLOOKUP(tbl_FACTS[[#This Row],[CategoryID]],Πίνακας4[CategoryID],Πίνακας4[CategoryName])</f>
        <v>Confections</v>
      </c>
      <c r="O297">
        <f>_xlfn.XLOOKUP(tbl_FACTS[[#This Row],[ProductID]],Πίνακας7[ProductID],Πίνακας7[SupplierID])</f>
        <v>7</v>
      </c>
      <c r="P297" t="str">
        <f>_xlfn.XLOOKUP(tbl_FACTS[[#This Row],[SupplierID]],Πίνακας9[SupplierID],Πίνακας9[SupplierName])</f>
        <v>Pavlova, Ltd.</v>
      </c>
      <c r="Q297" s="21">
        <f>_xlfn.XLOOKUP(tbl_FACTS[[#This Row],[ProductID]],Πίνακας7[ProductID],Πίνακας7[Price])</f>
        <v>17</v>
      </c>
      <c r="R297" s="21">
        <f>tbl_FACTS[[#This Row],[Quantity]]*tbl_FACTS[[#This Row],[Price]]</f>
        <v>952</v>
      </c>
      <c r="S297" s="19">
        <f>IF(COUNTIFS(tbl_FACTS[OrderID],tbl_FACTS[[#This Row],[OrderID]],tbl_FACTS[OrderDetailID],"&lt;"&amp;tbl_FACTS[[#This Row],[OrderDetailID]])=0,1,0)</f>
        <v>1</v>
      </c>
      <c r="T297" s="19">
        <f>YEAR(tbl_FACTS[[#This Row],[OrderDate]])</f>
        <v>1996</v>
      </c>
      <c r="U297" s="22">
        <f>DATE(YEAR(tbl_FACTS[[#This Row],[OrderDate]]),MONTH(tbl_FACTS[[#This Row],[OrderDate]]),1)</f>
        <v>35370</v>
      </c>
      <c r="V297" s="22" t="str">
        <f>IF(tbl_FACTS[[#This Row],[Quantity]]&lt;=10,"0–10",IF(tbl_FACTS[[#This Row],[Quantity]]&lt;=20,"11–20",IF(tbl_FACTS[[#This Row],[Quantity]]&lt;=30,"21–30",IF(tbl_FACTS[[#This Row],[Quantity]]&lt;=40,"31–40",IF(tbl_FACTS[[#This Row],[Quantity]]&lt;=50,"41–50","51+")))))</f>
        <v>51+</v>
      </c>
    </row>
    <row r="298" spans="1:22">
      <c r="A298">
        <v>297</v>
      </c>
      <c r="B298">
        <v>10359</v>
      </c>
      <c r="C298">
        <v>31</v>
      </c>
      <c r="D298" s="19">
        <v>70</v>
      </c>
      <c r="E298" s="20">
        <f>_xlfn.XLOOKUP(tbl_FACTS[[#This Row],[OrderID]],Πίνακας64[OrderID],Πίνακας64[OrderDate])</f>
        <v>35390</v>
      </c>
      <c r="F298">
        <f>_xlfn.XLOOKUP(tbl_FACTS[[#This Row],[OrderID]],Πίνακας64[OrderID],Πίνακας64[CustomerID])</f>
        <v>72</v>
      </c>
      <c r="G298" t="str">
        <f>_xlfn.XLOOKUP(tbl_FACTS[[#This Row],[CustomerID]],Πίνακας1[CustomerID],Πίνακας1[CustomerName])</f>
        <v>Seven Seas Imports</v>
      </c>
      <c r="H298" t="str">
        <f>_xlfn.XLOOKUP(tbl_FACTS[[#This Row],[CustomerID]],Πίνακας1[CustomerID],Πίνακας1[Country])</f>
        <v>UK</v>
      </c>
      <c r="I298">
        <f>_xlfn.XLOOKUP(tbl_FACTS[[#This Row],[OrderID]],Πίνακας64[OrderID],Πίνακας64[EmployeeID])</f>
        <v>5</v>
      </c>
      <c r="J298">
        <f>_xlfn.XLOOKUP(tbl_FACTS[[#This Row],[OrderID]],Πίνακας64[OrderID],Πίνακας64[ShipperID])</f>
        <v>3</v>
      </c>
      <c r="K298" t="str">
        <f>_xlfn.XLOOKUP(tbl_FACTS[[#This Row],[ShipperID]],Πίνακας8[ShipperID],Πίνακας8[ShipperName])</f>
        <v>Federal Shipping</v>
      </c>
      <c r="L298" t="str">
        <f>_xlfn.XLOOKUP(tbl_FACTS[[#This Row],[ProductID]],Πίνακας7[ProductID],Πίνακας7[ProductName])</f>
        <v>Gorgonzola Telino</v>
      </c>
      <c r="M298">
        <f>_xlfn.XLOOKUP(tbl_FACTS[[#This Row],[ProductID]],Πίνακας7[ProductID],Πίνακας7[CategoryID])</f>
        <v>4</v>
      </c>
      <c r="N298" t="str">
        <f>_xlfn.XLOOKUP(tbl_FACTS[[#This Row],[CategoryID]],Πίνακας4[CategoryID],Πίνακας4[CategoryName])</f>
        <v>Dairy Products</v>
      </c>
      <c r="O298">
        <f>_xlfn.XLOOKUP(tbl_FACTS[[#This Row],[ProductID]],Πίνακας7[ProductID],Πίνακας7[SupplierID])</f>
        <v>14</v>
      </c>
      <c r="P298" t="str">
        <f>_xlfn.XLOOKUP(tbl_FACTS[[#This Row],[SupplierID]],Πίνακας9[SupplierID],Πίνακας9[SupplierName])</f>
        <v>Formaggi Fortini s.r.l.</v>
      </c>
      <c r="Q298" s="21">
        <f>_xlfn.XLOOKUP(tbl_FACTS[[#This Row],[ProductID]],Πίνακας7[ProductID],Πίνακας7[Price])</f>
        <v>13</v>
      </c>
      <c r="R298" s="21">
        <f>tbl_FACTS[[#This Row],[Quantity]]*tbl_FACTS[[#This Row],[Price]]</f>
        <v>910</v>
      </c>
      <c r="S298" s="19">
        <f>IF(COUNTIFS(tbl_FACTS[OrderID],tbl_FACTS[[#This Row],[OrderID]],tbl_FACTS[OrderDetailID],"&lt;"&amp;tbl_FACTS[[#This Row],[OrderDetailID]])=0,1,0)</f>
        <v>0</v>
      </c>
      <c r="T298" s="19">
        <f>YEAR(tbl_FACTS[[#This Row],[OrderDate]])</f>
        <v>1996</v>
      </c>
      <c r="U298" s="22">
        <f>DATE(YEAR(tbl_FACTS[[#This Row],[OrderDate]]),MONTH(tbl_FACTS[[#This Row],[OrderDate]]),1)</f>
        <v>35370</v>
      </c>
      <c r="V298" s="22" t="str">
        <f>IF(tbl_FACTS[[#This Row],[Quantity]]&lt;=10,"0–10",IF(tbl_FACTS[[#This Row],[Quantity]]&lt;=20,"11–20",IF(tbl_FACTS[[#This Row],[Quantity]]&lt;=30,"21–30",IF(tbl_FACTS[[#This Row],[Quantity]]&lt;=40,"31–40",IF(tbl_FACTS[[#This Row],[Quantity]]&lt;=50,"41–50","51+")))))</f>
        <v>51+</v>
      </c>
    </row>
    <row r="299" spans="1:22">
      <c r="A299">
        <v>298</v>
      </c>
      <c r="B299">
        <v>10359</v>
      </c>
      <c r="C299">
        <v>60</v>
      </c>
      <c r="D299" s="19">
        <v>80</v>
      </c>
      <c r="E299" s="20">
        <f>_xlfn.XLOOKUP(tbl_FACTS[[#This Row],[OrderID]],Πίνακας64[OrderID],Πίνακας64[OrderDate])</f>
        <v>35390</v>
      </c>
      <c r="F299">
        <f>_xlfn.XLOOKUP(tbl_FACTS[[#This Row],[OrderID]],Πίνακας64[OrderID],Πίνακας64[CustomerID])</f>
        <v>72</v>
      </c>
      <c r="G299" t="str">
        <f>_xlfn.XLOOKUP(tbl_FACTS[[#This Row],[CustomerID]],Πίνακας1[CustomerID],Πίνακας1[CustomerName])</f>
        <v>Seven Seas Imports</v>
      </c>
      <c r="H299" t="str">
        <f>_xlfn.XLOOKUP(tbl_FACTS[[#This Row],[CustomerID]],Πίνακας1[CustomerID],Πίνακας1[Country])</f>
        <v>UK</v>
      </c>
      <c r="I299">
        <f>_xlfn.XLOOKUP(tbl_FACTS[[#This Row],[OrderID]],Πίνακας64[OrderID],Πίνακας64[EmployeeID])</f>
        <v>5</v>
      </c>
      <c r="J299">
        <f>_xlfn.XLOOKUP(tbl_FACTS[[#This Row],[OrderID]],Πίνακας64[OrderID],Πίνακας64[ShipperID])</f>
        <v>3</v>
      </c>
      <c r="K299" t="str">
        <f>_xlfn.XLOOKUP(tbl_FACTS[[#This Row],[ShipperID]],Πίνακας8[ShipperID],Πίνακας8[ShipperName])</f>
        <v>Federal Shipping</v>
      </c>
      <c r="L299" t="str">
        <f>_xlfn.XLOOKUP(tbl_FACTS[[#This Row],[ProductID]],Πίνακας7[ProductID],Πίνακας7[ProductName])</f>
        <v>Camembert Pierrot</v>
      </c>
      <c r="M299">
        <f>_xlfn.XLOOKUP(tbl_FACTS[[#This Row],[ProductID]],Πίνακας7[ProductID],Πίνακας7[CategoryID])</f>
        <v>4</v>
      </c>
      <c r="N299" t="str">
        <f>_xlfn.XLOOKUP(tbl_FACTS[[#This Row],[CategoryID]],Πίνακας4[CategoryID],Πίνακας4[CategoryName])</f>
        <v>Dairy Products</v>
      </c>
      <c r="O299">
        <f>_xlfn.XLOOKUP(tbl_FACTS[[#This Row],[ProductID]],Πίνακας7[ProductID],Πίνακας7[SupplierID])</f>
        <v>28</v>
      </c>
      <c r="P299" t="str">
        <f>_xlfn.XLOOKUP(tbl_FACTS[[#This Row],[SupplierID]],Πίνακας9[SupplierID],Πίνακας9[SupplierName])</f>
        <v>Gai paturage</v>
      </c>
      <c r="Q299" s="21">
        <f>_xlfn.XLOOKUP(tbl_FACTS[[#This Row],[ProductID]],Πίνακας7[ProductID],Πίνακας7[Price])</f>
        <v>34</v>
      </c>
      <c r="R299" s="21">
        <f>tbl_FACTS[[#This Row],[Quantity]]*tbl_FACTS[[#This Row],[Price]]</f>
        <v>2720</v>
      </c>
      <c r="S299" s="19">
        <f>IF(COUNTIFS(tbl_FACTS[OrderID],tbl_FACTS[[#This Row],[OrderID]],tbl_FACTS[OrderDetailID],"&lt;"&amp;tbl_FACTS[[#This Row],[OrderDetailID]])=0,1,0)</f>
        <v>0</v>
      </c>
      <c r="T299" s="19">
        <f>YEAR(tbl_FACTS[[#This Row],[OrderDate]])</f>
        <v>1996</v>
      </c>
      <c r="U299" s="22">
        <f>DATE(YEAR(tbl_FACTS[[#This Row],[OrderDate]]),MONTH(tbl_FACTS[[#This Row],[OrderDate]]),1)</f>
        <v>35370</v>
      </c>
      <c r="V299" s="22" t="str">
        <f>IF(tbl_FACTS[[#This Row],[Quantity]]&lt;=10,"0–10",IF(tbl_FACTS[[#This Row],[Quantity]]&lt;=20,"11–20",IF(tbl_FACTS[[#This Row],[Quantity]]&lt;=30,"21–30",IF(tbl_FACTS[[#This Row],[Quantity]]&lt;=40,"31–40",IF(tbl_FACTS[[#This Row],[Quantity]]&lt;=50,"41–50","51+")))))</f>
        <v>51+</v>
      </c>
    </row>
    <row r="300" spans="1:22">
      <c r="A300">
        <v>299</v>
      </c>
      <c r="B300">
        <v>10360</v>
      </c>
      <c r="C300">
        <v>28</v>
      </c>
      <c r="D300" s="19">
        <v>30</v>
      </c>
      <c r="E300" s="20">
        <f>_xlfn.XLOOKUP(tbl_FACTS[[#This Row],[OrderID]],Πίνακας64[OrderID],Πίνακας64[OrderDate])</f>
        <v>35391</v>
      </c>
      <c r="F300">
        <f>_xlfn.XLOOKUP(tbl_FACTS[[#This Row],[OrderID]],Πίνακας64[OrderID],Πίνακας64[CustomerID])</f>
        <v>7</v>
      </c>
      <c r="G300" t="str">
        <f>_xlfn.XLOOKUP(tbl_FACTS[[#This Row],[CustomerID]],Πίνακας1[CustomerID],Πίνακας1[CustomerName])</f>
        <v>Blondel pere et fils</v>
      </c>
      <c r="H300" t="str">
        <f>_xlfn.XLOOKUP(tbl_FACTS[[#This Row],[CustomerID]],Πίνακας1[CustomerID],Πίνακας1[Country])</f>
        <v>France</v>
      </c>
      <c r="I300">
        <f>_xlfn.XLOOKUP(tbl_FACTS[[#This Row],[OrderID]],Πίνακας64[OrderID],Πίνακας64[EmployeeID])</f>
        <v>4</v>
      </c>
      <c r="J300">
        <f>_xlfn.XLOOKUP(tbl_FACTS[[#This Row],[OrderID]],Πίνακας64[OrderID],Πίνακας64[ShipperID])</f>
        <v>3</v>
      </c>
      <c r="K300" t="str">
        <f>_xlfn.XLOOKUP(tbl_FACTS[[#This Row],[ShipperID]],Πίνακας8[ShipperID],Πίνακας8[ShipperName])</f>
        <v>Federal Shipping</v>
      </c>
      <c r="L300" t="str">
        <f>_xlfn.XLOOKUP(tbl_FACTS[[#This Row],[ProductID]],Πίνακας7[ProductID],Πίνακας7[ProductName])</f>
        <v>Rossle Sauerkraut</v>
      </c>
      <c r="M300">
        <f>_xlfn.XLOOKUP(tbl_FACTS[[#This Row],[ProductID]],Πίνακας7[ProductID],Πίνακας7[CategoryID])</f>
        <v>7</v>
      </c>
      <c r="N300" t="str">
        <f>_xlfn.XLOOKUP(tbl_FACTS[[#This Row],[CategoryID]],Πίνακας4[CategoryID],Πίνακας4[CategoryName])</f>
        <v>Produce</v>
      </c>
      <c r="O300">
        <f>_xlfn.XLOOKUP(tbl_FACTS[[#This Row],[ProductID]],Πίνακας7[ProductID],Πίνακας7[SupplierID])</f>
        <v>12</v>
      </c>
      <c r="P300" t="str">
        <f>_xlfn.XLOOKUP(tbl_FACTS[[#This Row],[SupplierID]],Πίνακας9[SupplierID],Πίνακας9[SupplierName])</f>
        <v>Plutzer Lebensmittelgro├ƒmarkte AG</v>
      </c>
      <c r="Q300" s="21">
        <f>_xlfn.XLOOKUP(tbl_FACTS[[#This Row],[ProductID]],Πίνακας7[ProductID],Πίνακας7[Price])</f>
        <v>46</v>
      </c>
      <c r="R300" s="21">
        <f>tbl_FACTS[[#This Row],[Quantity]]*tbl_FACTS[[#This Row],[Price]]</f>
        <v>1380</v>
      </c>
      <c r="S300" s="19">
        <f>IF(COUNTIFS(tbl_FACTS[OrderID],tbl_FACTS[[#This Row],[OrderID]],tbl_FACTS[OrderDetailID],"&lt;"&amp;tbl_FACTS[[#This Row],[OrderDetailID]])=0,1,0)</f>
        <v>1</v>
      </c>
      <c r="T300" s="19">
        <f>YEAR(tbl_FACTS[[#This Row],[OrderDate]])</f>
        <v>1996</v>
      </c>
      <c r="U300" s="22">
        <f>DATE(YEAR(tbl_FACTS[[#This Row],[OrderDate]]),MONTH(tbl_FACTS[[#This Row],[OrderDate]]),1)</f>
        <v>35370</v>
      </c>
      <c r="V300" s="22" t="str">
        <f>IF(tbl_FACTS[[#This Row],[Quantity]]&lt;=10,"0–10",IF(tbl_FACTS[[#This Row],[Quantity]]&lt;=20,"11–20",IF(tbl_FACTS[[#This Row],[Quantity]]&lt;=30,"21–30",IF(tbl_FACTS[[#This Row],[Quantity]]&lt;=40,"31–40",IF(tbl_FACTS[[#This Row],[Quantity]]&lt;=50,"41–50","51+")))))</f>
        <v>21–30</v>
      </c>
    </row>
    <row r="301" spans="1:22">
      <c r="A301">
        <v>300</v>
      </c>
      <c r="B301">
        <v>10360</v>
      </c>
      <c r="C301">
        <v>29</v>
      </c>
      <c r="D301" s="19">
        <v>35</v>
      </c>
      <c r="E301" s="20">
        <f>_xlfn.XLOOKUP(tbl_FACTS[[#This Row],[OrderID]],Πίνακας64[OrderID],Πίνακας64[OrderDate])</f>
        <v>35391</v>
      </c>
      <c r="F301">
        <f>_xlfn.XLOOKUP(tbl_FACTS[[#This Row],[OrderID]],Πίνακας64[OrderID],Πίνακας64[CustomerID])</f>
        <v>7</v>
      </c>
      <c r="G301" t="str">
        <f>_xlfn.XLOOKUP(tbl_FACTS[[#This Row],[CustomerID]],Πίνακας1[CustomerID],Πίνακας1[CustomerName])</f>
        <v>Blondel pere et fils</v>
      </c>
      <c r="H301" t="str">
        <f>_xlfn.XLOOKUP(tbl_FACTS[[#This Row],[CustomerID]],Πίνακας1[CustomerID],Πίνακας1[Country])</f>
        <v>France</v>
      </c>
      <c r="I301">
        <f>_xlfn.XLOOKUP(tbl_FACTS[[#This Row],[OrderID]],Πίνακας64[OrderID],Πίνακας64[EmployeeID])</f>
        <v>4</v>
      </c>
      <c r="J301">
        <f>_xlfn.XLOOKUP(tbl_FACTS[[#This Row],[OrderID]],Πίνακας64[OrderID],Πίνακας64[ShipperID])</f>
        <v>3</v>
      </c>
      <c r="K301" t="str">
        <f>_xlfn.XLOOKUP(tbl_FACTS[[#This Row],[ShipperID]],Πίνακας8[ShipperID],Πίνακας8[ShipperName])</f>
        <v>Federal Shipping</v>
      </c>
      <c r="L301" t="str">
        <f>_xlfn.XLOOKUP(tbl_FACTS[[#This Row],[ProductID]],Πίνακας7[ProductID],Πίνακας7[ProductName])</f>
        <v>Thuringer Rostbratwurst</v>
      </c>
      <c r="M301">
        <f>_xlfn.XLOOKUP(tbl_FACTS[[#This Row],[ProductID]],Πίνακας7[ProductID],Πίνακας7[CategoryID])</f>
        <v>6</v>
      </c>
      <c r="N301" t="str">
        <f>_xlfn.XLOOKUP(tbl_FACTS[[#This Row],[CategoryID]],Πίνακας4[CategoryID],Πίνακας4[CategoryName])</f>
        <v>Meat/Poultry</v>
      </c>
      <c r="O301">
        <f>_xlfn.XLOOKUP(tbl_FACTS[[#This Row],[ProductID]],Πίνακας7[ProductID],Πίνακας7[SupplierID])</f>
        <v>12</v>
      </c>
      <c r="P301" t="str">
        <f>_xlfn.XLOOKUP(tbl_FACTS[[#This Row],[SupplierID]],Πίνακας9[SupplierID],Πίνακας9[SupplierName])</f>
        <v>Plutzer Lebensmittelgro├ƒmarkte AG</v>
      </c>
      <c r="Q301" s="21">
        <f>_xlfn.XLOOKUP(tbl_FACTS[[#This Row],[ProductID]],Πίνακας7[ProductID],Πίνακας7[Price])</f>
        <v>124</v>
      </c>
      <c r="R301" s="21">
        <f>tbl_FACTS[[#This Row],[Quantity]]*tbl_FACTS[[#This Row],[Price]]</f>
        <v>4340</v>
      </c>
      <c r="S301" s="19">
        <f>IF(COUNTIFS(tbl_FACTS[OrderID],tbl_FACTS[[#This Row],[OrderID]],tbl_FACTS[OrderDetailID],"&lt;"&amp;tbl_FACTS[[#This Row],[OrderDetailID]])=0,1,0)</f>
        <v>0</v>
      </c>
      <c r="T301" s="19">
        <f>YEAR(tbl_FACTS[[#This Row],[OrderDate]])</f>
        <v>1996</v>
      </c>
      <c r="U301" s="22">
        <f>DATE(YEAR(tbl_FACTS[[#This Row],[OrderDate]]),MONTH(tbl_FACTS[[#This Row],[OrderDate]]),1)</f>
        <v>35370</v>
      </c>
      <c r="V301" s="22" t="str">
        <f>IF(tbl_FACTS[[#This Row],[Quantity]]&lt;=10,"0–10",IF(tbl_FACTS[[#This Row],[Quantity]]&lt;=20,"11–20",IF(tbl_FACTS[[#This Row],[Quantity]]&lt;=30,"21–30",IF(tbl_FACTS[[#This Row],[Quantity]]&lt;=40,"31–40",IF(tbl_FACTS[[#This Row],[Quantity]]&lt;=50,"41–50","51+")))))</f>
        <v>31–40</v>
      </c>
    </row>
    <row r="302" spans="1:22">
      <c r="A302">
        <v>301</v>
      </c>
      <c r="B302">
        <v>10360</v>
      </c>
      <c r="C302">
        <v>38</v>
      </c>
      <c r="D302" s="19">
        <v>10</v>
      </c>
      <c r="E302" s="20">
        <f>_xlfn.XLOOKUP(tbl_FACTS[[#This Row],[OrderID]],Πίνακας64[OrderID],Πίνακας64[OrderDate])</f>
        <v>35391</v>
      </c>
      <c r="F302">
        <f>_xlfn.XLOOKUP(tbl_FACTS[[#This Row],[OrderID]],Πίνακας64[OrderID],Πίνακας64[CustomerID])</f>
        <v>7</v>
      </c>
      <c r="G302" t="str">
        <f>_xlfn.XLOOKUP(tbl_FACTS[[#This Row],[CustomerID]],Πίνακας1[CustomerID],Πίνακας1[CustomerName])</f>
        <v>Blondel pere et fils</v>
      </c>
      <c r="H302" t="str">
        <f>_xlfn.XLOOKUP(tbl_FACTS[[#This Row],[CustomerID]],Πίνακας1[CustomerID],Πίνακας1[Country])</f>
        <v>France</v>
      </c>
      <c r="I302">
        <f>_xlfn.XLOOKUP(tbl_FACTS[[#This Row],[OrderID]],Πίνακας64[OrderID],Πίνακας64[EmployeeID])</f>
        <v>4</v>
      </c>
      <c r="J302">
        <f>_xlfn.XLOOKUP(tbl_FACTS[[#This Row],[OrderID]],Πίνακας64[OrderID],Πίνακας64[ShipperID])</f>
        <v>3</v>
      </c>
      <c r="K302" t="str">
        <f>_xlfn.XLOOKUP(tbl_FACTS[[#This Row],[ShipperID]],Πίνακας8[ShipperID],Πίνακας8[ShipperName])</f>
        <v>Federal Shipping</v>
      </c>
      <c r="L302" t="str">
        <f>_xlfn.XLOOKUP(tbl_FACTS[[#This Row],[ProductID]],Πίνακας7[ProductID],Πίνακας7[ProductName])</f>
        <v>Cote de Blaye</v>
      </c>
      <c r="M302">
        <f>_xlfn.XLOOKUP(tbl_FACTS[[#This Row],[ProductID]],Πίνακας7[ProductID],Πίνακας7[CategoryID])</f>
        <v>1</v>
      </c>
      <c r="N302" t="str">
        <f>_xlfn.XLOOKUP(tbl_FACTS[[#This Row],[CategoryID]],Πίνακας4[CategoryID],Πίνακας4[CategoryName])</f>
        <v>Beverages</v>
      </c>
      <c r="O302">
        <f>_xlfn.XLOOKUP(tbl_FACTS[[#This Row],[ProductID]],Πίνακας7[ProductID],Πίνακας7[SupplierID])</f>
        <v>18</v>
      </c>
      <c r="P302" t="str">
        <f>_xlfn.XLOOKUP(tbl_FACTS[[#This Row],[SupplierID]],Πίνακας9[SupplierID],Πίνακας9[SupplierName])</f>
        <v>Aux joyeux ecclesiastiques</v>
      </c>
      <c r="Q302" s="21">
        <f>_xlfn.XLOOKUP(tbl_FACTS[[#This Row],[ProductID]],Πίνακας7[ProductID],Πίνακας7[Price])</f>
        <v>264</v>
      </c>
      <c r="R302" s="21">
        <f>tbl_FACTS[[#This Row],[Quantity]]*tbl_FACTS[[#This Row],[Price]]</f>
        <v>2640</v>
      </c>
      <c r="S302" s="19">
        <f>IF(COUNTIFS(tbl_FACTS[OrderID],tbl_FACTS[[#This Row],[OrderID]],tbl_FACTS[OrderDetailID],"&lt;"&amp;tbl_FACTS[[#This Row],[OrderDetailID]])=0,1,0)</f>
        <v>0</v>
      </c>
      <c r="T302" s="19">
        <f>YEAR(tbl_FACTS[[#This Row],[OrderDate]])</f>
        <v>1996</v>
      </c>
      <c r="U302" s="22">
        <f>DATE(YEAR(tbl_FACTS[[#This Row],[OrderDate]]),MONTH(tbl_FACTS[[#This Row],[OrderDate]]),1)</f>
        <v>35370</v>
      </c>
      <c r="V302" s="22" t="str">
        <f>IF(tbl_FACTS[[#This Row],[Quantity]]&lt;=10,"0–10",IF(tbl_FACTS[[#This Row],[Quantity]]&lt;=20,"11–20",IF(tbl_FACTS[[#This Row],[Quantity]]&lt;=30,"21–30",IF(tbl_FACTS[[#This Row],[Quantity]]&lt;=40,"31–40",IF(tbl_FACTS[[#This Row],[Quantity]]&lt;=50,"41–50","51+")))))</f>
        <v>0–10</v>
      </c>
    </row>
    <row r="303" spans="1:22">
      <c r="A303">
        <v>302</v>
      </c>
      <c r="B303">
        <v>10360</v>
      </c>
      <c r="C303">
        <v>49</v>
      </c>
      <c r="D303" s="19">
        <v>35</v>
      </c>
      <c r="E303" s="20">
        <f>_xlfn.XLOOKUP(tbl_FACTS[[#This Row],[OrderID]],Πίνακας64[OrderID],Πίνακας64[OrderDate])</f>
        <v>35391</v>
      </c>
      <c r="F303">
        <f>_xlfn.XLOOKUP(tbl_FACTS[[#This Row],[OrderID]],Πίνακας64[OrderID],Πίνακας64[CustomerID])</f>
        <v>7</v>
      </c>
      <c r="G303" t="str">
        <f>_xlfn.XLOOKUP(tbl_FACTS[[#This Row],[CustomerID]],Πίνακας1[CustomerID],Πίνακας1[CustomerName])</f>
        <v>Blondel pere et fils</v>
      </c>
      <c r="H303" t="str">
        <f>_xlfn.XLOOKUP(tbl_FACTS[[#This Row],[CustomerID]],Πίνακας1[CustomerID],Πίνακας1[Country])</f>
        <v>France</v>
      </c>
      <c r="I303">
        <f>_xlfn.XLOOKUP(tbl_FACTS[[#This Row],[OrderID]],Πίνακας64[OrderID],Πίνακας64[EmployeeID])</f>
        <v>4</v>
      </c>
      <c r="J303">
        <f>_xlfn.XLOOKUP(tbl_FACTS[[#This Row],[OrderID]],Πίνακας64[OrderID],Πίνακας64[ShipperID])</f>
        <v>3</v>
      </c>
      <c r="K303" t="str">
        <f>_xlfn.XLOOKUP(tbl_FACTS[[#This Row],[ShipperID]],Πίνακας8[ShipperID],Πίνακας8[ShipperName])</f>
        <v>Federal Shipping</v>
      </c>
      <c r="L303" t="str">
        <f>_xlfn.XLOOKUP(tbl_FACTS[[#This Row],[ProductID]],Πίνακας7[ProductID],Πίνακας7[ProductName])</f>
        <v>Maxilaku</v>
      </c>
      <c r="M303">
        <f>_xlfn.XLOOKUP(tbl_FACTS[[#This Row],[ProductID]],Πίνακας7[ProductID],Πίνακας7[CategoryID])</f>
        <v>3</v>
      </c>
      <c r="N303" t="str">
        <f>_xlfn.XLOOKUP(tbl_FACTS[[#This Row],[CategoryID]],Πίνακας4[CategoryID],Πίνακας4[CategoryName])</f>
        <v>Confections</v>
      </c>
      <c r="O303">
        <f>_xlfn.XLOOKUP(tbl_FACTS[[#This Row],[ProductID]],Πίνακας7[ProductID],Πίνακας7[SupplierID])</f>
        <v>23</v>
      </c>
      <c r="P303" t="str">
        <f>_xlfn.XLOOKUP(tbl_FACTS[[#This Row],[SupplierID]],Πίνακας9[SupplierID],Πίνακας9[SupplierName])</f>
        <v>Karkki Oy</v>
      </c>
      <c r="Q303" s="21">
        <f>_xlfn.XLOOKUP(tbl_FACTS[[#This Row],[ProductID]],Πίνακας7[ProductID],Πίνακας7[Price])</f>
        <v>20</v>
      </c>
      <c r="R303" s="21">
        <f>tbl_FACTS[[#This Row],[Quantity]]*tbl_FACTS[[#This Row],[Price]]</f>
        <v>700</v>
      </c>
      <c r="S303" s="19">
        <f>IF(COUNTIFS(tbl_FACTS[OrderID],tbl_FACTS[[#This Row],[OrderID]],tbl_FACTS[OrderDetailID],"&lt;"&amp;tbl_FACTS[[#This Row],[OrderDetailID]])=0,1,0)</f>
        <v>0</v>
      </c>
      <c r="T303" s="19">
        <f>YEAR(tbl_FACTS[[#This Row],[OrderDate]])</f>
        <v>1996</v>
      </c>
      <c r="U303" s="22">
        <f>DATE(YEAR(tbl_FACTS[[#This Row],[OrderDate]]),MONTH(tbl_FACTS[[#This Row],[OrderDate]]),1)</f>
        <v>35370</v>
      </c>
      <c r="V303" s="22" t="str">
        <f>IF(tbl_FACTS[[#This Row],[Quantity]]&lt;=10,"0–10",IF(tbl_FACTS[[#This Row],[Quantity]]&lt;=20,"11–20",IF(tbl_FACTS[[#This Row],[Quantity]]&lt;=30,"21–30",IF(tbl_FACTS[[#This Row],[Quantity]]&lt;=40,"31–40",IF(tbl_FACTS[[#This Row],[Quantity]]&lt;=50,"41–50","51+")))))</f>
        <v>31–40</v>
      </c>
    </row>
    <row r="304" spans="1:22">
      <c r="A304">
        <v>303</v>
      </c>
      <c r="B304">
        <v>10360</v>
      </c>
      <c r="C304">
        <v>54</v>
      </c>
      <c r="D304" s="19">
        <v>28</v>
      </c>
      <c r="E304" s="20">
        <f>_xlfn.XLOOKUP(tbl_FACTS[[#This Row],[OrderID]],Πίνακας64[OrderID],Πίνακας64[OrderDate])</f>
        <v>35391</v>
      </c>
      <c r="F304">
        <f>_xlfn.XLOOKUP(tbl_FACTS[[#This Row],[OrderID]],Πίνακας64[OrderID],Πίνακας64[CustomerID])</f>
        <v>7</v>
      </c>
      <c r="G304" t="str">
        <f>_xlfn.XLOOKUP(tbl_FACTS[[#This Row],[CustomerID]],Πίνακας1[CustomerID],Πίνακας1[CustomerName])</f>
        <v>Blondel pere et fils</v>
      </c>
      <c r="H304" t="str">
        <f>_xlfn.XLOOKUP(tbl_FACTS[[#This Row],[CustomerID]],Πίνακας1[CustomerID],Πίνακας1[Country])</f>
        <v>France</v>
      </c>
      <c r="I304">
        <f>_xlfn.XLOOKUP(tbl_FACTS[[#This Row],[OrderID]],Πίνακας64[OrderID],Πίνακας64[EmployeeID])</f>
        <v>4</v>
      </c>
      <c r="J304">
        <f>_xlfn.XLOOKUP(tbl_FACTS[[#This Row],[OrderID]],Πίνακας64[OrderID],Πίνακας64[ShipperID])</f>
        <v>3</v>
      </c>
      <c r="K304" t="str">
        <f>_xlfn.XLOOKUP(tbl_FACTS[[#This Row],[ShipperID]],Πίνακας8[ShipperID],Πίνακας8[ShipperName])</f>
        <v>Federal Shipping</v>
      </c>
      <c r="L304" t="str">
        <f>_xlfn.XLOOKUP(tbl_FACTS[[#This Row],[ProductID]],Πίνακας7[ProductID],Πίνακας7[ProductName])</f>
        <v>Tourtiere</v>
      </c>
      <c r="M304">
        <f>_xlfn.XLOOKUP(tbl_FACTS[[#This Row],[ProductID]],Πίνακας7[ProductID],Πίνακας7[CategoryID])</f>
        <v>6</v>
      </c>
      <c r="N304" t="str">
        <f>_xlfn.XLOOKUP(tbl_FACTS[[#This Row],[CategoryID]],Πίνακας4[CategoryID],Πίνακας4[CategoryName])</f>
        <v>Meat/Poultry</v>
      </c>
      <c r="O304">
        <f>_xlfn.XLOOKUP(tbl_FACTS[[#This Row],[ProductID]],Πίνακας7[ProductID],Πίνακας7[SupplierID])</f>
        <v>25</v>
      </c>
      <c r="P304" t="str">
        <f>_xlfn.XLOOKUP(tbl_FACTS[[#This Row],[SupplierID]],Πίνακας9[SupplierID],Πίνακας9[SupplierName])</f>
        <v>Ma Maison</v>
      </c>
      <c r="Q304" s="21">
        <f>_xlfn.XLOOKUP(tbl_FACTS[[#This Row],[ProductID]],Πίνακας7[ProductID],Πίνακας7[Price])</f>
        <v>7</v>
      </c>
      <c r="R304" s="21">
        <f>tbl_FACTS[[#This Row],[Quantity]]*tbl_FACTS[[#This Row],[Price]]</f>
        <v>196</v>
      </c>
      <c r="S304" s="19">
        <f>IF(COUNTIFS(tbl_FACTS[OrderID],tbl_FACTS[[#This Row],[OrderID]],tbl_FACTS[OrderDetailID],"&lt;"&amp;tbl_FACTS[[#This Row],[OrderDetailID]])=0,1,0)</f>
        <v>0</v>
      </c>
      <c r="T304" s="19">
        <f>YEAR(tbl_FACTS[[#This Row],[OrderDate]])</f>
        <v>1996</v>
      </c>
      <c r="U304" s="22">
        <f>DATE(YEAR(tbl_FACTS[[#This Row],[OrderDate]]),MONTH(tbl_FACTS[[#This Row],[OrderDate]]),1)</f>
        <v>35370</v>
      </c>
      <c r="V304" s="22" t="str">
        <f>IF(tbl_FACTS[[#This Row],[Quantity]]&lt;=10,"0–10",IF(tbl_FACTS[[#This Row],[Quantity]]&lt;=20,"11–20",IF(tbl_FACTS[[#This Row],[Quantity]]&lt;=30,"21–30",IF(tbl_FACTS[[#This Row],[Quantity]]&lt;=40,"31–40",IF(tbl_FACTS[[#This Row],[Quantity]]&lt;=50,"41–50","51+")))))</f>
        <v>21–30</v>
      </c>
    </row>
    <row r="305" spans="1:22">
      <c r="A305">
        <v>304</v>
      </c>
      <c r="B305">
        <v>10361</v>
      </c>
      <c r="C305">
        <v>39</v>
      </c>
      <c r="D305" s="19">
        <v>54</v>
      </c>
      <c r="E305" s="20">
        <f>_xlfn.XLOOKUP(tbl_FACTS[[#This Row],[OrderID]],Πίνακας64[OrderID],Πίνακας64[OrderDate])</f>
        <v>35391</v>
      </c>
      <c r="F305">
        <f>_xlfn.XLOOKUP(tbl_FACTS[[#This Row],[OrderID]],Πίνακας64[OrderID],Πίνακας64[CustomerID])</f>
        <v>63</v>
      </c>
      <c r="G305" t="str">
        <f>_xlfn.XLOOKUP(tbl_FACTS[[#This Row],[CustomerID]],Πίνακας1[CustomerID],Πίνακας1[CustomerName])</f>
        <v>QUICK-Stop</v>
      </c>
      <c r="H305" t="str">
        <f>_xlfn.XLOOKUP(tbl_FACTS[[#This Row],[CustomerID]],Πίνακας1[CustomerID],Πίνακας1[Country])</f>
        <v>Germany</v>
      </c>
      <c r="I305">
        <f>_xlfn.XLOOKUP(tbl_FACTS[[#This Row],[OrderID]],Πίνακας64[OrderID],Πίνακας64[EmployeeID])</f>
        <v>1</v>
      </c>
      <c r="J305">
        <f>_xlfn.XLOOKUP(tbl_FACTS[[#This Row],[OrderID]],Πίνακας64[OrderID],Πίνακας64[ShipperID])</f>
        <v>2</v>
      </c>
      <c r="K305" t="str">
        <f>_xlfn.XLOOKUP(tbl_FACTS[[#This Row],[ShipperID]],Πίνακας8[ShipperID],Πίνακας8[ShipperName])</f>
        <v>United Package</v>
      </c>
      <c r="L305" t="str">
        <f>_xlfn.XLOOKUP(tbl_FACTS[[#This Row],[ProductID]],Πίνακας7[ProductID],Πίνακας7[ProductName])</f>
        <v>Chartreuse verte</v>
      </c>
      <c r="M305">
        <f>_xlfn.XLOOKUP(tbl_FACTS[[#This Row],[ProductID]],Πίνακας7[ProductID],Πίνακας7[CategoryID])</f>
        <v>1</v>
      </c>
      <c r="N305" t="str">
        <f>_xlfn.XLOOKUP(tbl_FACTS[[#This Row],[CategoryID]],Πίνακας4[CategoryID],Πίνακας4[CategoryName])</f>
        <v>Beverages</v>
      </c>
      <c r="O305">
        <f>_xlfn.XLOOKUP(tbl_FACTS[[#This Row],[ProductID]],Πίνακας7[ProductID],Πίνακας7[SupplierID])</f>
        <v>18</v>
      </c>
      <c r="P305" t="str">
        <f>_xlfn.XLOOKUP(tbl_FACTS[[#This Row],[SupplierID]],Πίνακας9[SupplierID],Πίνακας9[SupplierName])</f>
        <v>Aux joyeux ecclesiastiques</v>
      </c>
      <c r="Q305" s="21">
        <f>_xlfn.XLOOKUP(tbl_FACTS[[#This Row],[ProductID]],Πίνακας7[ProductID],Πίνακας7[Price])</f>
        <v>18</v>
      </c>
      <c r="R305" s="21">
        <f>tbl_FACTS[[#This Row],[Quantity]]*tbl_FACTS[[#This Row],[Price]]</f>
        <v>972</v>
      </c>
      <c r="S305" s="19">
        <f>IF(COUNTIFS(tbl_FACTS[OrderID],tbl_FACTS[[#This Row],[OrderID]],tbl_FACTS[OrderDetailID],"&lt;"&amp;tbl_FACTS[[#This Row],[OrderDetailID]])=0,1,0)</f>
        <v>1</v>
      </c>
      <c r="T305" s="19">
        <f>YEAR(tbl_FACTS[[#This Row],[OrderDate]])</f>
        <v>1996</v>
      </c>
      <c r="U305" s="22">
        <f>DATE(YEAR(tbl_FACTS[[#This Row],[OrderDate]]),MONTH(tbl_FACTS[[#This Row],[OrderDate]]),1)</f>
        <v>35370</v>
      </c>
      <c r="V305" s="22" t="str">
        <f>IF(tbl_FACTS[[#This Row],[Quantity]]&lt;=10,"0–10",IF(tbl_FACTS[[#This Row],[Quantity]]&lt;=20,"11–20",IF(tbl_FACTS[[#This Row],[Quantity]]&lt;=30,"21–30",IF(tbl_FACTS[[#This Row],[Quantity]]&lt;=40,"31–40",IF(tbl_FACTS[[#This Row],[Quantity]]&lt;=50,"41–50","51+")))))</f>
        <v>51+</v>
      </c>
    </row>
    <row r="306" spans="1:22">
      <c r="A306">
        <v>305</v>
      </c>
      <c r="B306">
        <v>10361</v>
      </c>
      <c r="C306">
        <v>60</v>
      </c>
      <c r="D306" s="19">
        <v>55</v>
      </c>
      <c r="E306" s="20">
        <f>_xlfn.XLOOKUP(tbl_FACTS[[#This Row],[OrderID]],Πίνακας64[OrderID],Πίνακας64[OrderDate])</f>
        <v>35391</v>
      </c>
      <c r="F306">
        <f>_xlfn.XLOOKUP(tbl_FACTS[[#This Row],[OrderID]],Πίνακας64[OrderID],Πίνακας64[CustomerID])</f>
        <v>63</v>
      </c>
      <c r="G306" t="str">
        <f>_xlfn.XLOOKUP(tbl_FACTS[[#This Row],[CustomerID]],Πίνακας1[CustomerID],Πίνακας1[CustomerName])</f>
        <v>QUICK-Stop</v>
      </c>
      <c r="H306" t="str">
        <f>_xlfn.XLOOKUP(tbl_FACTS[[#This Row],[CustomerID]],Πίνακας1[CustomerID],Πίνακας1[Country])</f>
        <v>Germany</v>
      </c>
      <c r="I306">
        <f>_xlfn.XLOOKUP(tbl_FACTS[[#This Row],[OrderID]],Πίνακας64[OrderID],Πίνακας64[EmployeeID])</f>
        <v>1</v>
      </c>
      <c r="J306">
        <f>_xlfn.XLOOKUP(tbl_FACTS[[#This Row],[OrderID]],Πίνακας64[OrderID],Πίνακας64[ShipperID])</f>
        <v>2</v>
      </c>
      <c r="K306" t="str">
        <f>_xlfn.XLOOKUP(tbl_FACTS[[#This Row],[ShipperID]],Πίνακας8[ShipperID],Πίνακας8[ShipperName])</f>
        <v>United Package</v>
      </c>
      <c r="L306" t="str">
        <f>_xlfn.XLOOKUP(tbl_FACTS[[#This Row],[ProductID]],Πίνακας7[ProductID],Πίνακας7[ProductName])</f>
        <v>Camembert Pierrot</v>
      </c>
      <c r="M306">
        <f>_xlfn.XLOOKUP(tbl_FACTS[[#This Row],[ProductID]],Πίνακας7[ProductID],Πίνακας7[CategoryID])</f>
        <v>4</v>
      </c>
      <c r="N306" t="str">
        <f>_xlfn.XLOOKUP(tbl_FACTS[[#This Row],[CategoryID]],Πίνακας4[CategoryID],Πίνακας4[CategoryName])</f>
        <v>Dairy Products</v>
      </c>
      <c r="O306">
        <f>_xlfn.XLOOKUP(tbl_FACTS[[#This Row],[ProductID]],Πίνακας7[ProductID],Πίνακας7[SupplierID])</f>
        <v>28</v>
      </c>
      <c r="P306" t="str">
        <f>_xlfn.XLOOKUP(tbl_FACTS[[#This Row],[SupplierID]],Πίνακας9[SupplierID],Πίνακας9[SupplierName])</f>
        <v>Gai paturage</v>
      </c>
      <c r="Q306" s="21">
        <f>_xlfn.XLOOKUP(tbl_FACTS[[#This Row],[ProductID]],Πίνακας7[ProductID],Πίνακας7[Price])</f>
        <v>34</v>
      </c>
      <c r="R306" s="21">
        <f>tbl_FACTS[[#This Row],[Quantity]]*tbl_FACTS[[#This Row],[Price]]</f>
        <v>1870</v>
      </c>
      <c r="S306" s="19">
        <f>IF(COUNTIFS(tbl_FACTS[OrderID],tbl_FACTS[[#This Row],[OrderID]],tbl_FACTS[OrderDetailID],"&lt;"&amp;tbl_FACTS[[#This Row],[OrderDetailID]])=0,1,0)</f>
        <v>0</v>
      </c>
      <c r="T306" s="19">
        <f>YEAR(tbl_FACTS[[#This Row],[OrderDate]])</f>
        <v>1996</v>
      </c>
      <c r="U306" s="22">
        <f>DATE(YEAR(tbl_FACTS[[#This Row],[OrderDate]]),MONTH(tbl_FACTS[[#This Row],[OrderDate]]),1)</f>
        <v>35370</v>
      </c>
      <c r="V306" s="22" t="str">
        <f>IF(tbl_FACTS[[#This Row],[Quantity]]&lt;=10,"0–10",IF(tbl_FACTS[[#This Row],[Quantity]]&lt;=20,"11–20",IF(tbl_FACTS[[#This Row],[Quantity]]&lt;=30,"21–30",IF(tbl_FACTS[[#This Row],[Quantity]]&lt;=40,"31–40",IF(tbl_FACTS[[#This Row],[Quantity]]&lt;=50,"41–50","51+")))))</f>
        <v>51+</v>
      </c>
    </row>
    <row r="307" spans="1:22">
      <c r="A307">
        <v>306</v>
      </c>
      <c r="B307">
        <v>10362</v>
      </c>
      <c r="C307">
        <v>25</v>
      </c>
      <c r="D307" s="19">
        <v>50</v>
      </c>
      <c r="E307" s="20">
        <f>_xlfn.XLOOKUP(tbl_FACTS[[#This Row],[OrderID]],Πίνακας64[OrderID],Πίνακας64[OrderDate])</f>
        <v>35394</v>
      </c>
      <c r="F307">
        <f>_xlfn.XLOOKUP(tbl_FACTS[[#This Row],[OrderID]],Πίνακας64[OrderID],Πίνακας64[CustomerID])</f>
        <v>9</v>
      </c>
      <c r="G307" t="str">
        <f>_xlfn.XLOOKUP(tbl_FACTS[[#This Row],[CustomerID]],Πίνακας1[CustomerID],Πίνακας1[CustomerName])</f>
        <v>Bon app''</v>
      </c>
      <c r="H307" t="str">
        <f>_xlfn.XLOOKUP(tbl_FACTS[[#This Row],[CustomerID]],Πίνακας1[CustomerID],Πίνακας1[Country])</f>
        <v>France</v>
      </c>
      <c r="I307">
        <f>_xlfn.XLOOKUP(tbl_FACTS[[#This Row],[OrderID]],Πίνακας64[OrderID],Πίνακας64[EmployeeID])</f>
        <v>3</v>
      </c>
      <c r="J307">
        <f>_xlfn.XLOOKUP(tbl_FACTS[[#This Row],[OrderID]],Πίνακας64[OrderID],Πίνακας64[ShipperID])</f>
        <v>1</v>
      </c>
      <c r="K307" t="str">
        <f>_xlfn.XLOOKUP(tbl_FACTS[[#This Row],[ShipperID]],Πίνακας8[ShipperID],Πίνακας8[ShipperName])</f>
        <v>Speedy Express</v>
      </c>
      <c r="L307" t="str">
        <f>_xlfn.XLOOKUP(tbl_FACTS[[#This Row],[ProductID]],Πίνακας7[ProductID],Πίνακας7[ProductName])</f>
        <v>NuNuCa Nu├ƒ-Nougat-Creme</v>
      </c>
      <c r="M307">
        <f>_xlfn.XLOOKUP(tbl_FACTS[[#This Row],[ProductID]],Πίνακας7[ProductID],Πίνακας7[CategoryID])</f>
        <v>3</v>
      </c>
      <c r="N307" t="str">
        <f>_xlfn.XLOOKUP(tbl_FACTS[[#This Row],[CategoryID]],Πίνακας4[CategoryID],Πίνακας4[CategoryName])</f>
        <v>Confections</v>
      </c>
      <c r="O307">
        <f>_xlfn.XLOOKUP(tbl_FACTS[[#This Row],[ProductID]],Πίνακας7[ProductID],Πίνακας7[SupplierID])</f>
        <v>11</v>
      </c>
      <c r="P307" t="str">
        <f>_xlfn.XLOOKUP(tbl_FACTS[[#This Row],[SupplierID]],Πίνακας9[SupplierID],Πίνακας9[SupplierName])</f>
        <v>Heli Su├ƒwaren GmbH &amp; Co. KG</v>
      </c>
      <c r="Q307" s="21">
        <f>_xlfn.XLOOKUP(tbl_FACTS[[#This Row],[ProductID]],Πίνακας7[ProductID],Πίνακας7[Price])</f>
        <v>14</v>
      </c>
      <c r="R307" s="21">
        <f>tbl_FACTS[[#This Row],[Quantity]]*tbl_FACTS[[#This Row],[Price]]</f>
        <v>700</v>
      </c>
      <c r="S307" s="19">
        <f>IF(COUNTIFS(tbl_FACTS[OrderID],tbl_FACTS[[#This Row],[OrderID]],tbl_FACTS[OrderDetailID],"&lt;"&amp;tbl_FACTS[[#This Row],[OrderDetailID]])=0,1,0)</f>
        <v>1</v>
      </c>
      <c r="T307" s="19">
        <f>YEAR(tbl_FACTS[[#This Row],[OrderDate]])</f>
        <v>1996</v>
      </c>
      <c r="U307" s="22">
        <f>DATE(YEAR(tbl_FACTS[[#This Row],[OrderDate]]),MONTH(tbl_FACTS[[#This Row],[OrderDate]]),1)</f>
        <v>35370</v>
      </c>
      <c r="V307" s="22" t="str">
        <f>IF(tbl_FACTS[[#This Row],[Quantity]]&lt;=10,"0–10",IF(tbl_FACTS[[#This Row],[Quantity]]&lt;=20,"11–20",IF(tbl_FACTS[[#This Row],[Quantity]]&lt;=30,"21–30",IF(tbl_FACTS[[#This Row],[Quantity]]&lt;=40,"31–40",IF(tbl_FACTS[[#This Row],[Quantity]]&lt;=50,"41–50","51+")))))</f>
        <v>41–50</v>
      </c>
    </row>
    <row r="308" spans="1:22">
      <c r="A308">
        <v>307</v>
      </c>
      <c r="B308">
        <v>10362</v>
      </c>
      <c r="C308">
        <v>51</v>
      </c>
      <c r="D308" s="19">
        <v>20</v>
      </c>
      <c r="E308" s="20">
        <f>_xlfn.XLOOKUP(tbl_FACTS[[#This Row],[OrderID]],Πίνακας64[OrderID],Πίνακας64[OrderDate])</f>
        <v>35394</v>
      </c>
      <c r="F308">
        <f>_xlfn.XLOOKUP(tbl_FACTS[[#This Row],[OrderID]],Πίνακας64[OrderID],Πίνακας64[CustomerID])</f>
        <v>9</v>
      </c>
      <c r="G308" t="str">
        <f>_xlfn.XLOOKUP(tbl_FACTS[[#This Row],[CustomerID]],Πίνακας1[CustomerID],Πίνακας1[CustomerName])</f>
        <v>Bon app''</v>
      </c>
      <c r="H308" t="str">
        <f>_xlfn.XLOOKUP(tbl_FACTS[[#This Row],[CustomerID]],Πίνακας1[CustomerID],Πίνακας1[Country])</f>
        <v>France</v>
      </c>
      <c r="I308">
        <f>_xlfn.XLOOKUP(tbl_FACTS[[#This Row],[OrderID]],Πίνακας64[OrderID],Πίνακας64[EmployeeID])</f>
        <v>3</v>
      </c>
      <c r="J308">
        <f>_xlfn.XLOOKUP(tbl_FACTS[[#This Row],[OrderID]],Πίνακας64[OrderID],Πίνακας64[ShipperID])</f>
        <v>1</v>
      </c>
      <c r="K308" t="str">
        <f>_xlfn.XLOOKUP(tbl_FACTS[[#This Row],[ShipperID]],Πίνακας8[ShipperID],Πίνακας8[ShipperName])</f>
        <v>Speedy Express</v>
      </c>
      <c r="L308" t="str">
        <f>_xlfn.XLOOKUP(tbl_FACTS[[#This Row],[ProductID]],Πίνακας7[ProductID],Πίνακας7[ProductName])</f>
        <v>Manjimup Dried Apples</v>
      </c>
      <c r="M308">
        <f>_xlfn.XLOOKUP(tbl_FACTS[[#This Row],[ProductID]],Πίνακας7[ProductID],Πίνακας7[CategoryID])</f>
        <v>7</v>
      </c>
      <c r="N308" t="str">
        <f>_xlfn.XLOOKUP(tbl_FACTS[[#This Row],[CategoryID]],Πίνακας4[CategoryID],Πίνακας4[CategoryName])</f>
        <v>Produce</v>
      </c>
      <c r="O308">
        <f>_xlfn.XLOOKUP(tbl_FACTS[[#This Row],[ProductID]],Πίνακας7[ProductID],Πίνακας7[SupplierID])</f>
        <v>24</v>
      </c>
      <c r="P308" t="str">
        <f>_xlfn.XLOOKUP(tbl_FACTS[[#This Row],[SupplierID]],Πίνακας9[SupplierID],Πίνακας9[SupplierName])</f>
        <v>G'day, Mate</v>
      </c>
      <c r="Q308" s="21">
        <f>_xlfn.XLOOKUP(tbl_FACTS[[#This Row],[ProductID]],Πίνακας7[ProductID],Πίνακας7[Price])</f>
        <v>53</v>
      </c>
      <c r="R308" s="21">
        <f>tbl_FACTS[[#This Row],[Quantity]]*tbl_FACTS[[#This Row],[Price]]</f>
        <v>1060</v>
      </c>
      <c r="S308" s="19">
        <f>IF(COUNTIFS(tbl_FACTS[OrderID],tbl_FACTS[[#This Row],[OrderID]],tbl_FACTS[OrderDetailID],"&lt;"&amp;tbl_FACTS[[#This Row],[OrderDetailID]])=0,1,0)</f>
        <v>0</v>
      </c>
      <c r="T308" s="19">
        <f>YEAR(tbl_FACTS[[#This Row],[OrderDate]])</f>
        <v>1996</v>
      </c>
      <c r="U308" s="22">
        <f>DATE(YEAR(tbl_FACTS[[#This Row],[OrderDate]]),MONTH(tbl_FACTS[[#This Row],[OrderDate]]),1)</f>
        <v>35370</v>
      </c>
      <c r="V308" s="22" t="str">
        <f>IF(tbl_FACTS[[#This Row],[Quantity]]&lt;=10,"0–10",IF(tbl_FACTS[[#This Row],[Quantity]]&lt;=20,"11–20",IF(tbl_FACTS[[#This Row],[Quantity]]&lt;=30,"21–30",IF(tbl_FACTS[[#This Row],[Quantity]]&lt;=40,"31–40",IF(tbl_FACTS[[#This Row],[Quantity]]&lt;=50,"41–50","51+")))))</f>
        <v>11–20</v>
      </c>
    </row>
    <row r="309" spans="1:22">
      <c r="A309">
        <v>308</v>
      </c>
      <c r="B309">
        <v>10362</v>
      </c>
      <c r="C309">
        <v>54</v>
      </c>
      <c r="D309" s="19">
        <v>24</v>
      </c>
      <c r="E309" s="20">
        <f>_xlfn.XLOOKUP(tbl_FACTS[[#This Row],[OrderID]],Πίνακας64[OrderID],Πίνακας64[OrderDate])</f>
        <v>35394</v>
      </c>
      <c r="F309">
        <f>_xlfn.XLOOKUP(tbl_FACTS[[#This Row],[OrderID]],Πίνακας64[OrderID],Πίνακας64[CustomerID])</f>
        <v>9</v>
      </c>
      <c r="G309" t="str">
        <f>_xlfn.XLOOKUP(tbl_FACTS[[#This Row],[CustomerID]],Πίνακας1[CustomerID],Πίνακας1[CustomerName])</f>
        <v>Bon app''</v>
      </c>
      <c r="H309" t="str">
        <f>_xlfn.XLOOKUP(tbl_FACTS[[#This Row],[CustomerID]],Πίνακας1[CustomerID],Πίνακας1[Country])</f>
        <v>France</v>
      </c>
      <c r="I309">
        <f>_xlfn.XLOOKUP(tbl_FACTS[[#This Row],[OrderID]],Πίνακας64[OrderID],Πίνακας64[EmployeeID])</f>
        <v>3</v>
      </c>
      <c r="J309">
        <f>_xlfn.XLOOKUP(tbl_FACTS[[#This Row],[OrderID]],Πίνακας64[OrderID],Πίνακας64[ShipperID])</f>
        <v>1</v>
      </c>
      <c r="K309" t="str">
        <f>_xlfn.XLOOKUP(tbl_FACTS[[#This Row],[ShipperID]],Πίνακας8[ShipperID],Πίνακας8[ShipperName])</f>
        <v>Speedy Express</v>
      </c>
      <c r="L309" t="str">
        <f>_xlfn.XLOOKUP(tbl_FACTS[[#This Row],[ProductID]],Πίνακας7[ProductID],Πίνακας7[ProductName])</f>
        <v>Tourtiere</v>
      </c>
      <c r="M309">
        <f>_xlfn.XLOOKUP(tbl_FACTS[[#This Row],[ProductID]],Πίνακας7[ProductID],Πίνακας7[CategoryID])</f>
        <v>6</v>
      </c>
      <c r="N309" t="str">
        <f>_xlfn.XLOOKUP(tbl_FACTS[[#This Row],[CategoryID]],Πίνακας4[CategoryID],Πίνακας4[CategoryName])</f>
        <v>Meat/Poultry</v>
      </c>
      <c r="O309">
        <f>_xlfn.XLOOKUP(tbl_FACTS[[#This Row],[ProductID]],Πίνακας7[ProductID],Πίνακας7[SupplierID])</f>
        <v>25</v>
      </c>
      <c r="P309" t="str">
        <f>_xlfn.XLOOKUP(tbl_FACTS[[#This Row],[SupplierID]],Πίνακας9[SupplierID],Πίνακας9[SupplierName])</f>
        <v>Ma Maison</v>
      </c>
      <c r="Q309" s="21">
        <f>_xlfn.XLOOKUP(tbl_FACTS[[#This Row],[ProductID]],Πίνακας7[ProductID],Πίνακας7[Price])</f>
        <v>7</v>
      </c>
      <c r="R309" s="21">
        <f>tbl_FACTS[[#This Row],[Quantity]]*tbl_FACTS[[#This Row],[Price]]</f>
        <v>168</v>
      </c>
      <c r="S309" s="19">
        <f>IF(COUNTIFS(tbl_FACTS[OrderID],tbl_FACTS[[#This Row],[OrderID]],tbl_FACTS[OrderDetailID],"&lt;"&amp;tbl_FACTS[[#This Row],[OrderDetailID]])=0,1,0)</f>
        <v>0</v>
      </c>
      <c r="T309" s="19">
        <f>YEAR(tbl_FACTS[[#This Row],[OrderDate]])</f>
        <v>1996</v>
      </c>
      <c r="U309" s="22">
        <f>DATE(YEAR(tbl_FACTS[[#This Row],[OrderDate]]),MONTH(tbl_FACTS[[#This Row],[OrderDate]]),1)</f>
        <v>35370</v>
      </c>
      <c r="V309" s="22" t="str">
        <f>IF(tbl_FACTS[[#This Row],[Quantity]]&lt;=10,"0–10",IF(tbl_FACTS[[#This Row],[Quantity]]&lt;=20,"11–20",IF(tbl_FACTS[[#This Row],[Quantity]]&lt;=30,"21–30",IF(tbl_FACTS[[#This Row],[Quantity]]&lt;=40,"31–40",IF(tbl_FACTS[[#This Row],[Quantity]]&lt;=50,"41–50","51+")))))</f>
        <v>21–30</v>
      </c>
    </row>
    <row r="310" spans="1:22">
      <c r="A310">
        <v>309</v>
      </c>
      <c r="B310">
        <v>10363</v>
      </c>
      <c r="C310">
        <v>31</v>
      </c>
      <c r="D310" s="19">
        <v>20</v>
      </c>
      <c r="E310" s="20">
        <f>_xlfn.XLOOKUP(tbl_FACTS[[#This Row],[OrderID]],Πίνακας64[OrderID],Πίνακας64[OrderDate])</f>
        <v>35395</v>
      </c>
      <c r="F310">
        <f>_xlfn.XLOOKUP(tbl_FACTS[[#This Row],[OrderID]],Πίνακας64[OrderID],Πίνακας64[CustomerID])</f>
        <v>17</v>
      </c>
      <c r="G310" t="str">
        <f>_xlfn.XLOOKUP(tbl_FACTS[[#This Row],[CustomerID]],Πίνακας1[CustomerID],Πίνακας1[CustomerName])</f>
        <v>Drachenblut Delikatessend</v>
      </c>
      <c r="H310" t="str">
        <f>_xlfn.XLOOKUP(tbl_FACTS[[#This Row],[CustomerID]],Πίνακας1[CustomerID],Πίνακας1[Country])</f>
        <v>Germany</v>
      </c>
      <c r="I310">
        <f>_xlfn.XLOOKUP(tbl_FACTS[[#This Row],[OrderID]],Πίνακας64[OrderID],Πίνακας64[EmployeeID])</f>
        <v>4</v>
      </c>
      <c r="J310">
        <f>_xlfn.XLOOKUP(tbl_FACTS[[#This Row],[OrderID]],Πίνακας64[OrderID],Πίνακας64[ShipperID])</f>
        <v>3</v>
      </c>
      <c r="K310" t="str">
        <f>_xlfn.XLOOKUP(tbl_FACTS[[#This Row],[ShipperID]],Πίνακας8[ShipperID],Πίνακας8[ShipperName])</f>
        <v>Federal Shipping</v>
      </c>
      <c r="L310" t="str">
        <f>_xlfn.XLOOKUP(tbl_FACTS[[#This Row],[ProductID]],Πίνακας7[ProductID],Πίνακας7[ProductName])</f>
        <v>Gorgonzola Telino</v>
      </c>
      <c r="M310">
        <f>_xlfn.XLOOKUP(tbl_FACTS[[#This Row],[ProductID]],Πίνακας7[ProductID],Πίνακας7[CategoryID])</f>
        <v>4</v>
      </c>
      <c r="N310" t="str">
        <f>_xlfn.XLOOKUP(tbl_FACTS[[#This Row],[CategoryID]],Πίνακας4[CategoryID],Πίνακας4[CategoryName])</f>
        <v>Dairy Products</v>
      </c>
      <c r="O310">
        <f>_xlfn.XLOOKUP(tbl_FACTS[[#This Row],[ProductID]],Πίνακας7[ProductID],Πίνακας7[SupplierID])</f>
        <v>14</v>
      </c>
      <c r="P310" t="str">
        <f>_xlfn.XLOOKUP(tbl_FACTS[[#This Row],[SupplierID]],Πίνακας9[SupplierID],Πίνακας9[SupplierName])</f>
        <v>Formaggi Fortini s.r.l.</v>
      </c>
      <c r="Q310" s="21">
        <f>_xlfn.XLOOKUP(tbl_FACTS[[#This Row],[ProductID]],Πίνακας7[ProductID],Πίνακας7[Price])</f>
        <v>13</v>
      </c>
      <c r="R310" s="21">
        <f>tbl_FACTS[[#This Row],[Quantity]]*tbl_FACTS[[#This Row],[Price]]</f>
        <v>260</v>
      </c>
      <c r="S310" s="19">
        <f>IF(COUNTIFS(tbl_FACTS[OrderID],tbl_FACTS[[#This Row],[OrderID]],tbl_FACTS[OrderDetailID],"&lt;"&amp;tbl_FACTS[[#This Row],[OrderDetailID]])=0,1,0)</f>
        <v>1</v>
      </c>
      <c r="T310" s="19">
        <f>YEAR(tbl_FACTS[[#This Row],[OrderDate]])</f>
        <v>1996</v>
      </c>
      <c r="U310" s="22">
        <f>DATE(YEAR(tbl_FACTS[[#This Row],[OrderDate]]),MONTH(tbl_FACTS[[#This Row],[OrderDate]]),1)</f>
        <v>35370</v>
      </c>
      <c r="V310" s="22" t="str">
        <f>IF(tbl_FACTS[[#This Row],[Quantity]]&lt;=10,"0–10",IF(tbl_FACTS[[#This Row],[Quantity]]&lt;=20,"11–20",IF(tbl_FACTS[[#This Row],[Quantity]]&lt;=30,"21–30",IF(tbl_FACTS[[#This Row],[Quantity]]&lt;=40,"31–40",IF(tbl_FACTS[[#This Row],[Quantity]]&lt;=50,"41–50","51+")))))</f>
        <v>11–20</v>
      </c>
    </row>
    <row r="311" spans="1:22">
      <c r="A311">
        <v>310</v>
      </c>
      <c r="B311">
        <v>10363</v>
      </c>
      <c r="C311">
        <v>75</v>
      </c>
      <c r="D311" s="19">
        <v>12</v>
      </c>
      <c r="E311" s="20">
        <f>_xlfn.XLOOKUP(tbl_FACTS[[#This Row],[OrderID]],Πίνακας64[OrderID],Πίνακας64[OrderDate])</f>
        <v>35395</v>
      </c>
      <c r="F311">
        <f>_xlfn.XLOOKUP(tbl_FACTS[[#This Row],[OrderID]],Πίνακας64[OrderID],Πίνακας64[CustomerID])</f>
        <v>17</v>
      </c>
      <c r="G311" t="str">
        <f>_xlfn.XLOOKUP(tbl_FACTS[[#This Row],[CustomerID]],Πίνακας1[CustomerID],Πίνακας1[CustomerName])</f>
        <v>Drachenblut Delikatessend</v>
      </c>
      <c r="H311" t="str">
        <f>_xlfn.XLOOKUP(tbl_FACTS[[#This Row],[CustomerID]],Πίνακας1[CustomerID],Πίνακας1[Country])</f>
        <v>Germany</v>
      </c>
      <c r="I311">
        <f>_xlfn.XLOOKUP(tbl_FACTS[[#This Row],[OrderID]],Πίνακας64[OrderID],Πίνακας64[EmployeeID])</f>
        <v>4</v>
      </c>
      <c r="J311">
        <f>_xlfn.XLOOKUP(tbl_FACTS[[#This Row],[OrderID]],Πίνακας64[OrderID],Πίνακας64[ShipperID])</f>
        <v>3</v>
      </c>
      <c r="K311" t="str">
        <f>_xlfn.XLOOKUP(tbl_FACTS[[#This Row],[ShipperID]],Πίνακας8[ShipperID],Πίνακας8[ShipperName])</f>
        <v>Federal Shipping</v>
      </c>
      <c r="L311" t="str">
        <f>_xlfn.XLOOKUP(tbl_FACTS[[#This Row],[ProductID]],Πίνακας7[ProductID],Πίνακας7[ProductName])</f>
        <v>Rhonbrau Klosterbier</v>
      </c>
      <c r="M311">
        <f>_xlfn.XLOOKUP(tbl_FACTS[[#This Row],[ProductID]],Πίνακας7[ProductID],Πίνακας7[CategoryID])</f>
        <v>1</v>
      </c>
      <c r="N311" t="str">
        <f>_xlfn.XLOOKUP(tbl_FACTS[[#This Row],[CategoryID]],Πίνακας4[CategoryID],Πίνακας4[CategoryName])</f>
        <v>Beverages</v>
      </c>
      <c r="O311">
        <f>_xlfn.XLOOKUP(tbl_FACTS[[#This Row],[ProductID]],Πίνακας7[ProductID],Πίνακας7[SupplierID])</f>
        <v>12</v>
      </c>
      <c r="P311" t="str">
        <f>_xlfn.XLOOKUP(tbl_FACTS[[#This Row],[SupplierID]],Πίνακας9[SupplierID],Πίνακας9[SupplierName])</f>
        <v>Plutzer Lebensmittelgro├ƒmarkte AG</v>
      </c>
      <c r="Q311" s="21">
        <f>_xlfn.XLOOKUP(tbl_FACTS[[#This Row],[ProductID]],Πίνακας7[ProductID],Πίνακας7[Price])</f>
        <v>8</v>
      </c>
      <c r="R311" s="21">
        <f>tbl_FACTS[[#This Row],[Quantity]]*tbl_FACTS[[#This Row],[Price]]</f>
        <v>96</v>
      </c>
      <c r="S311" s="19">
        <f>IF(COUNTIFS(tbl_FACTS[OrderID],tbl_FACTS[[#This Row],[OrderID]],tbl_FACTS[OrderDetailID],"&lt;"&amp;tbl_FACTS[[#This Row],[OrderDetailID]])=0,1,0)</f>
        <v>0</v>
      </c>
      <c r="T311" s="19">
        <f>YEAR(tbl_FACTS[[#This Row],[OrderDate]])</f>
        <v>1996</v>
      </c>
      <c r="U311" s="22">
        <f>DATE(YEAR(tbl_FACTS[[#This Row],[OrderDate]]),MONTH(tbl_FACTS[[#This Row],[OrderDate]]),1)</f>
        <v>35370</v>
      </c>
      <c r="V311" s="22" t="str">
        <f>IF(tbl_FACTS[[#This Row],[Quantity]]&lt;=10,"0–10",IF(tbl_FACTS[[#This Row],[Quantity]]&lt;=20,"11–20",IF(tbl_FACTS[[#This Row],[Quantity]]&lt;=30,"21–30",IF(tbl_FACTS[[#This Row],[Quantity]]&lt;=40,"31–40",IF(tbl_FACTS[[#This Row],[Quantity]]&lt;=50,"41–50","51+")))))</f>
        <v>11–20</v>
      </c>
    </row>
    <row r="312" spans="1:22">
      <c r="A312">
        <v>311</v>
      </c>
      <c r="B312">
        <v>10363</v>
      </c>
      <c r="C312">
        <v>76</v>
      </c>
      <c r="D312" s="19">
        <v>12</v>
      </c>
      <c r="E312" s="20">
        <f>_xlfn.XLOOKUP(tbl_FACTS[[#This Row],[OrderID]],Πίνακας64[OrderID],Πίνακας64[OrderDate])</f>
        <v>35395</v>
      </c>
      <c r="F312">
        <f>_xlfn.XLOOKUP(tbl_FACTS[[#This Row],[OrderID]],Πίνακας64[OrderID],Πίνακας64[CustomerID])</f>
        <v>17</v>
      </c>
      <c r="G312" t="str">
        <f>_xlfn.XLOOKUP(tbl_FACTS[[#This Row],[CustomerID]],Πίνακας1[CustomerID],Πίνακας1[CustomerName])</f>
        <v>Drachenblut Delikatessend</v>
      </c>
      <c r="H312" t="str">
        <f>_xlfn.XLOOKUP(tbl_FACTS[[#This Row],[CustomerID]],Πίνακας1[CustomerID],Πίνακας1[Country])</f>
        <v>Germany</v>
      </c>
      <c r="I312">
        <f>_xlfn.XLOOKUP(tbl_FACTS[[#This Row],[OrderID]],Πίνακας64[OrderID],Πίνακας64[EmployeeID])</f>
        <v>4</v>
      </c>
      <c r="J312">
        <f>_xlfn.XLOOKUP(tbl_FACTS[[#This Row],[OrderID]],Πίνακας64[OrderID],Πίνακας64[ShipperID])</f>
        <v>3</v>
      </c>
      <c r="K312" t="str">
        <f>_xlfn.XLOOKUP(tbl_FACTS[[#This Row],[ShipperID]],Πίνακας8[ShipperID],Πίνακας8[ShipperName])</f>
        <v>Federal Shipping</v>
      </c>
      <c r="L312" t="str">
        <f>_xlfn.XLOOKUP(tbl_FACTS[[#This Row],[ProductID]],Πίνακας7[ProductID],Πίνακας7[ProductName])</f>
        <v>Lakkalikoori</v>
      </c>
      <c r="M312">
        <f>_xlfn.XLOOKUP(tbl_FACTS[[#This Row],[ProductID]],Πίνακας7[ProductID],Πίνακας7[CategoryID])</f>
        <v>1</v>
      </c>
      <c r="N312" t="str">
        <f>_xlfn.XLOOKUP(tbl_FACTS[[#This Row],[CategoryID]],Πίνακας4[CategoryID],Πίνακας4[CategoryName])</f>
        <v>Beverages</v>
      </c>
      <c r="O312">
        <f>_xlfn.XLOOKUP(tbl_FACTS[[#This Row],[ProductID]],Πίνακας7[ProductID],Πίνακας7[SupplierID])</f>
        <v>23</v>
      </c>
      <c r="P312" t="str">
        <f>_xlfn.XLOOKUP(tbl_FACTS[[#This Row],[SupplierID]],Πίνακας9[SupplierID],Πίνακας9[SupplierName])</f>
        <v>Karkki Oy</v>
      </c>
      <c r="Q312" s="21">
        <f>_xlfn.XLOOKUP(tbl_FACTS[[#This Row],[ProductID]],Πίνακας7[ProductID],Πίνακας7[Price])</f>
        <v>18</v>
      </c>
      <c r="R312" s="21">
        <f>tbl_FACTS[[#This Row],[Quantity]]*tbl_FACTS[[#This Row],[Price]]</f>
        <v>216</v>
      </c>
      <c r="S312" s="19">
        <f>IF(COUNTIFS(tbl_FACTS[OrderID],tbl_FACTS[[#This Row],[OrderID]],tbl_FACTS[OrderDetailID],"&lt;"&amp;tbl_FACTS[[#This Row],[OrderDetailID]])=0,1,0)</f>
        <v>0</v>
      </c>
      <c r="T312" s="19">
        <f>YEAR(tbl_FACTS[[#This Row],[OrderDate]])</f>
        <v>1996</v>
      </c>
      <c r="U312" s="22">
        <f>DATE(YEAR(tbl_FACTS[[#This Row],[OrderDate]]),MONTH(tbl_FACTS[[#This Row],[OrderDate]]),1)</f>
        <v>35370</v>
      </c>
      <c r="V312" s="22" t="str">
        <f>IF(tbl_FACTS[[#This Row],[Quantity]]&lt;=10,"0–10",IF(tbl_FACTS[[#This Row],[Quantity]]&lt;=20,"11–20",IF(tbl_FACTS[[#This Row],[Quantity]]&lt;=30,"21–30",IF(tbl_FACTS[[#This Row],[Quantity]]&lt;=40,"31–40",IF(tbl_FACTS[[#This Row],[Quantity]]&lt;=50,"41–50","51+")))))</f>
        <v>11–20</v>
      </c>
    </row>
    <row r="313" spans="1:22">
      <c r="A313">
        <v>312</v>
      </c>
      <c r="B313">
        <v>10364</v>
      </c>
      <c r="C313">
        <v>69</v>
      </c>
      <c r="D313" s="19">
        <v>30</v>
      </c>
      <c r="E313" s="20">
        <f>_xlfn.XLOOKUP(tbl_FACTS[[#This Row],[OrderID]],Πίνακας64[OrderID],Πίνακας64[OrderDate])</f>
        <v>35395</v>
      </c>
      <c r="F313">
        <f>_xlfn.XLOOKUP(tbl_FACTS[[#This Row],[OrderID]],Πίνακας64[OrderID],Πίνακας64[CustomerID])</f>
        <v>19</v>
      </c>
      <c r="G313" t="str">
        <f>_xlfn.XLOOKUP(tbl_FACTS[[#This Row],[CustomerID]],Πίνακας1[CustomerID],Πίνακας1[CustomerName])</f>
        <v>Eastern Connection</v>
      </c>
      <c r="H313" t="str">
        <f>_xlfn.XLOOKUP(tbl_FACTS[[#This Row],[CustomerID]],Πίνακας1[CustomerID],Πίνακας1[Country])</f>
        <v>UK</v>
      </c>
      <c r="I313">
        <f>_xlfn.XLOOKUP(tbl_FACTS[[#This Row],[OrderID]],Πίνακας64[OrderID],Πίνακας64[EmployeeID])</f>
        <v>1</v>
      </c>
      <c r="J313">
        <f>_xlfn.XLOOKUP(tbl_FACTS[[#This Row],[OrderID]],Πίνακας64[OrderID],Πίνακας64[ShipperID])</f>
        <v>1</v>
      </c>
      <c r="K313" t="str">
        <f>_xlfn.XLOOKUP(tbl_FACTS[[#This Row],[ShipperID]],Πίνακας8[ShipperID],Πίνακας8[ShipperName])</f>
        <v>Speedy Express</v>
      </c>
      <c r="L313" t="str">
        <f>_xlfn.XLOOKUP(tbl_FACTS[[#This Row],[ProductID]],Πίνακας7[ProductID],Πίνακας7[ProductName])</f>
        <v>Gudbrandsdalsost</v>
      </c>
      <c r="M313">
        <f>_xlfn.XLOOKUP(tbl_FACTS[[#This Row],[ProductID]],Πίνακας7[ProductID],Πίνακας7[CategoryID])</f>
        <v>4</v>
      </c>
      <c r="N313" t="str">
        <f>_xlfn.XLOOKUP(tbl_FACTS[[#This Row],[CategoryID]],Πίνακας4[CategoryID],Πίνακας4[CategoryName])</f>
        <v>Dairy Products</v>
      </c>
      <c r="O313">
        <f>_xlfn.XLOOKUP(tbl_FACTS[[#This Row],[ProductID]],Πίνακας7[ProductID],Πίνακας7[SupplierID])</f>
        <v>15</v>
      </c>
      <c r="P313" t="str">
        <f>_xlfn.XLOOKUP(tbl_FACTS[[#This Row],[SupplierID]],Πίνακας9[SupplierID],Πίνακας9[SupplierName])</f>
        <v>Norske Meierier</v>
      </c>
      <c r="Q313" s="21">
        <f>_xlfn.XLOOKUP(tbl_FACTS[[#This Row],[ProductID]],Πίνακας7[ProductID],Πίνακας7[Price])</f>
        <v>36</v>
      </c>
      <c r="R313" s="21">
        <f>tbl_FACTS[[#This Row],[Quantity]]*tbl_FACTS[[#This Row],[Price]]</f>
        <v>1080</v>
      </c>
      <c r="S313" s="19">
        <f>IF(COUNTIFS(tbl_FACTS[OrderID],tbl_FACTS[[#This Row],[OrderID]],tbl_FACTS[OrderDetailID],"&lt;"&amp;tbl_FACTS[[#This Row],[OrderDetailID]])=0,1,0)</f>
        <v>1</v>
      </c>
      <c r="T313" s="19">
        <f>YEAR(tbl_FACTS[[#This Row],[OrderDate]])</f>
        <v>1996</v>
      </c>
      <c r="U313" s="22">
        <f>DATE(YEAR(tbl_FACTS[[#This Row],[OrderDate]]),MONTH(tbl_FACTS[[#This Row],[OrderDate]]),1)</f>
        <v>35370</v>
      </c>
      <c r="V313" s="22" t="str">
        <f>IF(tbl_FACTS[[#This Row],[Quantity]]&lt;=10,"0–10",IF(tbl_FACTS[[#This Row],[Quantity]]&lt;=20,"11–20",IF(tbl_FACTS[[#This Row],[Quantity]]&lt;=30,"21–30",IF(tbl_FACTS[[#This Row],[Quantity]]&lt;=40,"31–40",IF(tbl_FACTS[[#This Row],[Quantity]]&lt;=50,"41–50","51+")))))</f>
        <v>21–30</v>
      </c>
    </row>
    <row r="314" spans="1:22">
      <c r="A314">
        <v>313</v>
      </c>
      <c r="B314">
        <v>10364</v>
      </c>
      <c r="C314">
        <v>71</v>
      </c>
      <c r="D314" s="19">
        <v>5</v>
      </c>
      <c r="E314" s="20">
        <f>_xlfn.XLOOKUP(tbl_FACTS[[#This Row],[OrderID]],Πίνακας64[OrderID],Πίνακας64[OrderDate])</f>
        <v>35395</v>
      </c>
      <c r="F314">
        <f>_xlfn.XLOOKUP(tbl_FACTS[[#This Row],[OrderID]],Πίνακας64[OrderID],Πίνακας64[CustomerID])</f>
        <v>19</v>
      </c>
      <c r="G314" t="str">
        <f>_xlfn.XLOOKUP(tbl_FACTS[[#This Row],[CustomerID]],Πίνακας1[CustomerID],Πίνακας1[CustomerName])</f>
        <v>Eastern Connection</v>
      </c>
      <c r="H314" t="str">
        <f>_xlfn.XLOOKUP(tbl_FACTS[[#This Row],[CustomerID]],Πίνακας1[CustomerID],Πίνακας1[Country])</f>
        <v>UK</v>
      </c>
      <c r="I314">
        <f>_xlfn.XLOOKUP(tbl_FACTS[[#This Row],[OrderID]],Πίνακας64[OrderID],Πίνακας64[EmployeeID])</f>
        <v>1</v>
      </c>
      <c r="J314">
        <f>_xlfn.XLOOKUP(tbl_FACTS[[#This Row],[OrderID]],Πίνακας64[OrderID],Πίνακας64[ShipperID])</f>
        <v>1</v>
      </c>
      <c r="K314" t="str">
        <f>_xlfn.XLOOKUP(tbl_FACTS[[#This Row],[ShipperID]],Πίνακας8[ShipperID],Πίνακας8[ShipperName])</f>
        <v>Speedy Express</v>
      </c>
      <c r="L314" t="str">
        <f>_xlfn.XLOOKUP(tbl_FACTS[[#This Row],[ProductID]],Πίνακας7[ProductID],Πίνακας7[ProductName])</f>
        <v>Fl├©temysost</v>
      </c>
      <c r="M314">
        <f>_xlfn.XLOOKUP(tbl_FACTS[[#This Row],[ProductID]],Πίνακας7[ProductID],Πίνακας7[CategoryID])</f>
        <v>4</v>
      </c>
      <c r="N314" t="str">
        <f>_xlfn.XLOOKUP(tbl_FACTS[[#This Row],[CategoryID]],Πίνακας4[CategoryID],Πίνακας4[CategoryName])</f>
        <v>Dairy Products</v>
      </c>
      <c r="O314">
        <f>_xlfn.XLOOKUP(tbl_FACTS[[#This Row],[ProductID]],Πίνακας7[ProductID],Πίνακας7[SupplierID])</f>
        <v>15</v>
      </c>
      <c r="P314" t="str">
        <f>_xlfn.XLOOKUP(tbl_FACTS[[#This Row],[SupplierID]],Πίνακας9[SupplierID],Πίνακας9[SupplierName])</f>
        <v>Norske Meierier</v>
      </c>
      <c r="Q314" s="21">
        <f>_xlfn.XLOOKUP(tbl_FACTS[[#This Row],[ProductID]],Πίνακας7[ProductID],Πίνακας7[Price])</f>
        <v>22</v>
      </c>
      <c r="R314" s="21">
        <f>tbl_FACTS[[#This Row],[Quantity]]*tbl_FACTS[[#This Row],[Price]]</f>
        <v>110</v>
      </c>
      <c r="S314" s="19">
        <f>IF(COUNTIFS(tbl_FACTS[OrderID],tbl_FACTS[[#This Row],[OrderID]],tbl_FACTS[OrderDetailID],"&lt;"&amp;tbl_FACTS[[#This Row],[OrderDetailID]])=0,1,0)</f>
        <v>0</v>
      </c>
      <c r="T314" s="19">
        <f>YEAR(tbl_FACTS[[#This Row],[OrderDate]])</f>
        <v>1996</v>
      </c>
      <c r="U314" s="22">
        <f>DATE(YEAR(tbl_FACTS[[#This Row],[OrderDate]]),MONTH(tbl_FACTS[[#This Row],[OrderDate]]),1)</f>
        <v>35370</v>
      </c>
      <c r="V314" s="22" t="str">
        <f>IF(tbl_FACTS[[#This Row],[Quantity]]&lt;=10,"0–10",IF(tbl_FACTS[[#This Row],[Quantity]]&lt;=20,"11–20",IF(tbl_FACTS[[#This Row],[Quantity]]&lt;=30,"21–30",IF(tbl_FACTS[[#This Row],[Quantity]]&lt;=40,"31–40",IF(tbl_FACTS[[#This Row],[Quantity]]&lt;=50,"41–50","51+")))))</f>
        <v>0–10</v>
      </c>
    </row>
    <row r="315" spans="1:22">
      <c r="A315">
        <v>314</v>
      </c>
      <c r="B315">
        <v>10365</v>
      </c>
      <c r="C315">
        <v>11</v>
      </c>
      <c r="D315" s="19">
        <v>24</v>
      </c>
      <c r="E315" s="20">
        <f>_xlfn.XLOOKUP(tbl_FACTS[[#This Row],[OrderID]],Πίνακας64[OrderID],Πίνακας64[OrderDate])</f>
        <v>35396</v>
      </c>
      <c r="F315">
        <f>_xlfn.XLOOKUP(tbl_FACTS[[#This Row],[OrderID]],Πίνακας64[OrderID],Πίνακας64[CustomerID])</f>
        <v>3</v>
      </c>
      <c r="G315" t="str">
        <f>_xlfn.XLOOKUP(tbl_FACTS[[#This Row],[CustomerID]],Πίνακας1[CustomerID],Πίνακας1[CustomerName])</f>
        <v>Antonio Moreno Taqueria</v>
      </c>
      <c r="H315" t="str">
        <f>_xlfn.XLOOKUP(tbl_FACTS[[#This Row],[CustomerID]],Πίνακας1[CustomerID],Πίνακας1[Country])</f>
        <v>Mexico</v>
      </c>
      <c r="I315">
        <f>_xlfn.XLOOKUP(tbl_FACTS[[#This Row],[OrderID]],Πίνακας64[OrderID],Πίνακας64[EmployeeID])</f>
        <v>3</v>
      </c>
      <c r="J315">
        <f>_xlfn.XLOOKUP(tbl_FACTS[[#This Row],[OrderID]],Πίνακας64[OrderID],Πίνακας64[ShipperID])</f>
        <v>2</v>
      </c>
      <c r="K315" t="str">
        <f>_xlfn.XLOOKUP(tbl_FACTS[[#This Row],[ShipperID]],Πίνακας8[ShipperID],Πίνακας8[ShipperName])</f>
        <v>United Package</v>
      </c>
      <c r="L315" t="str">
        <f>_xlfn.XLOOKUP(tbl_FACTS[[#This Row],[ProductID]],Πίνακας7[ProductID],Πίνακας7[ProductName])</f>
        <v>Queso Cabrales</v>
      </c>
      <c r="M315">
        <f>_xlfn.XLOOKUP(tbl_FACTS[[#This Row],[ProductID]],Πίνακας7[ProductID],Πίνακας7[CategoryID])</f>
        <v>4</v>
      </c>
      <c r="N315" t="str">
        <f>_xlfn.XLOOKUP(tbl_FACTS[[#This Row],[CategoryID]],Πίνακας4[CategoryID],Πίνακας4[CategoryName])</f>
        <v>Dairy Products</v>
      </c>
      <c r="O315">
        <f>_xlfn.XLOOKUP(tbl_FACTS[[#This Row],[ProductID]],Πίνακας7[ProductID],Πίνακας7[SupplierID])</f>
        <v>5</v>
      </c>
      <c r="P315" t="str">
        <f>_xlfn.XLOOKUP(tbl_FACTS[[#This Row],[SupplierID]],Πίνακας9[SupplierID],Πίνακας9[SupplierName])</f>
        <v>Cooperativa de Quesos 'Las Cabras'</v>
      </c>
      <c r="Q315" s="21">
        <f>_xlfn.XLOOKUP(tbl_FACTS[[#This Row],[ProductID]],Πίνακας7[ProductID],Πίνακας7[Price])</f>
        <v>21</v>
      </c>
      <c r="R315" s="21">
        <f>tbl_FACTS[[#This Row],[Quantity]]*tbl_FACTS[[#This Row],[Price]]</f>
        <v>504</v>
      </c>
      <c r="S315" s="19">
        <f>IF(COUNTIFS(tbl_FACTS[OrderID],tbl_FACTS[[#This Row],[OrderID]],tbl_FACTS[OrderDetailID],"&lt;"&amp;tbl_FACTS[[#This Row],[OrderDetailID]])=0,1,0)</f>
        <v>1</v>
      </c>
      <c r="T315" s="19">
        <f>YEAR(tbl_FACTS[[#This Row],[OrderDate]])</f>
        <v>1996</v>
      </c>
      <c r="U315" s="22">
        <f>DATE(YEAR(tbl_FACTS[[#This Row],[OrderDate]]),MONTH(tbl_FACTS[[#This Row],[OrderDate]]),1)</f>
        <v>35370</v>
      </c>
      <c r="V315" s="22" t="str">
        <f>IF(tbl_FACTS[[#This Row],[Quantity]]&lt;=10,"0–10",IF(tbl_FACTS[[#This Row],[Quantity]]&lt;=20,"11–20",IF(tbl_FACTS[[#This Row],[Quantity]]&lt;=30,"21–30",IF(tbl_FACTS[[#This Row],[Quantity]]&lt;=40,"31–40",IF(tbl_FACTS[[#This Row],[Quantity]]&lt;=50,"41–50","51+")))))</f>
        <v>21–30</v>
      </c>
    </row>
    <row r="316" spans="1:22">
      <c r="A316">
        <v>315</v>
      </c>
      <c r="B316">
        <v>10366</v>
      </c>
      <c r="C316">
        <v>65</v>
      </c>
      <c r="D316" s="19">
        <v>5</v>
      </c>
      <c r="E316" s="20">
        <f>_xlfn.XLOOKUP(tbl_FACTS[[#This Row],[OrderID]],Πίνακας64[OrderID],Πίνακας64[OrderDate])</f>
        <v>35397</v>
      </c>
      <c r="F316">
        <f>_xlfn.XLOOKUP(tbl_FACTS[[#This Row],[OrderID]],Πίνακας64[OrderID],Πίνακας64[CustomerID])</f>
        <v>29</v>
      </c>
      <c r="G316" t="str">
        <f>_xlfn.XLOOKUP(tbl_FACTS[[#This Row],[CustomerID]],Πίνακας1[CustomerID],Πίνακας1[CustomerName])</f>
        <v>Galeria del gastronomo</v>
      </c>
      <c r="H316" t="str">
        <f>_xlfn.XLOOKUP(tbl_FACTS[[#This Row],[CustomerID]],Πίνακας1[CustomerID],Πίνακας1[Country])</f>
        <v>Spain</v>
      </c>
      <c r="I316">
        <f>_xlfn.XLOOKUP(tbl_FACTS[[#This Row],[OrderID]],Πίνακας64[OrderID],Πίνακας64[EmployeeID])</f>
        <v>8</v>
      </c>
      <c r="J316">
        <f>_xlfn.XLOOKUP(tbl_FACTS[[#This Row],[OrderID]],Πίνακας64[OrderID],Πίνακας64[ShipperID])</f>
        <v>2</v>
      </c>
      <c r="K316" t="str">
        <f>_xlfn.XLOOKUP(tbl_FACTS[[#This Row],[ShipperID]],Πίνακας8[ShipperID],Πίνακας8[ShipperName])</f>
        <v>United Package</v>
      </c>
      <c r="L316" t="str">
        <f>_xlfn.XLOOKUP(tbl_FACTS[[#This Row],[ProductID]],Πίνακας7[ProductID],Πίνακας7[ProductName])</f>
        <v>Louisiana Fiery Hot Pepper Sauce</v>
      </c>
      <c r="M316">
        <f>_xlfn.XLOOKUP(tbl_FACTS[[#This Row],[ProductID]],Πίνακας7[ProductID],Πίνακας7[CategoryID])</f>
        <v>2</v>
      </c>
      <c r="N316" t="str">
        <f>_xlfn.XLOOKUP(tbl_FACTS[[#This Row],[CategoryID]],Πίνακας4[CategoryID],Πίνακας4[CategoryName])</f>
        <v>Condiments</v>
      </c>
      <c r="O316">
        <f>_xlfn.XLOOKUP(tbl_FACTS[[#This Row],[ProductID]],Πίνακας7[ProductID],Πίνακας7[SupplierID])</f>
        <v>2</v>
      </c>
      <c r="P316" t="str">
        <f>_xlfn.XLOOKUP(tbl_FACTS[[#This Row],[SupplierID]],Πίνακας9[SupplierID],Πίνακας9[SupplierName])</f>
        <v>New Orleans Cajun Delights</v>
      </c>
      <c r="Q316" s="21">
        <f>_xlfn.XLOOKUP(tbl_FACTS[[#This Row],[ProductID]],Πίνακας7[ProductID],Πίνακας7[Price])</f>
        <v>21</v>
      </c>
      <c r="R316" s="21">
        <f>tbl_FACTS[[#This Row],[Quantity]]*tbl_FACTS[[#This Row],[Price]]</f>
        <v>105</v>
      </c>
      <c r="S316" s="19">
        <f>IF(COUNTIFS(tbl_FACTS[OrderID],tbl_FACTS[[#This Row],[OrderID]],tbl_FACTS[OrderDetailID],"&lt;"&amp;tbl_FACTS[[#This Row],[OrderDetailID]])=0,1,0)</f>
        <v>1</v>
      </c>
      <c r="T316" s="19">
        <f>YEAR(tbl_FACTS[[#This Row],[OrderDate]])</f>
        <v>1996</v>
      </c>
      <c r="U316" s="22">
        <f>DATE(YEAR(tbl_FACTS[[#This Row],[OrderDate]]),MONTH(tbl_FACTS[[#This Row],[OrderDate]]),1)</f>
        <v>35370</v>
      </c>
      <c r="V316" s="22" t="str">
        <f>IF(tbl_FACTS[[#This Row],[Quantity]]&lt;=10,"0–10",IF(tbl_FACTS[[#This Row],[Quantity]]&lt;=20,"11–20",IF(tbl_FACTS[[#This Row],[Quantity]]&lt;=30,"21–30",IF(tbl_FACTS[[#This Row],[Quantity]]&lt;=40,"31–40",IF(tbl_FACTS[[#This Row],[Quantity]]&lt;=50,"41–50","51+")))))</f>
        <v>0–10</v>
      </c>
    </row>
    <row r="317" spans="1:22">
      <c r="A317">
        <v>316</v>
      </c>
      <c r="B317">
        <v>10366</v>
      </c>
      <c r="C317">
        <v>77</v>
      </c>
      <c r="D317" s="19">
        <v>5</v>
      </c>
      <c r="E317" s="20">
        <f>_xlfn.XLOOKUP(tbl_FACTS[[#This Row],[OrderID]],Πίνακας64[OrderID],Πίνακας64[OrderDate])</f>
        <v>35397</v>
      </c>
      <c r="F317">
        <f>_xlfn.XLOOKUP(tbl_FACTS[[#This Row],[OrderID]],Πίνακας64[OrderID],Πίνακας64[CustomerID])</f>
        <v>29</v>
      </c>
      <c r="G317" t="str">
        <f>_xlfn.XLOOKUP(tbl_FACTS[[#This Row],[CustomerID]],Πίνακας1[CustomerID],Πίνακας1[CustomerName])</f>
        <v>Galeria del gastronomo</v>
      </c>
      <c r="H317" t="str">
        <f>_xlfn.XLOOKUP(tbl_FACTS[[#This Row],[CustomerID]],Πίνακας1[CustomerID],Πίνακας1[Country])</f>
        <v>Spain</v>
      </c>
      <c r="I317">
        <f>_xlfn.XLOOKUP(tbl_FACTS[[#This Row],[OrderID]],Πίνακας64[OrderID],Πίνακας64[EmployeeID])</f>
        <v>8</v>
      </c>
      <c r="J317">
        <f>_xlfn.XLOOKUP(tbl_FACTS[[#This Row],[OrderID]],Πίνακας64[OrderID],Πίνακας64[ShipperID])</f>
        <v>2</v>
      </c>
      <c r="K317" t="str">
        <f>_xlfn.XLOOKUP(tbl_FACTS[[#This Row],[ShipperID]],Πίνακας8[ShipperID],Πίνακας8[ShipperName])</f>
        <v>United Package</v>
      </c>
      <c r="L317" t="str">
        <f>_xlfn.XLOOKUP(tbl_FACTS[[#This Row],[ProductID]],Πίνακας7[ProductID],Πίνακας7[ProductName])</f>
        <v>Original Frankfurter grune So├ƒe</v>
      </c>
      <c r="M317">
        <f>_xlfn.XLOOKUP(tbl_FACTS[[#This Row],[ProductID]],Πίνακας7[ProductID],Πίνακας7[CategoryID])</f>
        <v>2</v>
      </c>
      <c r="N317" t="str">
        <f>_xlfn.XLOOKUP(tbl_FACTS[[#This Row],[CategoryID]],Πίνακας4[CategoryID],Πίνακας4[CategoryName])</f>
        <v>Condiments</v>
      </c>
      <c r="O317">
        <f>_xlfn.XLOOKUP(tbl_FACTS[[#This Row],[ProductID]],Πίνακας7[ProductID],Πίνακας7[SupplierID])</f>
        <v>12</v>
      </c>
      <c r="P317" t="str">
        <f>_xlfn.XLOOKUP(tbl_FACTS[[#This Row],[SupplierID]],Πίνακας9[SupplierID],Πίνακας9[SupplierName])</f>
        <v>Plutzer Lebensmittelgro├ƒmarkte AG</v>
      </c>
      <c r="Q317" s="21">
        <f>_xlfn.XLOOKUP(tbl_FACTS[[#This Row],[ProductID]],Πίνακας7[ProductID],Πίνακας7[Price])</f>
        <v>13</v>
      </c>
      <c r="R317" s="21">
        <f>tbl_FACTS[[#This Row],[Quantity]]*tbl_FACTS[[#This Row],[Price]]</f>
        <v>65</v>
      </c>
      <c r="S317" s="19">
        <f>IF(COUNTIFS(tbl_FACTS[OrderID],tbl_FACTS[[#This Row],[OrderID]],tbl_FACTS[OrderDetailID],"&lt;"&amp;tbl_FACTS[[#This Row],[OrderDetailID]])=0,1,0)</f>
        <v>0</v>
      </c>
      <c r="T317" s="19">
        <f>YEAR(tbl_FACTS[[#This Row],[OrderDate]])</f>
        <v>1996</v>
      </c>
      <c r="U317" s="22">
        <f>DATE(YEAR(tbl_FACTS[[#This Row],[OrderDate]]),MONTH(tbl_FACTS[[#This Row],[OrderDate]]),1)</f>
        <v>35370</v>
      </c>
      <c r="V317" s="22" t="str">
        <f>IF(tbl_FACTS[[#This Row],[Quantity]]&lt;=10,"0–10",IF(tbl_FACTS[[#This Row],[Quantity]]&lt;=20,"11–20",IF(tbl_FACTS[[#This Row],[Quantity]]&lt;=30,"21–30",IF(tbl_FACTS[[#This Row],[Quantity]]&lt;=40,"31–40",IF(tbl_FACTS[[#This Row],[Quantity]]&lt;=50,"41–50","51+")))))</f>
        <v>0–10</v>
      </c>
    </row>
    <row r="318" spans="1:22">
      <c r="A318">
        <v>317</v>
      </c>
      <c r="B318">
        <v>10367</v>
      </c>
      <c r="C318">
        <v>34</v>
      </c>
      <c r="D318" s="19">
        <v>36</v>
      </c>
      <c r="E318" s="20">
        <f>_xlfn.XLOOKUP(tbl_FACTS[[#This Row],[OrderID]],Πίνακας64[OrderID],Πίνακας64[OrderDate])</f>
        <v>35397</v>
      </c>
      <c r="F318">
        <f>_xlfn.XLOOKUP(tbl_FACTS[[#This Row],[OrderID]],Πίνακας64[OrderID],Πίνακας64[CustomerID])</f>
        <v>83</v>
      </c>
      <c r="G318" t="str">
        <f>_xlfn.XLOOKUP(tbl_FACTS[[#This Row],[CustomerID]],Πίνακας1[CustomerID],Πίνακας1[CustomerName])</f>
        <v>Vaffeljernet</v>
      </c>
      <c r="H318" t="str">
        <f>_xlfn.XLOOKUP(tbl_FACTS[[#This Row],[CustomerID]],Πίνακας1[CustomerID],Πίνακας1[Country])</f>
        <v>Denmark</v>
      </c>
      <c r="I318">
        <f>_xlfn.XLOOKUP(tbl_FACTS[[#This Row],[OrderID]],Πίνακας64[OrderID],Πίνακας64[EmployeeID])</f>
        <v>7</v>
      </c>
      <c r="J318">
        <f>_xlfn.XLOOKUP(tbl_FACTS[[#This Row],[OrderID]],Πίνακας64[OrderID],Πίνακας64[ShipperID])</f>
        <v>3</v>
      </c>
      <c r="K318" t="str">
        <f>_xlfn.XLOOKUP(tbl_FACTS[[#This Row],[ShipperID]],Πίνακας8[ShipperID],Πίνακας8[ShipperName])</f>
        <v>Federal Shipping</v>
      </c>
      <c r="L318" t="str">
        <f>_xlfn.XLOOKUP(tbl_FACTS[[#This Row],[ProductID]],Πίνακας7[ProductID],Πίνακας7[ProductName])</f>
        <v>Sasquatch Ale</v>
      </c>
      <c r="M318">
        <f>_xlfn.XLOOKUP(tbl_FACTS[[#This Row],[ProductID]],Πίνακας7[ProductID],Πίνακας7[CategoryID])</f>
        <v>1</v>
      </c>
      <c r="N318" t="str">
        <f>_xlfn.XLOOKUP(tbl_FACTS[[#This Row],[CategoryID]],Πίνακας4[CategoryID],Πίνακας4[CategoryName])</f>
        <v>Beverages</v>
      </c>
      <c r="O318">
        <f>_xlfn.XLOOKUP(tbl_FACTS[[#This Row],[ProductID]],Πίνακας7[ProductID],Πίνακας7[SupplierID])</f>
        <v>16</v>
      </c>
      <c r="P318" t="str">
        <f>_xlfn.XLOOKUP(tbl_FACTS[[#This Row],[SupplierID]],Πίνακας9[SupplierID],Πίνακας9[SupplierName])</f>
        <v>Bigfoot Breweries</v>
      </c>
      <c r="Q318" s="21">
        <f>_xlfn.XLOOKUP(tbl_FACTS[[#This Row],[ProductID]],Πίνακας7[ProductID],Πίνακας7[Price])</f>
        <v>14</v>
      </c>
      <c r="R318" s="21">
        <f>tbl_FACTS[[#This Row],[Quantity]]*tbl_FACTS[[#This Row],[Price]]</f>
        <v>504</v>
      </c>
      <c r="S318" s="19">
        <f>IF(COUNTIFS(tbl_FACTS[OrderID],tbl_FACTS[[#This Row],[OrderID]],tbl_FACTS[OrderDetailID],"&lt;"&amp;tbl_FACTS[[#This Row],[OrderDetailID]])=0,1,0)</f>
        <v>1</v>
      </c>
      <c r="T318" s="19">
        <f>YEAR(tbl_FACTS[[#This Row],[OrderDate]])</f>
        <v>1996</v>
      </c>
      <c r="U318" s="22">
        <f>DATE(YEAR(tbl_FACTS[[#This Row],[OrderDate]]),MONTH(tbl_FACTS[[#This Row],[OrderDate]]),1)</f>
        <v>35370</v>
      </c>
      <c r="V318" s="22" t="str">
        <f>IF(tbl_FACTS[[#This Row],[Quantity]]&lt;=10,"0–10",IF(tbl_FACTS[[#This Row],[Quantity]]&lt;=20,"11–20",IF(tbl_FACTS[[#This Row],[Quantity]]&lt;=30,"21–30",IF(tbl_FACTS[[#This Row],[Quantity]]&lt;=40,"31–40",IF(tbl_FACTS[[#This Row],[Quantity]]&lt;=50,"41–50","51+")))))</f>
        <v>31–40</v>
      </c>
    </row>
    <row r="319" spans="1:22">
      <c r="A319">
        <v>318</v>
      </c>
      <c r="B319">
        <v>10367</v>
      </c>
      <c r="C319">
        <v>54</v>
      </c>
      <c r="D319" s="19">
        <v>18</v>
      </c>
      <c r="E319" s="20">
        <f>_xlfn.XLOOKUP(tbl_FACTS[[#This Row],[OrderID]],Πίνακας64[OrderID],Πίνακας64[OrderDate])</f>
        <v>35397</v>
      </c>
      <c r="F319">
        <f>_xlfn.XLOOKUP(tbl_FACTS[[#This Row],[OrderID]],Πίνακας64[OrderID],Πίνακας64[CustomerID])</f>
        <v>83</v>
      </c>
      <c r="G319" t="str">
        <f>_xlfn.XLOOKUP(tbl_FACTS[[#This Row],[CustomerID]],Πίνακας1[CustomerID],Πίνακας1[CustomerName])</f>
        <v>Vaffeljernet</v>
      </c>
      <c r="H319" t="str">
        <f>_xlfn.XLOOKUP(tbl_FACTS[[#This Row],[CustomerID]],Πίνακας1[CustomerID],Πίνακας1[Country])</f>
        <v>Denmark</v>
      </c>
      <c r="I319">
        <f>_xlfn.XLOOKUP(tbl_FACTS[[#This Row],[OrderID]],Πίνακας64[OrderID],Πίνακας64[EmployeeID])</f>
        <v>7</v>
      </c>
      <c r="J319">
        <f>_xlfn.XLOOKUP(tbl_FACTS[[#This Row],[OrderID]],Πίνακας64[OrderID],Πίνακας64[ShipperID])</f>
        <v>3</v>
      </c>
      <c r="K319" t="str">
        <f>_xlfn.XLOOKUP(tbl_FACTS[[#This Row],[ShipperID]],Πίνακας8[ShipperID],Πίνακας8[ShipperName])</f>
        <v>Federal Shipping</v>
      </c>
      <c r="L319" t="str">
        <f>_xlfn.XLOOKUP(tbl_FACTS[[#This Row],[ProductID]],Πίνακας7[ProductID],Πίνακας7[ProductName])</f>
        <v>Tourtiere</v>
      </c>
      <c r="M319">
        <f>_xlfn.XLOOKUP(tbl_FACTS[[#This Row],[ProductID]],Πίνακας7[ProductID],Πίνακας7[CategoryID])</f>
        <v>6</v>
      </c>
      <c r="N319" t="str">
        <f>_xlfn.XLOOKUP(tbl_FACTS[[#This Row],[CategoryID]],Πίνακας4[CategoryID],Πίνακας4[CategoryName])</f>
        <v>Meat/Poultry</v>
      </c>
      <c r="O319">
        <f>_xlfn.XLOOKUP(tbl_FACTS[[#This Row],[ProductID]],Πίνακας7[ProductID],Πίνακας7[SupplierID])</f>
        <v>25</v>
      </c>
      <c r="P319" t="str">
        <f>_xlfn.XLOOKUP(tbl_FACTS[[#This Row],[SupplierID]],Πίνακας9[SupplierID],Πίνακας9[SupplierName])</f>
        <v>Ma Maison</v>
      </c>
      <c r="Q319" s="21">
        <f>_xlfn.XLOOKUP(tbl_FACTS[[#This Row],[ProductID]],Πίνακας7[ProductID],Πίνακας7[Price])</f>
        <v>7</v>
      </c>
      <c r="R319" s="21">
        <f>tbl_FACTS[[#This Row],[Quantity]]*tbl_FACTS[[#This Row],[Price]]</f>
        <v>126</v>
      </c>
      <c r="S319" s="19">
        <f>IF(COUNTIFS(tbl_FACTS[OrderID],tbl_FACTS[[#This Row],[OrderID]],tbl_FACTS[OrderDetailID],"&lt;"&amp;tbl_FACTS[[#This Row],[OrderDetailID]])=0,1,0)</f>
        <v>0</v>
      </c>
      <c r="T319" s="19">
        <f>YEAR(tbl_FACTS[[#This Row],[OrderDate]])</f>
        <v>1996</v>
      </c>
      <c r="U319" s="22">
        <f>DATE(YEAR(tbl_FACTS[[#This Row],[OrderDate]]),MONTH(tbl_FACTS[[#This Row],[OrderDate]]),1)</f>
        <v>35370</v>
      </c>
      <c r="V319" s="22" t="str">
        <f>IF(tbl_FACTS[[#This Row],[Quantity]]&lt;=10,"0–10",IF(tbl_FACTS[[#This Row],[Quantity]]&lt;=20,"11–20",IF(tbl_FACTS[[#This Row],[Quantity]]&lt;=30,"21–30",IF(tbl_FACTS[[#This Row],[Quantity]]&lt;=40,"31–40",IF(tbl_FACTS[[#This Row],[Quantity]]&lt;=50,"41–50","51+")))))</f>
        <v>11–20</v>
      </c>
    </row>
    <row r="320" spans="1:22">
      <c r="A320">
        <v>319</v>
      </c>
      <c r="B320">
        <v>10367</v>
      </c>
      <c r="C320">
        <v>65</v>
      </c>
      <c r="D320" s="19">
        <v>15</v>
      </c>
      <c r="E320" s="20">
        <f>_xlfn.XLOOKUP(tbl_FACTS[[#This Row],[OrderID]],Πίνακας64[OrderID],Πίνακας64[OrderDate])</f>
        <v>35397</v>
      </c>
      <c r="F320">
        <f>_xlfn.XLOOKUP(tbl_FACTS[[#This Row],[OrderID]],Πίνακας64[OrderID],Πίνακας64[CustomerID])</f>
        <v>83</v>
      </c>
      <c r="G320" t="str">
        <f>_xlfn.XLOOKUP(tbl_FACTS[[#This Row],[CustomerID]],Πίνακας1[CustomerID],Πίνακας1[CustomerName])</f>
        <v>Vaffeljernet</v>
      </c>
      <c r="H320" t="str">
        <f>_xlfn.XLOOKUP(tbl_FACTS[[#This Row],[CustomerID]],Πίνακας1[CustomerID],Πίνακας1[Country])</f>
        <v>Denmark</v>
      </c>
      <c r="I320">
        <f>_xlfn.XLOOKUP(tbl_FACTS[[#This Row],[OrderID]],Πίνακας64[OrderID],Πίνακας64[EmployeeID])</f>
        <v>7</v>
      </c>
      <c r="J320">
        <f>_xlfn.XLOOKUP(tbl_FACTS[[#This Row],[OrderID]],Πίνακας64[OrderID],Πίνακας64[ShipperID])</f>
        <v>3</v>
      </c>
      <c r="K320" t="str">
        <f>_xlfn.XLOOKUP(tbl_FACTS[[#This Row],[ShipperID]],Πίνακας8[ShipperID],Πίνακας8[ShipperName])</f>
        <v>Federal Shipping</v>
      </c>
      <c r="L320" t="str">
        <f>_xlfn.XLOOKUP(tbl_FACTS[[#This Row],[ProductID]],Πίνακας7[ProductID],Πίνακας7[ProductName])</f>
        <v>Louisiana Fiery Hot Pepper Sauce</v>
      </c>
      <c r="M320">
        <f>_xlfn.XLOOKUP(tbl_FACTS[[#This Row],[ProductID]],Πίνακας7[ProductID],Πίνακας7[CategoryID])</f>
        <v>2</v>
      </c>
      <c r="N320" t="str">
        <f>_xlfn.XLOOKUP(tbl_FACTS[[#This Row],[CategoryID]],Πίνακας4[CategoryID],Πίνακας4[CategoryName])</f>
        <v>Condiments</v>
      </c>
      <c r="O320">
        <f>_xlfn.XLOOKUP(tbl_FACTS[[#This Row],[ProductID]],Πίνακας7[ProductID],Πίνακας7[SupplierID])</f>
        <v>2</v>
      </c>
      <c r="P320" t="str">
        <f>_xlfn.XLOOKUP(tbl_FACTS[[#This Row],[SupplierID]],Πίνακας9[SupplierID],Πίνακας9[SupplierName])</f>
        <v>New Orleans Cajun Delights</v>
      </c>
      <c r="Q320" s="21">
        <f>_xlfn.XLOOKUP(tbl_FACTS[[#This Row],[ProductID]],Πίνακας7[ProductID],Πίνακας7[Price])</f>
        <v>21</v>
      </c>
      <c r="R320" s="21">
        <f>tbl_FACTS[[#This Row],[Quantity]]*tbl_FACTS[[#This Row],[Price]]</f>
        <v>315</v>
      </c>
      <c r="S320" s="19">
        <f>IF(COUNTIFS(tbl_FACTS[OrderID],tbl_FACTS[[#This Row],[OrderID]],tbl_FACTS[OrderDetailID],"&lt;"&amp;tbl_FACTS[[#This Row],[OrderDetailID]])=0,1,0)</f>
        <v>0</v>
      </c>
      <c r="T320" s="19">
        <f>YEAR(tbl_FACTS[[#This Row],[OrderDate]])</f>
        <v>1996</v>
      </c>
      <c r="U320" s="22">
        <f>DATE(YEAR(tbl_FACTS[[#This Row],[OrderDate]]),MONTH(tbl_FACTS[[#This Row],[OrderDate]]),1)</f>
        <v>35370</v>
      </c>
      <c r="V320" s="22" t="str">
        <f>IF(tbl_FACTS[[#This Row],[Quantity]]&lt;=10,"0–10",IF(tbl_FACTS[[#This Row],[Quantity]]&lt;=20,"11–20",IF(tbl_FACTS[[#This Row],[Quantity]]&lt;=30,"21–30",IF(tbl_FACTS[[#This Row],[Quantity]]&lt;=40,"31–40",IF(tbl_FACTS[[#This Row],[Quantity]]&lt;=50,"41–50","51+")))))</f>
        <v>11–20</v>
      </c>
    </row>
    <row r="321" spans="1:22">
      <c r="A321">
        <v>320</v>
      </c>
      <c r="B321">
        <v>10367</v>
      </c>
      <c r="C321">
        <v>77</v>
      </c>
      <c r="D321" s="19">
        <v>7</v>
      </c>
      <c r="E321" s="20">
        <f>_xlfn.XLOOKUP(tbl_FACTS[[#This Row],[OrderID]],Πίνακας64[OrderID],Πίνακας64[OrderDate])</f>
        <v>35397</v>
      </c>
      <c r="F321">
        <f>_xlfn.XLOOKUP(tbl_FACTS[[#This Row],[OrderID]],Πίνακας64[OrderID],Πίνακας64[CustomerID])</f>
        <v>83</v>
      </c>
      <c r="G321" t="str">
        <f>_xlfn.XLOOKUP(tbl_FACTS[[#This Row],[CustomerID]],Πίνακας1[CustomerID],Πίνακας1[CustomerName])</f>
        <v>Vaffeljernet</v>
      </c>
      <c r="H321" t="str">
        <f>_xlfn.XLOOKUP(tbl_FACTS[[#This Row],[CustomerID]],Πίνακας1[CustomerID],Πίνακας1[Country])</f>
        <v>Denmark</v>
      </c>
      <c r="I321">
        <f>_xlfn.XLOOKUP(tbl_FACTS[[#This Row],[OrderID]],Πίνακας64[OrderID],Πίνακας64[EmployeeID])</f>
        <v>7</v>
      </c>
      <c r="J321">
        <f>_xlfn.XLOOKUP(tbl_FACTS[[#This Row],[OrderID]],Πίνακας64[OrderID],Πίνακας64[ShipperID])</f>
        <v>3</v>
      </c>
      <c r="K321" t="str">
        <f>_xlfn.XLOOKUP(tbl_FACTS[[#This Row],[ShipperID]],Πίνακας8[ShipperID],Πίνακας8[ShipperName])</f>
        <v>Federal Shipping</v>
      </c>
      <c r="L321" t="str">
        <f>_xlfn.XLOOKUP(tbl_FACTS[[#This Row],[ProductID]],Πίνακας7[ProductID],Πίνακας7[ProductName])</f>
        <v>Original Frankfurter grune So├ƒe</v>
      </c>
      <c r="M321">
        <f>_xlfn.XLOOKUP(tbl_FACTS[[#This Row],[ProductID]],Πίνακας7[ProductID],Πίνακας7[CategoryID])</f>
        <v>2</v>
      </c>
      <c r="N321" t="str">
        <f>_xlfn.XLOOKUP(tbl_FACTS[[#This Row],[CategoryID]],Πίνακας4[CategoryID],Πίνακας4[CategoryName])</f>
        <v>Condiments</v>
      </c>
      <c r="O321">
        <f>_xlfn.XLOOKUP(tbl_FACTS[[#This Row],[ProductID]],Πίνακας7[ProductID],Πίνακας7[SupplierID])</f>
        <v>12</v>
      </c>
      <c r="P321" t="str">
        <f>_xlfn.XLOOKUP(tbl_FACTS[[#This Row],[SupplierID]],Πίνακας9[SupplierID],Πίνακας9[SupplierName])</f>
        <v>Plutzer Lebensmittelgro├ƒmarkte AG</v>
      </c>
      <c r="Q321" s="21">
        <f>_xlfn.XLOOKUP(tbl_FACTS[[#This Row],[ProductID]],Πίνακας7[ProductID],Πίνακας7[Price])</f>
        <v>13</v>
      </c>
      <c r="R321" s="21">
        <f>tbl_FACTS[[#This Row],[Quantity]]*tbl_FACTS[[#This Row],[Price]]</f>
        <v>91</v>
      </c>
      <c r="S321" s="19">
        <f>IF(COUNTIFS(tbl_FACTS[OrderID],tbl_FACTS[[#This Row],[OrderID]],tbl_FACTS[OrderDetailID],"&lt;"&amp;tbl_FACTS[[#This Row],[OrderDetailID]])=0,1,0)</f>
        <v>0</v>
      </c>
      <c r="T321" s="19">
        <f>YEAR(tbl_FACTS[[#This Row],[OrderDate]])</f>
        <v>1996</v>
      </c>
      <c r="U321" s="22">
        <f>DATE(YEAR(tbl_FACTS[[#This Row],[OrderDate]]),MONTH(tbl_FACTS[[#This Row],[OrderDate]]),1)</f>
        <v>35370</v>
      </c>
      <c r="V321" s="22" t="str">
        <f>IF(tbl_FACTS[[#This Row],[Quantity]]&lt;=10,"0–10",IF(tbl_FACTS[[#This Row],[Quantity]]&lt;=20,"11–20",IF(tbl_FACTS[[#This Row],[Quantity]]&lt;=30,"21–30",IF(tbl_FACTS[[#This Row],[Quantity]]&lt;=40,"31–40",IF(tbl_FACTS[[#This Row],[Quantity]]&lt;=50,"41–50","51+")))))</f>
        <v>0–10</v>
      </c>
    </row>
    <row r="322" spans="1:22">
      <c r="A322">
        <v>321</v>
      </c>
      <c r="B322">
        <v>10368</v>
      </c>
      <c r="C322">
        <v>21</v>
      </c>
      <c r="D322" s="19">
        <v>5</v>
      </c>
      <c r="E322" s="20">
        <f>_xlfn.XLOOKUP(tbl_FACTS[[#This Row],[OrderID]],Πίνακας64[OrderID],Πίνακας64[OrderDate])</f>
        <v>35398</v>
      </c>
      <c r="F322">
        <f>_xlfn.XLOOKUP(tbl_FACTS[[#This Row],[OrderID]],Πίνακας64[OrderID],Πίνακας64[CustomerID])</f>
        <v>20</v>
      </c>
      <c r="G322" t="str">
        <f>_xlfn.XLOOKUP(tbl_FACTS[[#This Row],[CustomerID]],Πίνακας1[CustomerID],Πίνακας1[CustomerName])</f>
        <v>Ernst Handel</v>
      </c>
      <c r="H322" t="str">
        <f>_xlfn.XLOOKUP(tbl_FACTS[[#This Row],[CustomerID]],Πίνακας1[CustomerID],Πίνακας1[Country])</f>
        <v>Austria</v>
      </c>
      <c r="I322">
        <f>_xlfn.XLOOKUP(tbl_FACTS[[#This Row],[OrderID]],Πίνακας64[OrderID],Πίνακας64[EmployeeID])</f>
        <v>2</v>
      </c>
      <c r="J322">
        <f>_xlfn.XLOOKUP(tbl_FACTS[[#This Row],[OrderID]],Πίνακας64[OrderID],Πίνακας64[ShipperID])</f>
        <v>2</v>
      </c>
      <c r="K322" t="str">
        <f>_xlfn.XLOOKUP(tbl_FACTS[[#This Row],[ShipperID]],Πίνακας8[ShipperID],Πίνακας8[ShipperName])</f>
        <v>United Package</v>
      </c>
      <c r="L322" t="str">
        <f>_xlfn.XLOOKUP(tbl_FACTS[[#This Row],[ProductID]],Πίνακας7[ProductID],Πίνακας7[ProductName])</f>
        <v>Sir Rodney's Scones</v>
      </c>
      <c r="M322">
        <f>_xlfn.XLOOKUP(tbl_FACTS[[#This Row],[ProductID]],Πίνακας7[ProductID],Πίνακας7[CategoryID])</f>
        <v>3</v>
      </c>
      <c r="N322" t="str">
        <f>_xlfn.XLOOKUP(tbl_FACTS[[#This Row],[CategoryID]],Πίνακας4[CategoryID],Πίνακας4[CategoryName])</f>
        <v>Confections</v>
      </c>
      <c r="O322">
        <f>_xlfn.XLOOKUP(tbl_FACTS[[#This Row],[ProductID]],Πίνακας7[ProductID],Πίνακας7[SupplierID])</f>
        <v>8</v>
      </c>
      <c r="P322" t="str">
        <f>_xlfn.XLOOKUP(tbl_FACTS[[#This Row],[SupplierID]],Πίνακας9[SupplierID],Πίνακας9[SupplierName])</f>
        <v>Specialty Biscuits, Ltd.</v>
      </c>
      <c r="Q322" s="21">
        <f>_xlfn.XLOOKUP(tbl_FACTS[[#This Row],[ProductID]],Πίνακας7[ProductID],Πίνακας7[Price])</f>
        <v>10</v>
      </c>
      <c r="R322" s="21">
        <f>tbl_FACTS[[#This Row],[Quantity]]*tbl_FACTS[[#This Row],[Price]]</f>
        <v>50</v>
      </c>
      <c r="S322" s="19">
        <f>IF(COUNTIFS(tbl_FACTS[OrderID],tbl_FACTS[[#This Row],[OrderID]],tbl_FACTS[OrderDetailID],"&lt;"&amp;tbl_FACTS[[#This Row],[OrderDetailID]])=0,1,0)</f>
        <v>1</v>
      </c>
      <c r="T322" s="19">
        <f>YEAR(tbl_FACTS[[#This Row],[OrderDate]])</f>
        <v>1996</v>
      </c>
      <c r="U322" s="22">
        <f>DATE(YEAR(tbl_FACTS[[#This Row],[OrderDate]]),MONTH(tbl_FACTS[[#This Row],[OrderDate]]),1)</f>
        <v>35370</v>
      </c>
      <c r="V322" s="22" t="str">
        <f>IF(tbl_FACTS[[#This Row],[Quantity]]&lt;=10,"0–10",IF(tbl_FACTS[[#This Row],[Quantity]]&lt;=20,"11–20",IF(tbl_FACTS[[#This Row],[Quantity]]&lt;=30,"21–30",IF(tbl_FACTS[[#This Row],[Quantity]]&lt;=40,"31–40",IF(tbl_FACTS[[#This Row],[Quantity]]&lt;=50,"41–50","51+")))))</f>
        <v>0–10</v>
      </c>
    </row>
    <row r="323" spans="1:22">
      <c r="A323">
        <v>322</v>
      </c>
      <c r="B323">
        <v>10368</v>
      </c>
      <c r="C323">
        <v>28</v>
      </c>
      <c r="D323" s="19">
        <v>13</v>
      </c>
      <c r="E323" s="20">
        <f>_xlfn.XLOOKUP(tbl_FACTS[[#This Row],[OrderID]],Πίνακας64[OrderID],Πίνακας64[OrderDate])</f>
        <v>35398</v>
      </c>
      <c r="F323">
        <f>_xlfn.XLOOKUP(tbl_FACTS[[#This Row],[OrderID]],Πίνακας64[OrderID],Πίνακας64[CustomerID])</f>
        <v>20</v>
      </c>
      <c r="G323" t="str">
        <f>_xlfn.XLOOKUP(tbl_FACTS[[#This Row],[CustomerID]],Πίνακας1[CustomerID],Πίνακας1[CustomerName])</f>
        <v>Ernst Handel</v>
      </c>
      <c r="H323" t="str">
        <f>_xlfn.XLOOKUP(tbl_FACTS[[#This Row],[CustomerID]],Πίνακας1[CustomerID],Πίνακας1[Country])</f>
        <v>Austria</v>
      </c>
      <c r="I323">
        <f>_xlfn.XLOOKUP(tbl_FACTS[[#This Row],[OrderID]],Πίνακας64[OrderID],Πίνακας64[EmployeeID])</f>
        <v>2</v>
      </c>
      <c r="J323">
        <f>_xlfn.XLOOKUP(tbl_FACTS[[#This Row],[OrderID]],Πίνακας64[OrderID],Πίνακας64[ShipperID])</f>
        <v>2</v>
      </c>
      <c r="K323" t="str">
        <f>_xlfn.XLOOKUP(tbl_FACTS[[#This Row],[ShipperID]],Πίνακας8[ShipperID],Πίνακας8[ShipperName])</f>
        <v>United Package</v>
      </c>
      <c r="L323" t="str">
        <f>_xlfn.XLOOKUP(tbl_FACTS[[#This Row],[ProductID]],Πίνακας7[ProductID],Πίνακας7[ProductName])</f>
        <v>Rossle Sauerkraut</v>
      </c>
      <c r="M323">
        <f>_xlfn.XLOOKUP(tbl_FACTS[[#This Row],[ProductID]],Πίνακας7[ProductID],Πίνακας7[CategoryID])</f>
        <v>7</v>
      </c>
      <c r="N323" t="str">
        <f>_xlfn.XLOOKUP(tbl_FACTS[[#This Row],[CategoryID]],Πίνακας4[CategoryID],Πίνακας4[CategoryName])</f>
        <v>Produce</v>
      </c>
      <c r="O323">
        <f>_xlfn.XLOOKUP(tbl_FACTS[[#This Row],[ProductID]],Πίνακας7[ProductID],Πίνακας7[SupplierID])</f>
        <v>12</v>
      </c>
      <c r="P323" t="str">
        <f>_xlfn.XLOOKUP(tbl_FACTS[[#This Row],[SupplierID]],Πίνακας9[SupplierID],Πίνακας9[SupplierName])</f>
        <v>Plutzer Lebensmittelgro├ƒmarkte AG</v>
      </c>
      <c r="Q323" s="21">
        <f>_xlfn.XLOOKUP(tbl_FACTS[[#This Row],[ProductID]],Πίνακας7[ProductID],Πίνακας7[Price])</f>
        <v>46</v>
      </c>
      <c r="R323" s="21">
        <f>tbl_FACTS[[#This Row],[Quantity]]*tbl_FACTS[[#This Row],[Price]]</f>
        <v>598</v>
      </c>
      <c r="S323" s="19">
        <f>IF(COUNTIFS(tbl_FACTS[OrderID],tbl_FACTS[[#This Row],[OrderID]],tbl_FACTS[OrderDetailID],"&lt;"&amp;tbl_FACTS[[#This Row],[OrderDetailID]])=0,1,0)</f>
        <v>0</v>
      </c>
      <c r="T323" s="19">
        <f>YEAR(tbl_FACTS[[#This Row],[OrderDate]])</f>
        <v>1996</v>
      </c>
      <c r="U323" s="22">
        <f>DATE(YEAR(tbl_FACTS[[#This Row],[OrderDate]]),MONTH(tbl_FACTS[[#This Row],[OrderDate]]),1)</f>
        <v>35370</v>
      </c>
      <c r="V323" s="22" t="str">
        <f>IF(tbl_FACTS[[#This Row],[Quantity]]&lt;=10,"0–10",IF(tbl_FACTS[[#This Row],[Quantity]]&lt;=20,"11–20",IF(tbl_FACTS[[#This Row],[Quantity]]&lt;=30,"21–30",IF(tbl_FACTS[[#This Row],[Quantity]]&lt;=40,"31–40",IF(tbl_FACTS[[#This Row],[Quantity]]&lt;=50,"41–50","51+")))))</f>
        <v>11–20</v>
      </c>
    </row>
    <row r="324" spans="1:22">
      <c r="A324">
        <v>323</v>
      </c>
      <c r="B324">
        <v>10368</v>
      </c>
      <c r="C324">
        <v>57</v>
      </c>
      <c r="D324" s="19">
        <v>25</v>
      </c>
      <c r="E324" s="20">
        <f>_xlfn.XLOOKUP(tbl_FACTS[[#This Row],[OrderID]],Πίνακας64[OrderID],Πίνακας64[OrderDate])</f>
        <v>35398</v>
      </c>
      <c r="F324">
        <f>_xlfn.XLOOKUP(tbl_FACTS[[#This Row],[OrderID]],Πίνακας64[OrderID],Πίνακας64[CustomerID])</f>
        <v>20</v>
      </c>
      <c r="G324" t="str">
        <f>_xlfn.XLOOKUP(tbl_FACTS[[#This Row],[CustomerID]],Πίνακας1[CustomerID],Πίνακας1[CustomerName])</f>
        <v>Ernst Handel</v>
      </c>
      <c r="H324" t="str">
        <f>_xlfn.XLOOKUP(tbl_FACTS[[#This Row],[CustomerID]],Πίνακας1[CustomerID],Πίνακας1[Country])</f>
        <v>Austria</v>
      </c>
      <c r="I324">
        <f>_xlfn.XLOOKUP(tbl_FACTS[[#This Row],[OrderID]],Πίνακας64[OrderID],Πίνακας64[EmployeeID])</f>
        <v>2</v>
      </c>
      <c r="J324">
        <f>_xlfn.XLOOKUP(tbl_FACTS[[#This Row],[OrderID]],Πίνακας64[OrderID],Πίνακας64[ShipperID])</f>
        <v>2</v>
      </c>
      <c r="K324" t="str">
        <f>_xlfn.XLOOKUP(tbl_FACTS[[#This Row],[ShipperID]],Πίνακας8[ShipperID],Πίνακας8[ShipperName])</f>
        <v>United Package</v>
      </c>
      <c r="L324" t="str">
        <f>_xlfn.XLOOKUP(tbl_FACTS[[#This Row],[ProductID]],Πίνακας7[ProductID],Πίνακας7[ProductName])</f>
        <v>Ravioli Angelo</v>
      </c>
      <c r="M324">
        <f>_xlfn.XLOOKUP(tbl_FACTS[[#This Row],[ProductID]],Πίνακας7[ProductID],Πίνακας7[CategoryID])</f>
        <v>5</v>
      </c>
      <c r="N324" t="str">
        <f>_xlfn.XLOOKUP(tbl_FACTS[[#This Row],[CategoryID]],Πίνακας4[CategoryID],Πίνακας4[CategoryName])</f>
        <v>Grains/Cereals</v>
      </c>
      <c r="O324">
        <f>_xlfn.XLOOKUP(tbl_FACTS[[#This Row],[ProductID]],Πίνακας7[ProductID],Πίνακας7[SupplierID])</f>
        <v>26</v>
      </c>
      <c r="P324" t="str">
        <f>_xlfn.XLOOKUP(tbl_FACTS[[#This Row],[SupplierID]],Πίνακας9[SupplierID],Πίνακας9[SupplierName])</f>
        <v>Pasta Buttini s.r.l.</v>
      </c>
      <c r="Q324" s="21">
        <f>_xlfn.XLOOKUP(tbl_FACTS[[#This Row],[ProductID]],Πίνακας7[ProductID],Πίνακας7[Price])</f>
        <v>20</v>
      </c>
      <c r="R324" s="21">
        <f>tbl_FACTS[[#This Row],[Quantity]]*tbl_FACTS[[#This Row],[Price]]</f>
        <v>500</v>
      </c>
      <c r="S324" s="19">
        <f>IF(COUNTIFS(tbl_FACTS[OrderID],tbl_FACTS[[#This Row],[OrderID]],tbl_FACTS[OrderDetailID],"&lt;"&amp;tbl_FACTS[[#This Row],[OrderDetailID]])=0,1,0)</f>
        <v>0</v>
      </c>
      <c r="T324" s="19">
        <f>YEAR(tbl_FACTS[[#This Row],[OrderDate]])</f>
        <v>1996</v>
      </c>
      <c r="U324" s="22">
        <f>DATE(YEAR(tbl_FACTS[[#This Row],[OrderDate]]),MONTH(tbl_FACTS[[#This Row],[OrderDate]]),1)</f>
        <v>35370</v>
      </c>
      <c r="V324" s="22" t="str">
        <f>IF(tbl_FACTS[[#This Row],[Quantity]]&lt;=10,"0–10",IF(tbl_FACTS[[#This Row],[Quantity]]&lt;=20,"11–20",IF(tbl_FACTS[[#This Row],[Quantity]]&lt;=30,"21–30",IF(tbl_FACTS[[#This Row],[Quantity]]&lt;=40,"31–40",IF(tbl_FACTS[[#This Row],[Quantity]]&lt;=50,"41–50","51+")))))</f>
        <v>21–30</v>
      </c>
    </row>
    <row r="325" spans="1:22">
      <c r="A325">
        <v>324</v>
      </c>
      <c r="B325">
        <v>10368</v>
      </c>
      <c r="C325">
        <v>64</v>
      </c>
      <c r="D325" s="19">
        <v>35</v>
      </c>
      <c r="E325" s="20">
        <f>_xlfn.XLOOKUP(tbl_FACTS[[#This Row],[OrderID]],Πίνακας64[OrderID],Πίνακας64[OrderDate])</f>
        <v>35398</v>
      </c>
      <c r="F325">
        <f>_xlfn.XLOOKUP(tbl_FACTS[[#This Row],[OrderID]],Πίνακας64[OrderID],Πίνακας64[CustomerID])</f>
        <v>20</v>
      </c>
      <c r="G325" t="str">
        <f>_xlfn.XLOOKUP(tbl_FACTS[[#This Row],[CustomerID]],Πίνακας1[CustomerID],Πίνακας1[CustomerName])</f>
        <v>Ernst Handel</v>
      </c>
      <c r="H325" t="str">
        <f>_xlfn.XLOOKUP(tbl_FACTS[[#This Row],[CustomerID]],Πίνακας1[CustomerID],Πίνακας1[Country])</f>
        <v>Austria</v>
      </c>
      <c r="I325">
        <f>_xlfn.XLOOKUP(tbl_FACTS[[#This Row],[OrderID]],Πίνακας64[OrderID],Πίνακας64[EmployeeID])</f>
        <v>2</v>
      </c>
      <c r="J325">
        <f>_xlfn.XLOOKUP(tbl_FACTS[[#This Row],[OrderID]],Πίνακας64[OrderID],Πίνακας64[ShipperID])</f>
        <v>2</v>
      </c>
      <c r="K325" t="str">
        <f>_xlfn.XLOOKUP(tbl_FACTS[[#This Row],[ShipperID]],Πίνακας8[ShipperID],Πίνακας8[ShipperName])</f>
        <v>United Package</v>
      </c>
      <c r="L325" t="str">
        <f>_xlfn.XLOOKUP(tbl_FACTS[[#This Row],[ProductID]],Πίνακας7[ProductID],Πίνακας7[ProductName])</f>
        <v>Wimmers gute Semmelknodel</v>
      </c>
      <c r="M325">
        <f>_xlfn.XLOOKUP(tbl_FACTS[[#This Row],[ProductID]],Πίνακας7[ProductID],Πίνακας7[CategoryID])</f>
        <v>5</v>
      </c>
      <c r="N325" t="str">
        <f>_xlfn.XLOOKUP(tbl_FACTS[[#This Row],[CategoryID]],Πίνακας4[CategoryID],Πίνακας4[CategoryName])</f>
        <v>Grains/Cereals</v>
      </c>
      <c r="O325">
        <f>_xlfn.XLOOKUP(tbl_FACTS[[#This Row],[ProductID]],Πίνακας7[ProductID],Πίνακας7[SupplierID])</f>
        <v>12</v>
      </c>
      <c r="P325" t="str">
        <f>_xlfn.XLOOKUP(tbl_FACTS[[#This Row],[SupplierID]],Πίνακας9[SupplierID],Πίνακας9[SupplierName])</f>
        <v>Plutzer Lebensmittelgro├ƒmarkte AG</v>
      </c>
      <c r="Q325" s="21">
        <f>_xlfn.XLOOKUP(tbl_FACTS[[#This Row],[ProductID]],Πίνακας7[ProductID],Πίνακας7[Price])</f>
        <v>33</v>
      </c>
      <c r="R325" s="21">
        <f>tbl_FACTS[[#This Row],[Quantity]]*tbl_FACTS[[#This Row],[Price]]</f>
        <v>1155</v>
      </c>
      <c r="S325" s="19">
        <f>IF(COUNTIFS(tbl_FACTS[OrderID],tbl_FACTS[[#This Row],[OrderID]],tbl_FACTS[OrderDetailID],"&lt;"&amp;tbl_FACTS[[#This Row],[OrderDetailID]])=0,1,0)</f>
        <v>0</v>
      </c>
      <c r="T325" s="19">
        <f>YEAR(tbl_FACTS[[#This Row],[OrderDate]])</f>
        <v>1996</v>
      </c>
      <c r="U325" s="22">
        <f>DATE(YEAR(tbl_FACTS[[#This Row],[OrderDate]]),MONTH(tbl_FACTS[[#This Row],[OrderDate]]),1)</f>
        <v>35370</v>
      </c>
      <c r="V325" s="22" t="str">
        <f>IF(tbl_FACTS[[#This Row],[Quantity]]&lt;=10,"0–10",IF(tbl_FACTS[[#This Row],[Quantity]]&lt;=20,"11–20",IF(tbl_FACTS[[#This Row],[Quantity]]&lt;=30,"21–30",IF(tbl_FACTS[[#This Row],[Quantity]]&lt;=40,"31–40",IF(tbl_FACTS[[#This Row],[Quantity]]&lt;=50,"41–50","51+")))))</f>
        <v>31–40</v>
      </c>
    </row>
    <row r="326" spans="1:22">
      <c r="A326">
        <v>325</v>
      </c>
      <c r="B326">
        <v>10369</v>
      </c>
      <c r="C326">
        <v>29</v>
      </c>
      <c r="D326" s="19">
        <v>20</v>
      </c>
      <c r="E326" s="20">
        <f>_xlfn.XLOOKUP(tbl_FACTS[[#This Row],[OrderID]],Πίνακας64[OrderID],Πίνακας64[OrderDate])</f>
        <v>35401</v>
      </c>
      <c r="F326">
        <f>_xlfn.XLOOKUP(tbl_FACTS[[#This Row],[OrderID]],Πίνακας64[OrderID],Πίνακας64[CustomerID])</f>
        <v>75</v>
      </c>
      <c r="G326" t="str">
        <f>_xlfn.XLOOKUP(tbl_FACTS[[#This Row],[CustomerID]],Πίνακας1[CustomerID],Πίνακας1[CustomerName])</f>
        <v>Split Rail Beer &amp; Ale</v>
      </c>
      <c r="H326" t="str">
        <f>_xlfn.XLOOKUP(tbl_FACTS[[#This Row],[CustomerID]],Πίνακας1[CustomerID],Πίνακας1[Country])</f>
        <v>USA</v>
      </c>
      <c r="I326">
        <f>_xlfn.XLOOKUP(tbl_FACTS[[#This Row],[OrderID]],Πίνακας64[OrderID],Πίνακας64[EmployeeID])</f>
        <v>8</v>
      </c>
      <c r="J326">
        <f>_xlfn.XLOOKUP(tbl_FACTS[[#This Row],[OrderID]],Πίνακας64[OrderID],Πίνακας64[ShipperID])</f>
        <v>2</v>
      </c>
      <c r="K326" t="str">
        <f>_xlfn.XLOOKUP(tbl_FACTS[[#This Row],[ShipperID]],Πίνακας8[ShipperID],Πίνακας8[ShipperName])</f>
        <v>United Package</v>
      </c>
      <c r="L326" t="str">
        <f>_xlfn.XLOOKUP(tbl_FACTS[[#This Row],[ProductID]],Πίνακας7[ProductID],Πίνακας7[ProductName])</f>
        <v>Thuringer Rostbratwurst</v>
      </c>
      <c r="M326">
        <f>_xlfn.XLOOKUP(tbl_FACTS[[#This Row],[ProductID]],Πίνακας7[ProductID],Πίνακας7[CategoryID])</f>
        <v>6</v>
      </c>
      <c r="N326" t="str">
        <f>_xlfn.XLOOKUP(tbl_FACTS[[#This Row],[CategoryID]],Πίνακας4[CategoryID],Πίνακας4[CategoryName])</f>
        <v>Meat/Poultry</v>
      </c>
      <c r="O326">
        <f>_xlfn.XLOOKUP(tbl_FACTS[[#This Row],[ProductID]],Πίνακας7[ProductID],Πίνακας7[SupplierID])</f>
        <v>12</v>
      </c>
      <c r="P326" t="str">
        <f>_xlfn.XLOOKUP(tbl_FACTS[[#This Row],[SupplierID]],Πίνακας9[SupplierID],Πίνακας9[SupplierName])</f>
        <v>Plutzer Lebensmittelgro├ƒmarkte AG</v>
      </c>
      <c r="Q326" s="21">
        <f>_xlfn.XLOOKUP(tbl_FACTS[[#This Row],[ProductID]],Πίνακας7[ProductID],Πίνακας7[Price])</f>
        <v>124</v>
      </c>
      <c r="R326" s="21">
        <f>tbl_FACTS[[#This Row],[Quantity]]*tbl_FACTS[[#This Row],[Price]]</f>
        <v>2480</v>
      </c>
      <c r="S326" s="19">
        <f>IF(COUNTIFS(tbl_FACTS[OrderID],tbl_FACTS[[#This Row],[OrderID]],tbl_FACTS[OrderDetailID],"&lt;"&amp;tbl_FACTS[[#This Row],[OrderDetailID]])=0,1,0)</f>
        <v>1</v>
      </c>
      <c r="T326" s="19">
        <f>YEAR(tbl_FACTS[[#This Row],[OrderDate]])</f>
        <v>1996</v>
      </c>
      <c r="U326" s="22">
        <f>DATE(YEAR(tbl_FACTS[[#This Row],[OrderDate]]),MONTH(tbl_FACTS[[#This Row],[OrderDate]]),1)</f>
        <v>35400</v>
      </c>
      <c r="V326" s="22" t="str">
        <f>IF(tbl_FACTS[[#This Row],[Quantity]]&lt;=10,"0–10",IF(tbl_FACTS[[#This Row],[Quantity]]&lt;=20,"11–20",IF(tbl_FACTS[[#This Row],[Quantity]]&lt;=30,"21–30",IF(tbl_FACTS[[#This Row],[Quantity]]&lt;=40,"31–40",IF(tbl_FACTS[[#This Row],[Quantity]]&lt;=50,"41–50","51+")))))</f>
        <v>11–20</v>
      </c>
    </row>
    <row r="327" spans="1:22">
      <c r="A327">
        <v>326</v>
      </c>
      <c r="B327">
        <v>10369</v>
      </c>
      <c r="C327">
        <v>56</v>
      </c>
      <c r="D327" s="19">
        <v>18</v>
      </c>
      <c r="E327" s="20">
        <f>_xlfn.XLOOKUP(tbl_FACTS[[#This Row],[OrderID]],Πίνακας64[OrderID],Πίνακας64[OrderDate])</f>
        <v>35401</v>
      </c>
      <c r="F327">
        <f>_xlfn.XLOOKUP(tbl_FACTS[[#This Row],[OrderID]],Πίνακας64[OrderID],Πίνακας64[CustomerID])</f>
        <v>75</v>
      </c>
      <c r="G327" t="str">
        <f>_xlfn.XLOOKUP(tbl_FACTS[[#This Row],[CustomerID]],Πίνακας1[CustomerID],Πίνακας1[CustomerName])</f>
        <v>Split Rail Beer &amp; Ale</v>
      </c>
      <c r="H327" t="str">
        <f>_xlfn.XLOOKUP(tbl_FACTS[[#This Row],[CustomerID]],Πίνακας1[CustomerID],Πίνακας1[Country])</f>
        <v>USA</v>
      </c>
      <c r="I327">
        <f>_xlfn.XLOOKUP(tbl_FACTS[[#This Row],[OrderID]],Πίνακας64[OrderID],Πίνακας64[EmployeeID])</f>
        <v>8</v>
      </c>
      <c r="J327">
        <f>_xlfn.XLOOKUP(tbl_FACTS[[#This Row],[OrderID]],Πίνακας64[OrderID],Πίνακας64[ShipperID])</f>
        <v>2</v>
      </c>
      <c r="K327" t="str">
        <f>_xlfn.XLOOKUP(tbl_FACTS[[#This Row],[ShipperID]],Πίνακας8[ShipperID],Πίνακας8[ShipperName])</f>
        <v>United Package</v>
      </c>
      <c r="L327" t="str">
        <f>_xlfn.XLOOKUP(tbl_FACTS[[#This Row],[ProductID]],Πίνακας7[ProductID],Πίνακας7[ProductName])</f>
        <v>Gnocchi di nonna Alice</v>
      </c>
      <c r="M327">
        <f>_xlfn.XLOOKUP(tbl_FACTS[[#This Row],[ProductID]],Πίνακας7[ProductID],Πίνακας7[CategoryID])</f>
        <v>5</v>
      </c>
      <c r="N327" t="str">
        <f>_xlfn.XLOOKUP(tbl_FACTS[[#This Row],[CategoryID]],Πίνακας4[CategoryID],Πίνακας4[CategoryName])</f>
        <v>Grains/Cereals</v>
      </c>
      <c r="O327">
        <f>_xlfn.XLOOKUP(tbl_FACTS[[#This Row],[ProductID]],Πίνακας7[ProductID],Πίνακας7[SupplierID])</f>
        <v>26</v>
      </c>
      <c r="P327" t="str">
        <f>_xlfn.XLOOKUP(tbl_FACTS[[#This Row],[SupplierID]],Πίνακας9[SupplierID],Πίνακας9[SupplierName])</f>
        <v>Pasta Buttini s.r.l.</v>
      </c>
      <c r="Q327" s="21">
        <f>_xlfn.XLOOKUP(tbl_FACTS[[#This Row],[ProductID]],Πίνακας7[ProductID],Πίνακας7[Price])</f>
        <v>38</v>
      </c>
      <c r="R327" s="21">
        <f>tbl_FACTS[[#This Row],[Quantity]]*tbl_FACTS[[#This Row],[Price]]</f>
        <v>684</v>
      </c>
      <c r="S327" s="19">
        <f>IF(COUNTIFS(tbl_FACTS[OrderID],tbl_FACTS[[#This Row],[OrderID]],tbl_FACTS[OrderDetailID],"&lt;"&amp;tbl_FACTS[[#This Row],[OrderDetailID]])=0,1,0)</f>
        <v>0</v>
      </c>
      <c r="T327" s="19">
        <f>YEAR(tbl_FACTS[[#This Row],[OrderDate]])</f>
        <v>1996</v>
      </c>
      <c r="U327" s="22">
        <f>DATE(YEAR(tbl_FACTS[[#This Row],[OrderDate]]),MONTH(tbl_FACTS[[#This Row],[OrderDate]]),1)</f>
        <v>35400</v>
      </c>
      <c r="V327" s="22" t="str">
        <f>IF(tbl_FACTS[[#This Row],[Quantity]]&lt;=10,"0–10",IF(tbl_FACTS[[#This Row],[Quantity]]&lt;=20,"11–20",IF(tbl_FACTS[[#This Row],[Quantity]]&lt;=30,"21–30",IF(tbl_FACTS[[#This Row],[Quantity]]&lt;=40,"31–40",IF(tbl_FACTS[[#This Row],[Quantity]]&lt;=50,"41–50","51+")))))</f>
        <v>11–20</v>
      </c>
    </row>
    <row r="328" spans="1:22">
      <c r="A328">
        <v>327</v>
      </c>
      <c r="B328">
        <v>10370</v>
      </c>
      <c r="C328">
        <v>1</v>
      </c>
      <c r="D328" s="19">
        <v>15</v>
      </c>
      <c r="E328" s="20">
        <f>_xlfn.XLOOKUP(tbl_FACTS[[#This Row],[OrderID]],Πίνακας64[OrderID],Πίνακας64[OrderDate])</f>
        <v>35402</v>
      </c>
      <c r="F328">
        <f>_xlfn.XLOOKUP(tbl_FACTS[[#This Row],[OrderID]],Πίνακας64[OrderID],Πίνακας64[CustomerID])</f>
        <v>14</v>
      </c>
      <c r="G328" t="str">
        <f>_xlfn.XLOOKUP(tbl_FACTS[[#This Row],[CustomerID]],Πίνακας1[CustomerID],Πίνακας1[CustomerName])</f>
        <v>Chop-suey Chinese</v>
      </c>
      <c r="H328" t="str">
        <f>_xlfn.XLOOKUP(tbl_FACTS[[#This Row],[CustomerID]],Πίνακας1[CustomerID],Πίνακας1[Country])</f>
        <v>Switzerland</v>
      </c>
      <c r="I328">
        <f>_xlfn.XLOOKUP(tbl_FACTS[[#This Row],[OrderID]],Πίνακας64[OrderID],Πίνακας64[EmployeeID])</f>
        <v>6</v>
      </c>
      <c r="J328">
        <f>_xlfn.XLOOKUP(tbl_FACTS[[#This Row],[OrderID]],Πίνακας64[OrderID],Πίνακας64[ShipperID])</f>
        <v>2</v>
      </c>
      <c r="K328" t="str">
        <f>_xlfn.XLOOKUP(tbl_FACTS[[#This Row],[ShipperID]],Πίνακας8[ShipperID],Πίνακας8[ShipperName])</f>
        <v>United Package</v>
      </c>
      <c r="L328" t="str">
        <f>_xlfn.XLOOKUP(tbl_FACTS[[#This Row],[ProductID]],Πίνακας7[ProductID],Πίνακας7[ProductName])</f>
        <v>Chais</v>
      </c>
      <c r="M328">
        <f>_xlfn.XLOOKUP(tbl_FACTS[[#This Row],[ProductID]],Πίνακας7[ProductID],Πίνακας7[CategoryID])</f>
        <v>1</v>
      </c>
      <c r="N328" t="str">
        <f>_xlfn.XLOOKUP(tbl_FACTS[[#This Row],[CategoryID]],Πίνακας4[CategoryID],Πίνακας4[CategoryName])</f>
        <v>Beverages</v>
      </c>
      <c r="O328">
        <f>_xlfn.XLOOKUP(tbl_FACTS[[#This Row],[ProductID]],Πίνακας7[ProductID],Πίνακας7[SupplierID])</f>
        <v>1</v>
      </c>
      <c r="P328" t="str">
        <f>_xlfn.XLOOKUP(tbl_FACTS[[#This Row],[SupplierID]],Πίνακας9[SupplierID],Πίνακας9[SupplierName])</f>
        <v>Exotic Liquid</v>
      </c>
      <c r="Q328" s="21">
        <f>_xlfn.XLOOKUP(tbl_FACTS[[#This Row],[ProductID]],Πίνακας7[ProductID],Πίνακας7[Price])</f>
        <v>18</v>
      </c>
      <c r="R328" s="21">
        <f>tbl_FACTS[[#This Row],[Quantity]]*tbl_FACTS[[#This Row],[Price]]</f>
        <v>270</v>
      </c>
      <c r="S328" s="19">
        <f>IF(COUNTIFS(tbl_FACTS[OrderID],tbl_FACTS[[#This Row],[OrderID]],tbl_FACTS[OrderDetailID],"&lt;"&amp;tbl_FACTS[[#This Row],[OrderDetailID]])=0,1,0)</f>
        <v>1</v>
      </c>
      <c r="T328" s="19">
        <f>YEAR(tbl_FACTS[[#This Row],[OrderDate]])</f>
        <v>1996</v>
      </c>
      <c r="U328" s="22">
        <f>DATE(YEAR(tbl_FACTS[[#This Row],[OrderDate]]),MONTH(tbl_FACTS[[#This Row],[OrderDate]]),1)</f>
        <v>35400</v>
      </c>
      <c r="V328" s="22" t="str">
        <f>IF(tbl_FACTS[[#This Row],[Quantity]]&lt;=10,"0–10",IF(tbl_FACTS[[#This Row],[Quantity]]&lt;=20,"11–20",IF(tbl_FACTS[[#This Row],[Quantity]]&lt;=30,"21–30",IF(tbl_FACTS[[#This Row],[Quantity]]&lt;=40,"31–40",IF(tbl_FACTS[[#This Row],[Quantity]]&lt;=50,"41–50","51+")))))</f>
        <v>11–20</v>
      </c>
    </row>
    <row r="329" spans="1:22">
      <c r="A329">
        <v>328</v>
      </c>
      <c r="B329">
        <v>10370</v>
      </c>
      <c r="C329">
        <v>64</v>
      </c>
      <c r="D329" s="19">
        <v>30</v>
      </c>
      <c r="E329" s="20">
        <f>_xlfn.XLOOKUP(tbl_FACTS[[#This Row],[OrderID]],Πίνακας64[OrderID],Πίνακας64[OrderDate])</f>
        <v>35402</v>
      </c>
      <c r="F329">
        <f>_xlfn.XLOOKUP(tbl_FACTS[[#This Row],[OrderID]],Πίνακας64[OrderID],Πίνακας64[CustomerID])</f>
        <v>14</v>
      </c>
      <c r="G329" t="str">
        <f>_xlfn.XLOOKUP(tbl_FACTS[[#This Row],[CustomerID]],Πίνακας1[CustomerID],Πίνακας1[CustomerName])</f>
        <v>Chop-suey Chinese</v>
      </c>
      <c r="H329" t="str">
        <f>_xlfn.XLOOKUP(tbl_FACTS[[#This Row],[CustomerID]],Πίνακας1[CustomerID],Πίνακας1[Country])</f>
        <v>Switzerland</v>
      </c>
      <c r="I329">
        <f>_xlfn.XLOOKUP(tbl_FACTS[[#This Row],[OrderID]],Πίνακας64[OrderID],Πίνακας64[EmployeeID])</f>
        <v>6</v>
      </c>
      <c r="J329">
        <f>_xlfn.XLOOKUP(tbl_FACTS[[#This Row],[OrderID]],Πίνακας64[OrderID],Πίνακας64[ShipperID])</f>
        <v>2</v>
      </c>
      <c r="K329" t="str">
        <f>_xlfn.XLOOKUP(tbl_FACTS[[#This Row],[ShipperID]],Πίνακας8[ShipperID],Πίνακας8[ShipperName])</f>
        <v>United Package</v>
      </c>
      <c r="L329" t="str">
        <f>_xlfn.XLOOKUP(tbl_FACTS[[#This Row],[ProductID]],Πίνακας7[ProductID],Πίνακας7[ProductName])</f>
        <v>Wimmers gute Semmelknodel</v>
      </c>
      <c r="M329">
        <f>_xlfn.XLOOKUP(tbl_FACTS[[#This Row],[ProductID]],Πίνακας7[ProductID],Πίνακας7[CategoryID])</f>
        <v>5</v>
      </c>
      <c r="N329" t="str">
        <f>_xlfn.XLOOKUP(tbl_FACTS[[#This Row],[CategoryID]],Πίνακας4[CategoryID],Πίνακας4[CategoryName])</f>
        <v>Grains/Cereals</v>
      </c>
      <c r="O329">
        <f>_xlfn.XLOOKUP(tbl_FACTS[[#This Row],[ProductID]],Πίνακας7[ProductID],Πίνακας7[SupplierID])</f>
        <v>12</v>
      </c>
      <c r="P329" t="str">
        <f>_xlfn.XLOOKUP(tbl_FACTS[[#This Row],[SupplierID]],Πίνακας9[SupplierID],Πίνακας9[SupplierName])</f>
        <v>Plutzer Lebensmittelgro├ƒmarkte AG</v>
      </c>
      <c r="Q329" s="21">
        <f>_xlfn.XLOOKUP(tbl_FACTS[[#This Row],[ProductID]],Πίνακας7[ProductID],Πίνακας7[Price])</f>
        <v>33</v>
      </c>
      <c r="R329" s="21">
        <f>tbl_FACTS[[#This Row],[Quantity]]*tbl_FACTS[[#This Row],[Price]]</f>
        <v>990</v>
      </c>
      <c r="S329" s="19">
        <f>IF(COUNTIFS(tbl_FACTS[OrderID],tbl_FACTS[[#This Row],[OrderID]],tbl_FACTS[OrderDetailID],"&lt;"&amp;tbl_FACTS[[#This Row],[OrderDetailID]])=0,1,0)</f>
        <v>0</v>
      </c>
      <c r="T329" s="19">
        <f>YEAR(tbl_FACTS[[#This Row],[OrderDate]])</f>
        <v>1996</v>
      </c>
      <c r="U329" s="22">
        <f>DATE(YEAR(tbl_FACTS[[#This Row],[OrderDate]]),MONTH(tbl_FACTS[[#This Row],[OrderDate]]),1)</f>
        <v>35400</v>
      </c>
      <c r="V329" s="22" t="str">
        <f>IF(tbl_FACTS[[#This Row],[Quantity]]&lt;=10,"0–10",IF(tbl_FACTS[[#This Row],[Quantity]]&lt;=20,"11–20",IF(tbl_FACTS[[#This Row],[Quantity]]&lt;=30,"21–30",IF(tbl_FACTS[[#This Row],[Quantity]]&lt;=40,"31–40",IF(tbl_FACTS[[#This Row],[Quantity]]&lt;=50,"41–50","51+")))))</f>
        <v>21–30</v>
      </c>
    </row>
    <row r="330" spans="1:22">
      <c r="A330">
        <v>329</v>
      </c>
      <c r="B330">
        <v>10370</v>
      </c>
      <c r="C330">
        <v>74</v>
      </c>
      <c r="D330" s="19">
        <v>20</v>
      </c>
      <c r="E330" s="20">
        <f>_xlfn.XLOOKUP(tbl_FACTS[[#This Row],[OrderID]],Πίνακας64[OrderID],Πίνακας64[OrderDate])</f>
        <v>35402</v>
      </c>
      <c r="F330">
        <f>_xlfn.XLOOKUP(tbl_FACTS[[#This Row],[OrderID]],Πίνακας64[OrderID],Πίνακας64[CustomerID])</f>
        <v>14</v>
      </c>
      <c r="G330" t="str">
        <f>_xlfn.XLOOKUP(tbl_FACTS[[#This Row],[CustomerID]],Πίνακας1[CustomerID],Πίνακας1[CustomerName])</f>
        <v>Chop-suey Chinese</v>
      </c>
      <c r="H330" t="str">
        <f>_xlfn.XLOOKUP(tbl_FACTS[[#This Row],[CustomerID]],Πίνακας1[CustomerID],Πίνακας1[Country])</f>
        <v>Switzerland</v>
      </c>
      <c r="I330">
        <f>_xlfn.XLOOKUP(tbl_FACTS[[#This Row],[OrderID]],Πίνακας64[OrderID],Πίνακας64[EmployeeID])</f>
        <v>6</v>
      </c>
      <c r="J330">
        <f>_xlfn.XLOOKUP(tbl_FACTS[[#This Row],[OrderID]],Πίνακας64[OrderID],Πίνακας64[ShipperID])</f>
        <v>2</v>
      </c>
      <c r="K330" t="str">
        <f>_xlfn.XLOOKUP(tbl_FACTS[[#This Row],[ShipperID]],Πίνακας8[ShipperID],Πίνακας8[ShipperName])</f>
        <v>United Package</v>
      </c>
      <c r="L330" t="str">
        <f>_xlfn.XLOOKUP(tbl_FACTS[[#This Row],[ProductID]],Πίνακας7[ProductID],Πίνακας7[ProductName])</f>
        <v>Longlife Tofu</v>
      </c>
      <c r="M330">
        <f>_xlfn.XLOOKUP(tbl_FACTS[[#This Row],[ProductID]],Πίνακας7[ProductID],Πίνακας7[CategoryID])</f>
        <v>7</v>
      </c>
      <c r="N330" t="str">
        <f>_xlfn.XLOOKUP(tbl_FACTS[[#This Row],[CategoryID]],Πίνακας4[CategoryID],Πίνακας4[CategoryName])</f>
        <v>Produce</v>
      </c>
      <c r="O330">
        <f>_xlfn.XLOOKUP(tbl_FACTS[[#This Row],[ProductID]],Πίνακας7[ProductID],Πίνακας7[SupplierID])</f>
        <v>4</v>
      </c>
      <c r="P330" t="str">
        <f>_xlfn.XLOOKUP(tbl_FACTS[[#This Row],[SupplierID]],Πίνακας9[SupplierID],Πίνακας9[SupplierName])</f>
        <v>Tokyo Traders</v>
      </c>
      <c r="Q330" s="21">
        <f>_xlfn.XLOOKUP(tbl_FACTS[[#This Row],[ProductID]],Πίνακας7[ProductID],Πίνακας7[Price])</f>
        <v>10</v>
      </c>
      <c r="R330" s="21">
        <f>tbl_FACTS[[#This Row],[Quantity]]*tbl_FACTS[[#This Row],[Price]]</f>
        <v>200</v>
      </c>
      <c r="S330" s="19">
        <f>IF(COUNTIFS(tbl_FACTS[OrderID],tbl_FACTS[[#This Row],[OrderID]],tbl_FACTS[OrderDetailID],"&lt;"&amp;tbl_FACTS[[#This Row],[OrderDetailID]])=0,1,0)</f>
        <v>0</v>
      </c>
      <c r="T330" s="19">
        <f>YEAR(tbl_FACTS[[#This Row],[OrderDate]])</f>
        <v>1996</v>
      </c>
      <c r="U330" s="22">
        <f>DATE(YEAR(tbl_FACTS[[#This Row],[OrderDate]]),MONTH(tbl_FACTS[[#This Row],[OrderDate]]),1)</f>
        <v>35400</v>
      </c>
      <c r="V330" s="22" t="str">
        <f>IF(tbl_FACTS[[#This Row],[Quantity]]&lt;=10,"0–10",IF(tbl_FACTS[[#This Row],[Quantity]]&lt;=20,"11–20",IF(tbl_FACTS[[#This Row],[Quantity]]&lt;=30,"21–30",IF(tbl_FACTS[[#This Row],[Quantity]]&lt;=40,"31–40",IF(tbl_FACTS[[#This Row],[Quantity]]&lt;=50,"41–50","51+")))))</f>
        <v>11–20</v>
      </c>
    </row>
    <row r="331" spans="1:22">
      <c r="A331">
        <v>330</v>
      </c>
      <c r="B331">
        <v>10371</v>
      </c>
      <c r="C331">
        <v>36</v>
      </c>
      <c r="D331" s="19">
        <v>6</v>
      </c>
      <c r="E331" s="20">
        <f>_xlfn.XLOOKUP(tbl_FACTS[[#This Row],[OrderID]],Πίνακας64[OrderID],Πίνακας64[OrderDate])</f>
        <v>35402</v>
      </c>
      <c r="F331">
        <f>_xlfn.XLOOKUP(tbl_FACTS[[#This Row],[OrderID]],Πίνακας64[OrderID],Πίνακας64[CustomerID])</f>
        <v>41</v>
      </c>
      <c r="G331" t="str">
        <f>_xlfn.XLOOKUP(tbl_FACTS[[#This Row],[CustomerID]],Πίνακας1[CustomerID],Πίνακας1[CustomerName])</f>
        <v>La maison d''Asie</v>
      </c>
      <c r="H331" t="str">
        <f>_xlfn.XLOOKUP(tbl_FACTS[[#This Row],[CustomerID]],Πίνακας1[CustomerID],Πίνακας1[Country])</f>
        <v>France</v>
      </c>
      <c r="I331">
        <f>_xlfn.XLOOKUP(tbl_FACTS[[#This Row],[OrderID]],Πίνακας64[OrderID],Πίνακας64[EmployeeID])</f>
        <v>1</v>
      </c>
      <c r="J331">
        <f>_xlfn.XLOOKUP(tbl_FACTS[[#This Row],[OrderID]],Πίνακας64[OrderID],Πίνακας64[ShipperID])</f>
        <v>1</v>
      </c>
      <c r="K331" t="str">
        <f>_xlfn.XLOOKUP(tbl_FACTS[[#This Row],[ShipperID]],Πίνακας8[ShipperID],Πίνακας8[ShipperName])</f>
        <v>Speedy Express</v>
      </c>
      <c r="L331" t="str">
        <f>_xlfn.XLOOKUP(tbl_FACTS[[#This Row],[ProductID]],Πίνακας7[ProductID],Πίνακας7[ProductName])</f>
        <v>Inlagd Sill</v>
      </c>
      <c r="M331">
        <f>_xlfn.XLOOKUP(tbl_FACTS[[#This Row],[ProductID]],Πίνακας7[ProductID],Πίνακας7[CategoryID])</f>
        <v>8</v>
      </c>
      <c r="N331" t="str">
        <f>_xlfn.XLOOKUP(tbl_FACTS[[#This Row],[CategoryID]],Πίνακας4[CategoryID],Πίνακας4[CategoryName])</f>
        <v>Seafood</v>
      </c>
      <c r="O331">
        <f>_xlfn.XLOOKUP(tbl_FACTS[[#This Row],[ProductID]],Πίνακας7[ProductID],Πίνακας7[SupplierID])</f>
        <v>17</v>
      </c>
      <c r="P331" t="str">
        <f>_xlfn.XLOOKUP(tbl_FACTS[[#This Row],[SupplierID]],Πίνακας9[SupplierID],Πίνακας9[SupplierName])</f>
        <v>Svensk Sjofoda AB</v>
      </c>
      <c r="Q331" s="21">
        <f>_xlfn.XLOOKUP(tbl_FACTS[[#This Row],[ProductID]],Πίνακας7[ProductID],Πίνακας7[Price])</f>
        <v>19</v>
      </c>
      <c r="R331" s="21">
        <f>tbl_FACTS[[#This Row],[Quantity]]*tbl_FACTS[[#This Row],[Price]]</f>
        <v>114</v>
      </c>
      <c r="S331" s="19">
        <f>IF(COUNTIFS(tbl_FACTS[OrderID],tbl_FACTS[[#This Row],[OrderID]],tbl_FACTS[OrderDetailID],"&lt;"&amp;tbl_FACTS[[#This Row],[OrderDetailID]])=0,1,0)</f>
        <v>1</v>
      </c>
      <c r="T331" s="19">
        <f>YEAR(tbl_FACTS[[#This Row],[OrderDate]])</f>
        <v>1996</v>
      </c>
      <c r="U331" s="22">
        <f>DATE(YEAR(tbl_FACTS[[#This Row],[OrderDate]]),MONTH(tbl_FACTS[[#This Row],[OrderDate]]),1)</f>
        <v>35400</v>
      </c>
      <c r="V331" s="22" t="str">
        <f>IF(tbl_FACTS[[#This Row],[Quantity]]&lt;=10,"0–10",IF(tbl_FACTS[[#This Row],[Quantity]]&lt;=20,"11–20",IF(tbl_FACTS[[#This Row],[Quantity]]&lt;=30,"21–30",IF(tbl_FACTS[[#This Row],[Quantity]]&lt;=40,"31–40",IF(tbl_FACTS[[#This Row],[Quantity]]&lt;=50,"41–50","51+")))))</f>
        <v>0–10</v>
      </c>
    </row>
    <row r="332" spans="1:22">
      <c r="A332">
        <v>331</v>
      </c>
      <c r="B332">
        <v>10372</v>
      </c>
      <c r="C332">
        <v>20</v>
      </c>
      <c r="D332" s="19">
        <v>12</v>
      </c>
      <c r="E332" s="20">
        <f>_xlfn.XLOOKUP(tbl_FACTS[[#This Row],[OrderID]],Πίνακας64[OrderID],Πίνακας64[OrderDate])</f>
        <v>35403</v>
      </c>
      <c r="F332">
        <f>_xlfn.XLOOKUP(tbl_FACTS[[#This Row],[OrderID]],Πίνακας64[OrderID],Πίνακας64[CustomerID])</f>
        <v>62</v>
      </c>
      <c r="G332" t="str">
        <f>_xlfn.XLOOKUP(tbl_FACTS[[#This Row],[CustomerID]],Πίνακας1[CustomerID],Πίνακας1[CustomerName])</f>
        <v>Queen Cozinha</v>
      </c>
      <c r="H332" t="str">
        <f>_xlfn.XLOOKUP(tbl_FACTS[[#This Row],[CustomerID]],Πίνακας1[CustomerID],Πίνακας1[Country])</f>
        <v>Brazil</v>
      </c>
      <c r="I332">
        <f>_xlfn.XLOOKUP(tbl_FACTS[[#This Row],[OrderID]],Πίνακας64[OrderID],Πίνακας64[EmployeeID])</f>
        <v>5</v>
      </c>
      <c r="J332">
        <f>_xlfn.XLOOKUP(tbl_FACTS[[#This Row],[OrderID]],Πίνακας64[OrderID],Πίνακας64[ShipperID])</f>
        <v>2</v>
      </c>
      <c r="K332" t="str">
        <f>_xlfn.XLOOKUP(tbl_FACTS[[#This Row],[ShipperID]],Πίνακας8[ShipperID],Πίνακας8[ShipperName])</f>
        <v>United Package</v>
      </c>
      <c r="L332" t="str">
        <f>_xlfn.XLOOKUP(tbl_FACTS[[#This Row],[ProductID]],Πίνακας7[ProductID],Πίνακας7[ProductName])</f>
        <v>Sir Rodney's Marmalade</v>
      </c>
      <c r="M332">
        <f>_xlfn.XLOOKUP(tbl_FACTS[[#This Row],[ProductID]],Πίνακας7[ProductID],Πίνακας7[CategoryID])</f>
        <v>3</v>
      </c>
      <c r="N332" t="str">
        <f>_xlfn.XLOOKUP(tbl_FACTS[[#This Row],[CategoryID]],Πίνακας4[CategoryID],Πίνακας4[CategoryName])</f>
        <v>Confections</v>
      </c>
      <c r="O332">
        <f>_xlfn.XLOOKUP(tbl_FACTS[[#This Row],[ProductID]],Πίνακας7[ProductID],Πίνακας7[SupplierID])</f>
        <v>8</v>
      </c>
      <c r="P332" t="str">
        <f>_xlfn.XLOOKUP(tbl_FACTS[[#This Row],[SupplierID]],Πίνακας9[SupplierID],Πίνακας9[SupplierName])</f>
        <v>Specialty Biscuits, Ltd.</v>
      </c>
      <c r="Q332" s="21">
        <f>_xlfn.XLOOKUP(tbl_FACTS[[#This Row],[ProductID]],Πίνακας7[ProductID],Πίνακας7[Price])</f>
        <v>81</v>
      </c>
      <c r="R332" s="21">
        <f>tbl_FACTS[[#This Row],[Quantity]]*tbl_FACTS[[#This Row],[Price]]</f>
        <v>972</v>
      </c>
      <c r="S332" s="19">
        <f>IF(COUNTIFS(tbl_FACTS[OrderID],tbl_FACTS[[#This Row],[OrderID]],tbl_FACTS[OrderDetailID],"&lt;"&amp;tbl_FACTS[[#This Row],[OrderDetailID]])=0,1,0)</f>
        <v>1</v>
      </c>
      <c r="T332" s="19">
        <f>YEAR(tbl_FACTS[[#This Row],[OrderDate]])</f>
        <v>1996</v>
      </c>
      <c r="U332" s="22">
        <f>DATE(YEAR(tbl_FACTS[[#This Row],[OrderDate]]),MONTH(tbl_FACTS[[#This Row],[OrderDate]]),1)</f>
        <v>35400</v>
      </c>
      <c r="V332" s="22" t="str">
        <f>IF(tbl_FACTS[[#This Row],[Quantity]]&lt;=10,"0–10",IF(tbl_FACTS[[#This Row],[Quantity]]&lt;=20,"11–20",IF(tbl_FACTS[[#This Row],[Quantity]]&lt;=30,"21–30",IF(tbl_FACTS[[#This Row],[Quantity]]&lt;=40,"31–40",IF(tbl_FACTS[[#This Row],[Quantity]]&lt;=50,"41–50","51+")))))</f>
        <v>11–20</v>
      </c>
    </row>
    <row r="333" spans="1:22">
      <c r="A333">
        <v>332</v>
      </c>
      <c r="B333">
        <v>10372</v>
      </c>
      <c r="C333">
        <v>38</v>
      </c>
      <c r="D333" s="19">
        <v>40</v>
      </c>
      <c r="E333" s="20">
        <f>_xlfn.XLOOKUP(tbl_FACTS[[#This Row],[OrderID]],Πίνακας64[OrderID],Πίνακας64[OrderDate])</f>
        <v>35403</v>
      </c>
      <c r="F333">
        <f>_xlfn.XLOOKUP(tbl_FACTS[[#This Row],[OrderID]],Πίνακας64[OrderID],Πίνακας64[CustomerID])</f>
        <v>62</v>
      </c>
      <c r="G333" t="str">
        <f>_xlfn.XLOOKUP(tbl_FACTS[[#This Row],[CustomerID]],Πίνακας1[CustomerID],Πίνακας1[CustomerName])</f>
        <v>Queen Cozinha</v>
      </c>
      <c r="H333" t="str">
        <f>_xlfn.XLOOKUP(tbl_FACTS[[#This Row],[CustomerID]],Πίνακας1[CustomerID],Πίνακας1[Country])</f>
        <v>Brazil</v>
      </c>
      <c r="I333">
        <f>_xlfn.XLOOKUP(tbl_FACTS[[#This Row],[OrderID]],Πίνακας64[OrderID],Πίνακας64[EmployeeID])</f>
        <v>5</v>
      </c>
      <c r="J333">
        <f>_xlfn.XLOOKUP(tbl_FACTS[[#This Row],[OrderID]],Πίνακας64[OrderID],Πίνακας64[ShipperID])</f>
        <v>2</v>
      </c>
      <c r="K333" t="str">
        <f>_xlfn.XLOOKUP(tbl_FACTS[[#This Row],[ShipperID]],Πίνακας8[ShipperID],Πίνακας8[ShipperName])</f>
        <v>United Package</v>
      </c>
      <c r="L333" t="str">
        <f>_xlfn.XLOOKUP(tbl_FACTS[[#This Row],[ProductID]],Πίνακας7[ProductID],Πίνακας7[ProductName])</f>
        <v>Cote de Blaye</v>
      </c>
      <c r="M333">
        <f>_xlfn.XLOOKUP(tbl_FACTS[[#This Row],[ProductID]],Πίνακας7[ProductID],Πίνακας7[CategoryID])</f>
        <v>1</v>
      </c>
      <c r="N333" t="str">
        <f>_xlfn.XLOOKUP(tbl_FACTS[[#This Row],[CategoryID]],Πίνακας4[CategoryID],Πίνακας4[CategoryName])</f>
        <v>Beverages</v>
      </c>
      <c r="O333">
        <f>_xlfn.XLOOKUP(tbl_FACTS[[#This Row],[ProductID]],Πίνακας7[ProductID],Πίνακας7[SupplierID])</f>
        <v>18</v>
      </c>
      <c r="P333" t="str">
        <f>_xlfn.XLOOKUP(tbl_FACTS[[#This Row],[SupplierID]],Πίνακας9[SupplierID],Πίνακας9[SupplierName])</f>
        <v>Aux joyeux ecclesiastiques</v>
      </c>
      <c r="Q333" s="21">
        <f>_xlfn.XLOOKUP(tbl_FACTS[[#This Row],[ProductID]],Πίνακας7[ProductID],Πίνακας7[Price])</f>
        <v>264</v>
      </c>
      <c r="R333" s="21">
        <f>tbl_FACTS[[#This Row],[Quantity]]*tbl_FACTS[[#This Row],[Price]]</f>
        <v>10560</v>
      </c>
      <c r="S333" s="19">
        <f>IF(COUNTIFS(tbl_FACTS[OrderID],tbl_FACTS[[#This Row],[OrderID]],tbl_FACTS[OrderDetailID],"&lt;"&amp;tbl_FACTS[[#This Row],[OrderDetailID]])=0,1,0)</f>
        <v>0</v>
      </c>
      <c r="T333" s="19">
        <f>YEAR(tbl_FACTS[[#This Row],[OrderDate]])</f>
        <v>1996</v>
      </c>
      <c r="U333" s="22">
        <f>DATE(YEAR(tbl_FACTS[[#This Row],[OrderDate]]),MONTH(tbl_FACTS[[#This Row],[OrderDate]]),1)</f>
        <v>35400</v>
      </c>
      <c r="V333" s="22" t="str">
        <f>IF(tbl_FACTS[[#This Row],[Quantity]]&lt;=10,"0–10",IF(tbl_FACTS[[#This Row],[Quantity]]&lt;=20,"11–20",IF(tbl_FACTS[[#This Row],[Quantity]]&lt;=30,"21–30",IF(tbl_FACTS[[#This Row],[Quantity]]&lt;=40,"31–40",IF(tbl_FACTS[[#This Row],[Quantity]]&lt;=50,"41–50","51+")))))</f>
        <v>31–40</v>
      </c>
    </row>
    <row r="334" spans="1:22">
      <c r="A334">
        <v>333</v>
      </c>
      <c r="B334">
        <v>10372</v>
      </c>
      <c r="C334">
        <v>60</v>
      </c>
      <c r="D334" s="19">
        <v>70</v>
      </c>
      <c r="E334" s="20">
        <f>_xlfn.XLOOKUP(tbl_FACTS[[#This Row],[OrderID]],Πίνακας64[OrderID],Πίνακας64[OrderDate])</f>
        <v>35403</v>
      </c>
      <c r="F334">
        <f>_xlfn.XLOOKUP(tbl_FACTS[[#This Row],[OrderID]],Πίνακας64[OrderID],Πίνακας64[CustomerID])</f>
        <v>62</v>
      </c>
      <c r="G334" t="str">
        <f>_xlfn.XLOOKUP(tbl_FACTS[[#This Row],[CustomerID]],Πίνακας1[CustomerID],Πίνακας1[CustomerName])</f>
        <v>Queen Cozinha</v>
      </c>
      <c r="H334" t="str">
        <f>_xlfn.XLOOKUP(tbl_FACTS[[#This Row],[CustomerID]],Πίνακας1[CustomerID],Πίνακας1[Country])</f>
        <v>Brazil</v>
      </c>
      <c r="I334">
        <f>_xlfn.XLOOKUP(tbl_FACTS[[#This Row],[OrderID]],Πίνακας64[OrderID],Πίνακας64[EmployeeID])</f>
        <v>5</v>
      </c>
      <c r="J334">
        <f>_xlfn.XLOOKUP(tbl_FACTS[[#This Row],[OrderID]],Πίνακας64[OrderID],Πίνακας64[ShipperID])</f>
        <v>2</v>
      </c>
      <c r="K334" t="str">
        <f>_xlfn.XLOOKUP(tbl_FACTS[[#This Row],[ShipperID]],Πίνακας8[ShipperID],Πίνακας8[ShipperName])</f>
        <v>United Package</v>
      </c>
      <c r="L334" t="str">
        <f>_xlfn.XLOOKUP(tbl_FACTS[[#This Row],[ProductID]],Πίνακας7[ProductID],Πίνακας7[ProductName])</f>
        <v>Camembert Pierrot</v>
      </c>
      <c r="M334">
        <f>_xlfn.XLOOKUP(tbl_FACTS[[#This Row],[ProductID]],Πίνακας7[ProductID],Πίνακας7[CategoryID])</f>
        <v>4</v>
      </c>
      <c r="N334" t="str">
        <f>_xlfn.XLOOKUP(tbl_FACTS[[#This Row],[CategoryID]],Πίνακας4[CategoryID],Πίνακας4[CategoryName])</f>
        <v>Dairy Products</v>
      </c>
      <c r="O334">
        <f>_xlfn.XLOOKUP(tbl_FACTS[[#This Row],[ProductID]],Πίνακας7[ProductID],Πίνακας7[SupplierID])</f>
        <v>28</v>
      </c>
      <c r="P334" t="str">
        <f>_xlfn.XLOOKUP(tbl_FACTS[[#This Row],[SupplierID]],Πίνακας9[SupplierID],Πίνακας9[SupplierName])</f>
        <v>Gai paturage</v>
      </c>
      <c r="Q334" s="21">
        <f>_xlfn.XLOOKUP(tbl_FACTS[[#This Row],[ProductID]],Πίνακας7[ProductID],Πίνακας7[Price])</f>
        <v>34</v>
      </c>
      <c r="R334" s="21">
        <f>tbl_FACTS[[#This Row],[Quantity]]*tbl_FACTS[[#This Row],[Price]]</f>
        <v>2380</v>
      </c>
      <c r="S334" s="19">
        <f>IF(COUNTIFS(tbl_FACTS[OrderID],tbl_FACTS[[#This Row],[OrderID]],tbl_FACTS[OrderDetailID],"&lt;"&amp;tbl_FACTS[[#This Row],[OrderDetailID]])=0,1,0)</f>
        <v>0</v>
      </c>
      <c r="T334" s="19">
        <f>YEAR(tbl_FACTS[[#This Row],[OrderDate]])</f>
        <v>1996</v>
      </c>
      <c r="U334" s="22">
        <f>DATE(YEAR(tbl_FACTS[[#This Row],[OrderDate]]),MONTH(tbl_FACTS[[#This Row],[OrderDate]]),1)</f>
        <v>35400</v>
      </c>
      <c r="V334" s="22" t="str">
        <f>IF(tbl_FACTS[[#This Row],[Quantity]]&lt;=10,"0–10",IF(tbl_FACTS[[#This Row],[Quantity]]&lt;=20,"11–20",IF(tbl_FACTS[[#This Row],[Quantity]]&lt;=30,"21–30",IF(tbl_FACTS[[#This Row],[Quantity]]&lt;=40,"31–40",IF(tbl_FACTS[[#This Row],[Quantity]]&lt;=50,"41–50","51+")))))</f>
        <v>51+</v>
      </c>
    </row>
    <row r="335" spans="1:22">
      <c r="A335">
        <v>334</v>
      </c>
      <c r="B335">
        <v>10372</v>
      </c>
      <c r="C335">
        <v>72</v>
      </c>
      <c r="D335" s="19">
        <v>42</v>
      </c>
      <c r="E335" s="20">
        <f>_xlfn.XLOOKUP(tbl_FACTS[[#This Row],[OrderID]],Πίνακας64[OrderID],Πίνακας64[OrderDate])</f>
        <v>35403</v>
      </c>
      <c r="F335">
        <f>_xlfn.XLOOKUP(tbl_FACTS[[#This Row],[OrderID]],Πίνακας64[OrderID],Πίνακας64[CustomerID])</f>
        <v>62</v>
      </c>
      <c r="G335" t="str">
        <f>_xlfn.XLOOKUP(tbl_FACTS[[#This Row],[CustomerID]],Πίνακας1[CustomerID],Πίνακας1[CustomerName])</f>
        <v>Queen Cozinha</v>
      </c>
      <c r="H335" t="str">
        <f>_xlfn.XLOOKUP(tbl_FACTS[[#This Row],[CustomerID]],Πίνακας1[CustomerID],Πίνακας1[Country])</f>
        <v>Brazil</v>
      </c>
      <c r="I335">
        <f>_xlfn.XLOOKUP(tbl_FACTS[[#This Row],[OrderID]],Πίνακας64[OrderID],Πίνακας64[EmployeeID])</f>
        <v>5</v>
      </c>
      <c r="J335">
        <f>_xlfn.XLOOKUP(tbl_FACTS[[#This Row],[OrderID]],Πίνακας64[OrderID],Πίνακας64[ShipperID])</f>
        <v>2</v>
      </c>
      <c r="K335" t="str">
        <f>_xlfn.XLOOKUP(tbl_FACTS[[#This Row],[ShipperID]],Πίνακας8[ShipperID],Πίνακας8[ShipperName])</f>
        <v>United Package</v>
      </c>
      <c r="L335" t="str">
        <f>_xlfn.XLOOKUP(tbl_FACTS[[#This Row],[ProductID]],Πίνακας7[ProductID],Πίνακας7[ProductName])</f>
        <v>Mozzarella di Giovanni</v>
      </c>
      <c r="M335">
        <f>_xlfn.XLOOKUP(tbl_FACTS[[#This Row],[ProductID]],Πίνακας7[ProductID],Πίνακας7[CategoryID])</f>
        <v>4</v>
      </c>
      <c r="N335" t="str">
        <f>_xlfn.XLOOKUP(tbl_FACTS[[#This Row],[CategoryID]],Πίνακας4[CategoryID],Πίνακας4[CategoryName])</f>
        <v>Dairy Products</v>
      </c>
      <c r="O335">
        <f>_xlfn.XLOOKUP(tbl_FACTS[[#This Row],[ProductID]],Πίνακας7[ProductID],Πίνακας7[SupplierID])</f>
        <v>14</v>
      </c>
      <c r="P335" t="str">
        <f>_xlfn.XLOOKUP(tbl_FACTS[[#This Row],[SupplierID]],Πίνακας9[SupplierID],Πίνακας9[SupplierName])</f>
        <v>Formaggi Fortini s.r.l.</v>
      </c>
      <c r="Q335" s="21">
        <f>_xlfn.XLOOKUP(tbl_FACTS[[#This Row],[ProductID]],Πίνακας7[ProductID],Πίνακας7[Price])</f>
        <v>35</v>
      </c>
      <c r="R335" s="21">
        <f>tbl_FACTS[[#This Row],[Quantity]]*tbl_FACTS[[#This Row],[Price]]</f>
        <v>1470</v>
      </c>
      <c r="S335" s="19">
        <f>IF(COUNTIFS(tbl_FACTS[OrderID],tbl_FACTS[[#This Row],[OrderID]],tbl_FACTS[OrderDetailID],"&lt;"&amp;tbl_FACTS[[#This Row],[OrderDetailID]])=0,1,0)</f>
        <v>0</v>
      </c>
      <c r="T335" s="19">
        <f>YEAR(tbl_FACTS[[#This Row],[OrderDate]])</f>
        <v>1996</v>
      </c>
      <c r="U335" s="22">
        <f>DATE(YEAR(tbl_FACTS[[#This Row],[OrderDate]]),MONTH(tbl_FACTS[[#This Row],[OrderDate]]),1)</f>
        <v>35400</v>
      </c>
      <c r="V335" s="22" t="str">
        <f>IF(tbl_FACTS[[#This Row],[Quantity]]&lt;=10,"0–10",IF(tbl_FACTS[[#This Row],[Quantity]]&lt;=20,"11–20",IF(tbl_FACTS[[#This Row],[Quantity]]&lt;=30,"21–30",IF(tbl_FACTS[[#This Row],[Quantity]]&lt;=40,"31–40",IF(tbl_FACTS[[#This Row],[Quantity]]&lt;=50,"41–50","51+")))))</f>
        <v>41–50</v>
      </c>
    </row>
    <row r="336" spans="1:22">
      <c r="A336">
        <v>335</v>
      </c>
      <c r="B336">
        <v>10373</v>
      </c>
      <c r="C336">
        <v>58</v>
      </c>
      <c r="D336" s="19">
        <v>80</v>
      </c>
      <c r="E336" s="20">
        <f>_xlfn.XLOOKUP(tbl_FACTS[[#This Row],[OrderID]],Πίνακας64[OrderID],Πίνακας64[OrderDate])</f>
        <v>35404</v>
      </c>
      <c r="F336">
        <f>_xlfn.XLOOKUP(tbl_FACTS[[#This Row],[OrderID]],Πίνακας64[OrderID],Πίνακας64[CustomerID])</f>
        <v>37</v>
      </c>
      <c r="G336" t="str">
        <f>_xlfn.XLOOKUP(tbl_FACTS[[#This Row],[CustomerID]],Πίνακας1[CustomerID],Πίνακας1[CustomerName])</f>
        <v>Hungry Owl All-Night Grocers</v>
      </c>
      <c r="H336" t="str">
        <f>_xlfn.XLOOKUP(tbl_FACTS[[#This Row],[CustomerID]],Πίνακας1[CustomerID],Πίνακας1[Country])</f>
        <v>Ireland</v>
      </c>
      <c r="I336">
        <f>_xlfn.XLOOKUP(tbl_FACTS[[#This Row],[OrderID]],Πίνακας64[OrderID],Πίνακας64[EmployeeID])</f>
        <v>4</v>
      </c>
      <c r="J336">
        <f>_xlfn.XLOOKUP(tbl_FACTS[[#This Row],[OrderID]],Πίνακας64[OrderID],Πίνακας64[ShipperID])</f>
        <v>3</v>
      </c>
      <c r="K336" t="str">
        <f>_xlfn.XLOOKUP(tbl_FACTS[[#This Row],[ShipperID]],Πίνακας8[ShipperID],Πίνακας8[ShipperName])</f>
        <v>Federal Shipping</v>
      </c>
      <c r="L336" t="str">
        <f>_xlfn.XLOOKUP(tbl_FACTS[[#This Row],[ProductID]],Πίνακας7[ProductID],Πίνακας7[ProductName])</f>
        <v>Escargots de Bourgogne</v>
      </c>
      <c r="M336">
        <f>_xlfn.XLOOKUP(tbl_FACTS[[#This Row],[ProductID]],Πίνακας7[ProductID],Πίνακας7[CategoryID])</f>
        <v>8</v>
      </c>
      <c r="N336" t="str">
        <f>_xlfn.XLOOKUP(tbl_FACTS[[#This Row],[CategoryID]],Πίνακας4[CategoryID],Πίνακας4[CategoryName])</f>
        <v>Seafood</v>
      </c>
      <c r="O336">
        <f>_xlfn.XLOOKUP(tbl_FACTS[[#This Row],[ProductID]],Πίνακας7[ProductID],Πίνακας7[SupplierID])</f>
        <v>27</v>
      </c>
      <c r="P336" t="str">
        <f>_xlfn.XLOOKUP(tbl_FACTS[[#This Row],[SupplierID]],Πίνακας9[SupplierID],Πίνακας9[SupplierName])</f>
        <v>Escargots Nouveaux</v>
      </c>
      <c r="Q336" s="21">
        <f>_xlfn.XLOOKUP(tbl_FACTS[[#This Row],[ProductID]],Πίνακας7[ProductID],Πίνακας7[Price])</f>
        <v>13</v>
      </c>
      <c r="R336" s="21">
        <f>tbl_FACTS[[#This Row],[Quantity]]*tbl_FACTS[[#This Row],[Price]]</f>
        <v>1040</v>
      </c>
      <c r="S336" s="19">
        <f>IF(COUNTIFS(tbl_FACTS[OrderID],tbl_FACTS[[#This Row],[OrderID]],tbl_FACTS[OrderDetailID],"&lt;"&amp;tbl_FACTS[[#This Row],[OrderDetailID]])=0,1,0)</f>
        <v>1</v>
      </c>
      <c r="T336" s="19">
        <f>YEAR(tbl_FACTS[[#This Row],[OrderDate]])</f>
        <v>1996</v>
      </c>
      <c r="U336" s="22">
        <f>DATE(YEAR(tbl_FACTS[[#This Row],[OrderDate]]),MONTH(tbl_FACTS[[#This Row],[OrderDate]]),1)</f>
        <v>35400</v>
      </c>
      <c r="V336" s="22" t="str">
        <f>IF(tbl_FACTS[[#This Row],[Quantity]]&lt;=10,"0–10",IF(tbl_FACTS[[#This Row],[Quantity]]&lt;=20,"11–20",IF(tbl_FACTS[[#This Row],[Quantity]]&lt;=30,"21–30",IF(tbl_FACTS[[#This Row],[Quantity]]&lt;=40,"31–40",IF(tbl_FACTS[[#This Row],[Quantity]]&lt;=50,"41–50","51+")))))</f>
        <v>51+</v>
      </c>
    </row>
    <row r="337" spans="1:22">
      <c r="A337">
        <v>336</v>
      </c>
      <c r="B337">
        <v>10373</v>
      </c>
      <c r="C337">
        <v>71</v>
      </c>
      <c r="D337" s="19">
        <v>50</v>
      </c>
      <c r="E337" s="20">
        <f>_xlfn.XLOOKUP(tbl_FACTS[[#This Row],[OrderID]],Πίνακας64[OrderID],Πίνακας64[OrderDate])</f>
        <v>35404</v>
      </c>
      <c r="F337">
        <f>_xlfn.XLOOKUP(tbl_FACTS[[#This Row],[OrderID]],Πίνακας64[OrderID],Πίνακας64[CustomerID])</f>
        <v>37</v>
      </c>
      <c r="G337" t="str">
        <f>_xlfn.XLOOKUP(tbl_FACTS[[#This Row],[CustomerID]],Πίνακας1[CustomerID],Πίνακας1[CustomerName])</f>
        <v>Hungry Owl All-Night Grocers</v>
      </c>
      <c r="H337" t="str">
        <f>_xlfn.XLOOKUP(tbl_FACTS[[#This Row],[CustomerID]],Πίνακας1[CustomerID],Πίνακας1[Country])</f>
        <v>Ireland</v>
      </c>
      <c r="I337">
        <f>_xlfn.XLOOKUP(tbl_FACTS[[#This Row],[OrderID]],Πίνακας64[OrderID],Πίνακας64[EmployeeID])</f>
        <v>4</v>
      </c>
      <c r="J337">
        <f>_xlfn.XLOOKUP(tbl_FACTS[[#This Row],[OrderID]],Πίνακας64[OrderID],Πίνακας64[ShipperID])</f>
        <v>3</v>
      </c>
      <c r="K337" t="str">
        <f>_xlfn.XLOOKUP(tbl_FACTS[[#This Row],[ShipperID]],Πίνακας8[ShipperID],Πίνακας8[ShipperName])</f>
        <v>Federal Shipping</v>
      </c>
      <c r="L337" t="str">
        <f>_xlfn.XLOOKUP(tbl_FACTS[[#This Row],[ProductID]],Πίνακας7[ProductID],Πίνακας7[ProductName])</f>
        <v>Fl├©temysost</v>
      </c>
      <c r="M337">
        <f>_xlfn.XLOOKUP(tbl_FACTS[[#This Row],[ProductID]],Πίνακας7[ProductID],Πίνακας7[CategoryID])</f>
        <v>4</v>
      </c>
      <c r="N337" t="str">
        <f>_xlfn.XLOOKUP(tbl_FACTS[[#This Row],[CategoryID]],Πίνακας4[CategoryID],Πίνακας4[CategoryName])</f>
        <v>Dairy Products</v>
      </c>
      <c r="O337">
        <f>_xlfn.XLOOKUP(tbl_FACTS[[#This Row],[ProductID]],Πίνακας7[ProductID],Πίνακας7[SupplierID])</f>
        <v>15</v>
      </c>
      <c r="P337" t="str">
        <f>_xlfn.XLOOKUP(tbl_FACTS[[#This Row],[SupplierID]],Πίνακας9[SupplierID],Πίνακας9[SupplierName])</f>
        <v>Norske Meierier</v>
      </c>
      <c r="Q337" s="21">
        <f>_xlfn.XLOOKUP(tbl_FACTS[[#This Row],[ProductID]],Πίνακας7[ProductID],Πίνακας7[Price])</f>
        <v>22</v>
      </c>
      <c r="R337" s="21">
        <f>tbl_FACTS[[#This Row],[Quantity]]*tbl_FACTS[[#This Row],[Price]]</f>
        <v>1100</v>
      </c>
      <c r="S337" s="19">
        <f>IF(COUNTIFS(tbl_FACTS[OrderID],tbl_FACTS[[#This Row],[OrderID]],tbl_FACTS[OrderDetailID],"&lt;"&amp;tbl_FACTS[[#This Row],[OrderDetailID]])=0,1,0)</f>
        <v>0</v>
      </c>
      <c r="T337" s="19">
        <f>YEAR(tbl_FACTS[[#This Row],[OrderDate]])</f>
        <v>1996</v>
      </c>
      <c r="U337" s="22">
        <f>DATE(YEAR(tbl_FACTS[[#This Row],[OrderDate]]),MONTH(tbl_FACTS[[#This Row],[OrderDate]]),1)</f>
        <v>35400</v>
      </c>
      <c r="V337" s="22" t="str">
        <f>IF(tbl_FACTS[[#This Row],[Quantity]]&lt;=10,"0–10",IF(tbl_FACTS[[#This Row],[Quantity]]&lt;=20,"11–20",IF(tbl_FACTS[[#This Row],[Quantity]]&lt;=30,"21–30",IF(tbl_FACTS[[#This Row],[Quantity]]&lt;=40,"31–40",IF(tbl_FACTS[[#This Row],[Quantity]]&lt;=50,"41–50","51+")))))</f>
        <v>41–50</v>
      </c>
    </row>
    <row r="338" spans="1:22">
      <c r="A338">
        <v>337</v>
      </c>
      <c r="B338">
        <v>10374</v>
      </c>
      <c r="C338">
        <v>31</v>
      </c>
      <c r="D338" s="19">
        <v>30</v>
      </c>
      <c r="E338" s="20">
        <f>_xlfn.XLOOKUP(tbl_FACTS[[#This Row],[OrderID]],Πίνακας64[OrderID],Πίνακας64[OrderDate])</f>
        <v>35404</v>
      </c>
      <c r="F338">
        <f>_xlfn.XLOOKUP(tbl_FACTS[[#This Row],[OrderID]],Πίνακας64[OrderID],Πίνακας64[CustomerID])</f>
        <v>91</v>
      </c>
      <c r="G338" t="str">
        <f>_xlfn.XLOOKUP(tbl_FACTS[[#This Row],[CustomerID]],Πίνακας1[CustomerID],Πίνακας1[CustomerName])</f>
        <v>Wolski</v>
      </c>
      <c r="H338" t="str">
        <f>_xlfn.XLOOKUP(tbl_FACTS[[#This Row],[CustomerID]],Πίνακας1[CustomerID],Πίνακας1[Country])</f>
        <v>Poland</v>
      </c>
      <c r="I338">
        <f>_xlfn.XLOOKUP(tbl_FACTS[[#This Row],[OrderID]],Πίνακας64[OrderID],Πίνακας64[EmployeeID])</f>
        <v>1</v>
      </c>
      <c r="J338">
        <f>_xlfn.XLOOKUP(tbl_FACTS[[#This Row],[OrderID]],Πίνακας64[OrderID],Πίνακας64[ShipperID])</f>
        <v>3</v>
      </c>
      <c r="K338" t="str">
        <f>_xlfn.XLOOKUP(tbl_FACTS[[#This Row],[ShipperID]],Πίνακας8[ShipperID],Πίνακας8[ShipperName])</f>
        <v>Federal Shipping</v>
      </c>
      <c r="L338" t="str">
        <f>_xlfn.XLOOKUP(tbl_FACTS[[#This Row],[ProductID]],Πίνακας7[ProductID],Πίνακας7[ProductName])</f>
        <v>Gorgonzola Telino</v>
      </c>
      <c r="M338">
        <f>_xlfn.XLOOKUP(tbl_FACTS[[#This Row],[ProductID]],Πίνακας7[ProductID],Πίνακας7[CategoryID])</f>
        <v>4</v>
      </c>
      <c r="N338" t="str">
        <f>_xlfn.XLOOKUP(tbl_FACTS[[#This Row],[CategoryID]],Πίνακας4[CategoryID],Πίνακας4[CategoryName])</f>
        <v>Dairy Products</v>
      </c>
      <c r="O338">
        <f>_xlfn.XLOOKUP(tbl_FACTS[[#This Row],[ProductID]],Πίνακας7[ProductID],Πίνακας7[SupplierID])</f>
        <v>14</v>
      </c>
      <c r="P338" t="str">
        <f>_xlfn.XLOOKUP(tbl_FACTS[[#This Row],[SupplierID]],Πίνακας9[SupplierID],Πίνακας9[SupplierName])</f>
        <v>Formaggi Fortini s.r.l.</v>
      </c>
      <c r="Q338" s="21">
        <f>_xlfn.XLOOKUP(tbl_FACTS[[#This Row],[ProductID]],Πίνακας7[ProductID],Πίνακας7[Price])</f>
        <v>13</v>
      </c>
      <c r="R338" s="21">
        <f>tbl_FACTS[[#This Row],[Quantity]]*tbl_FACTS[[#This Row],[Price]]</f>
        <v>390</v>
      </c>
      <c r="S338" s="19">
        <f>IF(COUNTIFS(tbl_FACTS[OrderID],tbl_FACTS[[#This Row],[OrderID]],tbl_FACTS[OrderDetailID],"&lt;"&amp;tbl_FACTS[[#This Row],[OrderDetailID]])=0,1,0)</f>
        <v>1</v>
      </c>
      <c r="T338" s="19">
        <f>YEAR(tbl_FACTS[[#This Row],[OrderDate]])</f>
        <v>1996</v>
      </c>
      <c r="U338" s="22">
        <f>DATE(YEAR(tbl_FACTS[[#This Row],[OrderDate]]),MONTH(tbl_FACTS[[#This Row],[OrderDate]]),1)</f>
        <v>35400</v>
      </c>
      <c r="V338" s="22" t="str">
        <f>IF(tbl_FACTS[[#This Row],[Quantity]]&lt;=10,"0–10",IF(tbl_FACTS[[#This Row],[Quantity]]&lt;=20,"11–20",IF(tbl_FACTS[[#This Row],[Quantity]]&lt;=30,"21–30",IF(tbl_FACTS[[#This Row],[Quantity]]&lt;=40,"31–40",IF(tbl_FACTS[[#This Row],[Quantity]]&lt;=50,"41–50","51+")))))</f>
        <v>21–30</v>
      </c>
    </row>
    <row r="339" spans="1:22">
      <c r="A339">
        <v>338</v>
      </c>
      <c r="B339">
        <v>10374</v>
      </c>
      <c r="C339">
        <v>58</v>
      </c>
      <c r="D339" s="19">
        <v>15</v>
      </c>
      <c r="E339" s="20">
        <f>_xlfn.XLOOKUP(tbl_FACTS[[#This Row],[OrderID]],Πίνακας64[OrderID],Πίνακας64[OrderDate])</f>
        <v>35404</v>
      </c>
      <c r="F339">
        <f>_xlfn.XLOOKUP(tbl_FACTS[[#This Row],[OrderID]],Πίνακας64[OrderID],Πίνακας64[CustomerID])</f>
        <v>91</v>
      </c>
      <c r="G339" t="str">
        <f>_xlfn.XLOOKUP(tbl_FACTS[[#This Row],[CustomerID]],Πίνακας1[CustomerID],Πίνακας1[CustomerName])</f>
        <v>Wolski</v>
      </c>
      <c r="H339" t="str">
        <f>_xlfn.XLOOKUP(tbl_FACTS[[#This Row],[CustomerID]],Πίνακας1[CustomerID],Πίνακας1[Country])</f>
        <v>Poland</v>
      </c>
      <c r="I339">
        <f>_xlfn.XLOOKUP(tbl_FACTS[[#This Row],[OrderID]],Πίνακας64[OrderID],Πίνακας64[EmployeeID])</f>
        <v>1</v>
      </c>
      <c r="J339">
        <f>_xlfn.XLOOKUP(tbl_FACTS[[#This Row],[OrderID]],Πίνακας64[OrderID],Πίνακας64[ShipperID])</f>
        <v>3</v>
      </c>
      <c r="K339" t="str">
        <f>_xlfn.XLOOKUP(tbl_FACTS[[#This Row],[ShipperID]],Πίνακας8[ShipperID],Πίνακας8[ShipperName])</f>
        <v>Federal Shipping</v>
      </c>
      <c r="L339" t="str">
        <f>_xlfn.XLOOKUP(tbl_FACTS[[#This Row],[ProductID]],Πίνακας7[ProductID],Πίνακας7[ProductName])</f>
        <v>Escargots de Bourgogne</v>
      </c>
      <c r="M339">
        <f>_xlfn.XLOOKUP(tbl_FACTS[[#This Row],[ProductID]],Πίνακας7[ProductID],Πίνακας7[CategoryID])</f>
        <v>8</v>
      </c>
      <c r="N339" t="str">
        <f>_xlfn.XLOOKUP(tbl_FACTS[[#This Row],[CategoryID]],Πίνακας4[CategoryID],Πίνακας4[CategoryName])</f>
        <v>Seafood</v>
      </c>
      <c r="O339">
        <f>_xlfn.XLOOKUP(tbl_FACTS[[#This Row],[ProductID]],Πίνακας7[ProductID],Πίνακας7[SupplierID])</f>
        <v>27</v>
      </c>
      <c r="P339" t="str">
        <f>_xlfn.XLOOKUP(tbl_FACTS[[#This Row],[SupplierID]],Πίνακας9[SupplierID],Πίνακας9[SupplierName])</f>
        <v>Escargots Nouveaux</v>
      </c>
      <c r="Q339" s="21">
        <f>_xlfn.XLOOKUP(tbl_FACTS[[#This Row],[ProductID]],Πίνακας7[ProductID],Πίνακας7[Price])</f>
        <v>13</v>
      </c>
      <c r="R339" s="21">
        <f>tbl_FACTS[[#This Row],[Quantity]]*tbl_FACTS[[#This Row],[Price]]</f>
        <v>195</v>
      </c>
      <c r="S339" s="19">
        <f>IF(COUNTIFS(tbl_FACTS[OrderID],tbl_FACTS[[#This Row],[OrderID]],tbl_FACTS[OrderDetailID],"&lt;"&amp;tbl_FACTS[[#This Row],[OrderDetailID]])=0,1,0)</f>
        <v>0</v>
      </c>
      <c r="T339" s="19">
        <f>YEAR(tbl_FACTS[[#This Row],[OrderDate]])</f>
        <v>1996</v>
      </c>
      <c r="U339" s="22">
        <f>DATE(YEAR(tbl_FACTS[[#This Row],[OrderDate]]),MONTH(tbl_FACTS[[#This Row],[OrderDate]]),1)</f>
        <v>35400</v>
      </c>
      <c r="V339" s="22" t="str">
        <f>IF(tbl_FACTS[[#This Row],[Quantity]]&lt;=10,"0–10",IF(tbl_FACTS[[#This Row],[Quantity]]&lt;=20,"11–20",IF(tbl_FACTS[[#This Row],[Quantity]]&lt;=30,"21–30",IF(tbl_FACTS[[#This Row],[Quantity]]&lt;=40,"31–40",IF(tbl_FACTS[[#This Row],[Quantity]]&lt;=50,"41–50","51+")))))</f>
        <v>11–20</v>
      </c>
    </row>
    <row r="340" spans="1:22">
      <c r="A340">
        <v>339</v>
      </c>
      <c r="B340">
        <v>10375</v>
      </c>
      <c r="C340">
        <v>14</v>
      </c>
      <c r="D340" s="19">
        <v>15</v>
      </c>
      <c r="E340" s="20">
        <f>_xlfn.XLOOKUP(tbl_FACTS[[#This Row],[OrderID]],Πίνακας64[OrderID],Πίνακας64[OrderDate])</f>
        <v>35405</v>
      </c>
      <c r="F340">
        <f>_xlfn.XLOOKUP(tbl_FACTS[[#This Row],[OrderID]],Πίνακας64[OrderID],Πίνακας64[CustomerID])</f>
        <v>36</v>
      </c>
      <c r="G340" t="str">
        <f>_xlfn.XLOOKUP(tbl_FACTS[[#This Row],[CustomerID]],Πίνακας1[CustomerID],Πίνακας1[CustomerName])</f>
        <v>Hungry Coyote Import Store</v>
      </c>
      <c r="H340" t="str">
        <f>_xlfn.XLOOKUP(tbl_FACTS[[#This Row],[CustomerID]],Πίνακας1[CustomerID],Πίνακας1[Country])</f>
        <v>USA</v>
      </c>
      <c r="I340">
        <f>_xlfn.XLOOKUP(tbl_FACTS[[#This Row],[OrderID]],Πίνακας64[OrderID],Πίνακας64[EmployeeID])</f>
        <v>3</v>
      </c>
      <c r="J340">
        <f>_xlfn.XLOOKUP(tbl_FACTS[[#This Row],[OrderID]],Πίνακας64[OrderID],Πίνακας64[ShipperID])</f>
        <v>2</v>
      </c>
      <c r="K340" t="str">
        <f>_xlfn.XLOOKUP(tbl_FACTS[[#This Row],[ShipperID]],Πίνακας8[ShipperID],Πίνακας8[ShipperName])</f>
        <v>United Package</v>
      </c>
      <c r="L340" t="str">
        <f>_xlfn.XLOOKUP(tbl_FACTS[[#This Row],[ProductID]],Πίνακας7[ProductID],Πίνακας7[ProductName])</f>
        <v>Tofu</v>
      </c>
      <c r="M340">
        <f>_xlfn.XLOOKUP(tbl_FACTS[[#This Row],[ProductID]],Πίνακας7[ProductID],Πίνακας7[CategoryID])</f>
        <v>7</v>
      </c>
      <c r="N340" t="str">
        <f>_xlfn.XLOOKUP(tbl_FACTS[[#This Row],[CategoryID]],Πίνακας4[CategoryID],Πίνακας4[CategoryName])</f>
        <v>Produce</v>
      </c>
      <c r="O340">
        <f>_xlfn.XLOOKUP(tbl_FACTS[[#This Row],[ProductID]],Πίνακας7[ProductID],Πίνακας7[SupplierID])</f>
        <v>6</v>
      </c>
      <c r="P340" t="str">
        <f>_xlfn.XLOOKUP(tbl_FACTS[[#This Row],[SupplierID]],Πίνακας9[SupplierID],Πίνακας9[SupplierName])</f>
        <v>Mayumi's</v>
      </c>
      <c r="Q340" s="21">
        <f>_xlfn.XLOOKUP(tbl_FACTS[[#This Row],[ProductID]],Πίνακας7[ProductID],Πίνακας7[Price])</f>
        <v>23</v>
      </c>
      <c r="R340" s="21">
        <f>tbl_FACTS[[#This Row],[Quantity]]*tbl_FACTS[[#This Row],[Price]]</f>
        <v>345</v>
      </c>
      <c r="S340" s="19">
        <f>IF(COUNTIFS(tbl_FACTS[OrderID],tbl_FACTS[[#This Row],[OrderID]],tbl_FACTS[OrderDetailID],"&lt;"&amp;tbl_FACTS[[#This Row],[OrderDetailID]])=0,1,0)</f>
        <v>1</v>
      </c>
      <c r="T340" s="19">
        <f>YEAR(tbl_FACTS[[#This Row],[OrderDate]])</f>
        <v>1996</v>
      </c>
      <c r="U340" s="22">
        <f>DATE(YEAR(tbl_FACTS[[#This Row],[OrderDate]]),MONTH(tbl_FACTS[[#This Row],[OrderDate]]),1)</f>
        <v>35400</v>
      </c>
      <c r="V340" s="22" t="str">
        <f>IF(tbl_FACTS[[#This Row],[Quantity]]&lt;=10,"0–10",IF(tbl_FACTS[[#This Row],[Quantity]]&lt;=20,"11–20",IF(tbl_FACTS[[#This Row],[Quantity]]&lt;=30,"21–30",IF(tbl_FACTS[[#This Row],[Quantity]]&lt;=40,"31–40",IF(tbl_FACTS[[#This Row],[Quantity]]&lt;=50,"41–50","51+")))))</f>
        <v>11–20</v>
      </c>
    </row>
    <row r="341" spans="1:22">
      <c r="A341">
        <v>340</v>
      </c>
      <c r="B341">
        <v>10375</v>
      </c>
      <c r="C341">
        <v>54</v>
      </c>
      <c r="D341" s="19">
        <v>10</v>
      </c>
      <c r="E341" s="20">
        <f>_xlfn.XLOOKUP(tbl_FACTS[[#This Row],[OrderID]],Πίνακας64[OrderID],Πίνακας64[OrderDate])</f>
        <v>35405</v>
      </c>
      <c r="F341">
        <f>_xlfn.XLOOKUP(tbl_FACTS[[#This Row],[OrderID]],Πίνακας64[OrderID],Πίνακας64[CustomerID])</f>
        <v>36</v>
      </c>
      <c r="G341" t="str">
        <f>_xlfn.XLOOKUP(tbl_FACTS[[#This Row],[CustomerID]],Πίνακας1[CustomerID],Πίνακας1[CustomerName])</f>
        <v>Hungry Coyote Import Store</v>
      </c>
      <c r="H341" t="str">
        <f>_xlfn.XLOOKUP(tbl_FACTS[[#This Row],[CustomerID]],Πίνακας1[CustomerID],Πίνακας1[Country])</f>
        <v>USA</v>
      </c>
      <c r="I341">
        <f>_xlfn.XLOOKUP(tbl_FACTS[[#This Row],[OrderID]],Πίνακας64[OrderID],Πίνακας64[EmployeeID])</f>
        <v>3</v>
      </c>
      <c r="J341">
        <f>_xlfn.XLOOKUP(tbl_FACTS[[#This Row],[OrderID]],Πίνακας64[OrderID],Πίνακας64[ShipperID])</f>
        <v>2</v>
      </c>
      <c r="K341" t="str">
        <f>_xlfn.XLOOKUP(tbl_FACTS[[#This Row],[ShipperID]],Πίνακας8[ShipperID],Πίνακας8[ShipperName])</f>
        <v>United Package</v>
      </c>
      <c r="L341" t="str">
        <f>_xlfn.XLOOKUP(tbl_FACTS[[#This Row],[ProductID]],Πίνακας7[ProductID],Πίνακας7[ProductName])</f>
        <v>Tourtiere</v>
      </c>
      <c r="M341">
        <f>_xlfn.XLOOKUP(tbl_FACTS[[#This Row],[ProductID]],Πίνακας7[ProductID],Πίνακας7[CategoryID])</f>
        <v>6</v>
      </c>
      <c r="N341" t="str">
        <f>_xlfn.XLOOKUP(tbl_FACTS[[#This Row],[CategoryID]],Πίνακας4[CategoryID],Πίνακας4[CategoryName])</f>
        <v>Meat/Poultry</v>
      </c>
      <c r="O341">
        <f>_xlfn.XLOOKUP(tbl_FACTS[[#This Row],[ProductID]],Πίνακας7[ProductID],Πίνακας7[SupplierID])</f>
        <v>25</v>
      </c>
      <c r="P341" t="str">
        <f>_xlfn.XLOOKUP(tbl_FACTS[[#This Row],[SupplierID]],Πίνακας9[SupplierID],Πίνακας9[SupplierName])</f>
        <v>Ma Maison</v>
      </c>
      <c r="Q341" s="21">
        <f>_xlfn.XLOOKUP(tbl_FACTS[[#This Row],[ProductID]],Πίνακας7[ProductID],Πίνακας7[Price])</f>
        <v>7</v>
      </c>
      <c r="R341" s="21">
        <f>tbl_FACTS[[#This Row],[Quantity]]*tbl_FACTS[[#This Row],[Price]]</f>
        <v>70</v>
      </c>
      <c r="S341" s="19">
        <f>IF(COUNTIFS(tbl_FACTS[OrderID],tbl_FACTS[[#This Row],[OrderID]],tbl_FACTS[OrderDetailID],"&lt;"&amp;tbl_FACTS[[#This Row],[OrderDetailID]])=0,1,0)</f>
        <v>0</v>
      </c>
      <c r="T341" s="19">
        <f>YEAR(tbl_FACTS[[#This Row],[OrderDate]])</f>
        <v>1996</v>
      </c>
      <c r="U341" s="22">
        <f>DATE(YEAR(tbl_FACTS[[#This Row],[OrderDate]]),MONTH(tbl_FACTS[[#This Row],[OrderDate]]),1)</f>
        <v>35400</v>
      </c>
      <c r="V341" s="22" t="str">
        <f>IF(tbl_FACTS[[#This Row],[Quantity]]&lt;=10,"0–10",IF(tbl_FACTS[[#This Row],[Quantity]]&lt;=20,"11–20",IF(tbl_FACTS[[#This Row],[Quantity]]&lt;=30,"21–30",IF(tbl_FACTS[[#This Row],[Quantity]]&lt;=40,"31–40",IF(tbl_FACTS[[#This Row],[Quantity]]&lt;=50,"41–50","51+")))))</f>
        <v>0–10</v>
      </c>
    </row>
    <row r="342" spans="1:22">
      <c r="A342">
        <v>341</v>
      </c>
      <c r="B342">
        <v>10376</v>
      </c>
      <c r="C342">
        <v>31</v>
      </c>
      <c r="D342" s="19">
        <v>42</v>
      </c>
      <c r="E342" s="20">
        <f>_xlfn.XLOOKUP(tbl_FACTS[[#This Row],[OrderID]],Πίνακας64[OrderID],Πίνακας64[OrderDate])</f>
        <v>35408</v>
      </c>
      <c r="F342">
        <f>_xlfn.XLOOKUP(tbl_FACTS[[#This Row],[OrderID]],Πίνακας64[OrderID],Πίνακας64[CustomerID])</f>
        <v>51</v>
      </c>
      <c r="G342" t="str">
        <f>_xlfn.XLOOKUP(tbl_FACTS[[#This Row],[CustomerID]],Πίνακας1[CustomerID],Πίνακας1[CustomerName])</f>
        <v>Mere Paillarde</v>
      </c>
      <c r="H342" t="str">
        <f>_xlfn.XLOOKUP(tbl_FACTS[[#This Row],[CustomerID]],Πίνακας1[CustomerID],Πίνακας1[Country])</f>
        <v>Canada</v>
      </c>
      <c r="I342">
        <f>_xlfn.XLOOKUP(tbl_FACTS[[#This Row],[OrderID]],Πίνακας64[OrderID],Πίνακας64[EmployeeID])</f>
        <v>1</v>
      </c>
      <c r="J342">
        <f>_xlfn.XLOOKUP(tbl_FACTS[[#This Row],[OrderID]],Πίνακας64[OrderID],Πίνακας64[ShipperID])</f>
        <v>2</v>
      </c>
      <c r="K342" t="str">
        <f>_xlfn.XLOOKUP(tbl_FACTS[[#This Row],[ShipperID]],Πίνακας8[ShipperID],Πίνακας8[ShipperName])</f>
        <v>United Package</v>
      </c>
      <c r="L342" t="str">
        <f>_xlfn.XLOOKUP(tbl_FACTS[[#This Row],[ProductID]],Πίνακας7[ProductID],Πίνακας7[ProductName])</f>
        <v>Gorgonzola Telino</v>
      </c>
      <c r="M342">
        <f>_xlfn.XLOOKUP(tbl_FACTS[[#This Row],[ProductID]],Πίνακας7[ProductID],Πίνακας7[CategoryID])</f>
        <v>4</v>
      </c>
      <c r="N342" t="str">
        <f>_xlfn.XLOOKUP(tbl_FACTS[[#This Row],[CategoryID]],Πίνακας4[CategoryID],Πίνακας4[CategoryName])</f>
        <v>Dairy Products</v>
      </c>
      <c r="O342">
        <f>_xlfn.XLOOKUP(tbl_FACTS[[#This Row],[ProductID]],Πίνακας7[ProductID],Πίνακας7[SupplierID])</f>
        <v>14</v>
      </c>
      <c r="P342" t="str">
        <f>_xlfn.XLOOKUP(tbl_FACTS[[#This Row],[SupplierID]],Πίνακας9[SupplierID],Πίνακας9[SupplierName])</f>
        <v>Formaggi Fortini s.r.l.</v>
      </c>
      <c r="Q342" s="21">
        <f>_xlfn.XLOOKUP(tbl_FACTS[[#This Row],[ProductID]],Πίνακας7[ProductID],Πίνακας7[Price])</f>
        <v>13</v>
      </c>
      <c r="R342" s="21">
        <f>tbl_FACTS[[#This Row],[Quantity]]*tbl_FACTS[[#This Row],[Price]]</f>
        <v>546</v>
      </c>
      <c r="S342" s="19">
        <f>IF(COUNTIFS(tbl_FACTS[OrderID],tbl_FACTS[[#This Row],[OrderID]],tbl_FACTS[OrderDetailID],"&lt;"&amp;tbl_FACTS[[#This Row],[OrderDetailID]])=0,1,0)</f>
        <v>1</v>
      </c>
      <c r="T342" s="19">
        <f>YEAR(tbl_FACTS[[#This Row],[OrderDate]])</f>
        <v>1996</v>
      </c>
      <c r="U342" s="22">
        <f>DATE(YEAR(tbl_FACTS[[#This Row],[OrderDate]]),MONTH(tbl_FACTS[[#This Row],[OrderDate]]),1)</f>
        <v>35400</v>
      </c>
      <c r="V342" s="22" t="str">
        <f>IF(tbl_FACTS[[#This Row],[Quantity]]&lt;=10,"0–10",IF(tbl_FACTS[[#This Row],[Quantity]]&lt;=20,"11–20",IF(tbl_FACTS[[#This Row],[Quantity]]&lt;=30,"21–30",IF(tbl_FACTS[[#This Row],[Quantity]]&lt;=40,"31–40",IF(tbl_FACTS[[#This Row],[Quantity]]&lt;=50,"41–50","51+")))))</f>
        <v>41–50</v>
      </c>
    </row>
    <row r="343" spans="1:22">
      <c r="A343">
        <v>342</v>
      </c>
      <c r="B343">
        <v>10377</v>
      </c>
      <c r="C343">
        <v>28</v>
      </c>
      <c r="D343" s="19">
        <v>20</v>
      </c>
      <c r="E343" s="20">
        <f>_xlfn.XLOOKUP(tbl_FACTS[[#This Row],[OrderID]],Πίνακας64[OrderID],Πίνακας64[OrderDate])</f>
        <v>35408</v>
      </c>
      <c r="F343">
        <f>_xlfn.XLOOKUP(tbl_FACTS[[#This Row],[OrderID]],Πίνακας64[OrderID],Πίνακας64[CustomerID])</f>
        <v>72</v>
      </c>
      <c r="G343" t="str">
        <f>_xlfn.XLOOKUP(tbl_FACTS[[#This Row],[CustomerID]],Πίνακας1[CustomerID],Πίνακας1[CustomerName])</f>
        <v>Seven Seas Imports</v>
      </c>
      <c r="H343" t="str">
        <f>_xlfn.XLOOKUP(tbl_FACTS[[#This Row],[CustomerID]],Πίνακας1[CustomerID],Πίνακας1[Country])</f>
        <v>UK</v>
      </c>
      <c r="I343">
        <f>_xlfn.XLOOKUP(tbl_FACTS[[#This Row],[OrderID]],Πίνακας64[OrderID],Πίνακας64[EmployeeID])</f>
        <v>1</v>
      </c>
      <c r="J343">
        <f>_xlfn.XLOOKUP(tbl_FACTS[[#This Row],[OrderID]],Πίνακας64[OrderID],Πίνακας64[ShipperID])</f>
        <v>3</v>
      </c>
      <c r="K343" t="str">
        <f>_xlfn.XLOOKUP(tbl_FACTS[[#This Row],[ShipperID]],Πίνακας8[ShipperID],Πίνακας8[ShipperName])</f>
        <v>Federal Shipping</v>
      </c>
      <c r="L343" t="str">
        <f>_xlfn.XLOOKUP(tbl_FACTS[[#This Row],[ProductID]],Πίνακας7[ProductID],Πίνακας7[ProductName])</f>
        <v>Rossle Sauerkraut</v>
      </c>
      <c r="M343">
        <f>_xlfn.XLOOKUP(tbl_FACTS[[#This Row],[ProductID]],Πίνακας7[ProductID],Πίνακας7[CategoryID])</f>
        <v>7</v>
      </c>
      <c r="N343" t="str">
        <f>_xlfn.XLOOKUP(tbl_FACTS[[#This Row],[CategoryID]],Πίνακας4[CategoryID],Πίνακας4[CategoryName])</f>
        <v>Produce</v>
      </c>
      <c r="O343">
        <f>_xlfn.XLOOKUP(tbl_FACTS[[#This Row],[ProductID]],Πίνακας7[ProductID],Πίνακας7[SupplierID])</f>
        <v>12</v>
      </c>
      <c r="P343" t="str">
        <f>_xlfn.XLOOKUP(tbl_FACTS[[#This Row],[SupplierID]],Πίνακας9[SupplierID],Πίνακας9[SupplierName])</f>
        <v>Plutzer Lebensmittelgro├ƒmarkte AG</v>
      </c>
      <c r="Q343" s="21">
        <f>_xlfn.XLOOKUP(tbl_FACTS[[#This Row],[ProductID]],Πίνακας7[ProductID],Πίνακας7[Price])</f>
        <v>46</v>
      </c>
      <c r="R343" s="21">
        <f>tbl_FACTS[[#This Row],[Quantity]]*tbl_FACTS[[#This Row],[Price]]</f>
        <v>920</v>
      </c>
      <c r="S343" s="19">
        <f>IF(COUNTIFS(tbl_FACTS[OrderID],tbl_FACTS[[#This Row],[OrderID]],tbl_FACTS[OrderDetailID],"&lt;"&amp;tbl_FACTS[[#This Row],[OrderDetailID]])=0,1,0)</f>
        <v>1</v>
      </c>
      <c r="T343" s="19">
        <f>YEAR(tbl_FACTS[[#This Row],[OrderDate]])</f>
        <v>1996</v>
      </c>
      <c r="U343" s="22">
        <f>DATE(YEAR(tbl_FACTS[[#This Row],[OrderDate]]),MONTH(tbl_FACTS[[#This Row],[OrderDate]]),1)</f>
        <v>35400</v>
      </c>
      <c r="V343" s="22" t="str">
        <f>IF(tbl_FACTS[[#This Row],[Quantity]]&lt;=10,"0–10",IF(tbl_FACTS[[#This Row],[Quantity]]&lt;=20,"11–20",IF(tbl_FACTS[[#This Row],[Quantity]]&lt;=30,"21–30",IF(tbl_FACTS[[#This Row],[Quantity]]&lt;=40,"31–40",IF(tbl_FACTS[[#This Row],[Quantity]]&lt;=50,"41–50","51+")))))</f>
        <v>11–20</v>
      </c>
    </row>
    <row r="344" spans="1:22">
      <c r="A344">
        <v>343</v>
      </c>
      <c r="B344">
        <v>10377</v>
      </c>
      <c r="C344">
        <v>39</v>
      </c>
      <c r="D344" s="19">
        <v>20</v>
      </c>
      <c r="E344" s="20">
        <f>_xlfn.XLOOKUP(tbl_FACTS[[#This Row],[OrderID]],Πίνακας64[OrderID],Πίνακας64[OrderDate])</f>
        <v>35408</v>
      </c>
      <c r="F344">
        <f>_xlfn.XLOOKUP(tbl_FACTS[[#This Row],[OrderID]],Πίνακας64[OrderID],Πίνακας64[CustomerID])</f>
        <v>72</v>
      </c>
      <c r="G344" t="str">
        <f>_xlfn.XLOOKUP(tbl_FACTS[[#This Row],[CustomerID]],Πίνακας1[CustomerID],Πίνακας1[CustomerName])</f>
        <v>Seven Seas Imports</v>
      </c>
      <c r="H344" t="str">
        <f>_xlfn.XLOOKUP(tbl_FACTS[[#This Row],[CustomerID]],Πίνακας1[CustomerID],Πίνακας1[Country])</f>
        <v>UK</v>
      </c>
      <c r="I344">
        <f>_xlfn.XLOOKUP(tbl_FACTS[[#This Row],[OrderID]],Πίνακας64[OrderID],Πίνακας64[EmployeeID])</f>
        <v>1</v>
      </c>
      <c r="J344">
        <f>_xlfn.XLOOKUP(tbl_FACTS[[#This Row],[OrderID]],Πίνακας64[OrderID],Πίνακας64[ShipperID])</f>
        <v>3</v>
      </c>
      <c r="K344" t="str">
        <f>_xlfn.XLOOKUP(tbl_FACTS[[#This Row],[ShipperID]],Πίνακας8[ShipperID],Πίνακας8[ShipperName])</f>
        <v>Federal Shipping</v>
      </c>
      <c r="L344" t="str">
        <f>_xlfn.XLOOKUP(tbl_FACTS[[#This Row],[ProductID]],Πίνακας7[ProductID],Πίνακας7[ProductName])</f>
        <v>Chartreuse verte</v>
      </c>
      <c r="M344">
        <f>_xlfn.XLOOKUP(tbl_FACTS[[#This Row],[ProductID]],Πίνακας7[ProductID],Πίνακας7[CategoryID])</f>
        <v>1</v>
      </c>
      <c r="N344" t="str">
        <f>_xlfn.XLOOKUP(tbl_FACTS[[#This Row],[CategoryID]],Πίνακας4[CategoryID],Πίνακας4[CategoryName])</f>
        <v>Beverages</v>
      </c>
      <c r="O344">
        <f>_xlfn.XLOOKUP(tbl_FACTS[[#This Row],[ProductID]],Πίνακας7[ProductID],Πίνακας7[SupplierID])</f>
        <v>18</v>
      </c>
      <c r="P344" t="str">
        <f>_xlfn.XLOOKUP(tbl_FACTS[[#This Row],[SupplierID]],Πίνακας9[SupplierID],Πίνακας9[SupplierName])</f>
        <v>Aux joyeux ecclesiastiques</v>
      </c>
      <c r="Q344" s="21">
        <f>_xlfn.XLOOKUP(tbl_FACTS[[#This Row],[ProductID]],Πίνακας7[ProductID],Πίνακας7[Price])</f>
        <v>18</v>
      </c>
      <c r="R344" s="21">
        <f>tbl_FACTS[[#This Row],[Quantity]]*tbl_FACTS[[#This Row],[Price]]</f>
        <v>360</v>
      </c>
      <c r="S344" s="19">
        <f>IF(COUNTIFS(tbl_FACTS[OrderID],tbl_FACTS[[#This Row],[OrderID]],tbl_FACTS[OrderDetailID],"&lt;"&amp;tbl_FACTS[[#This Row],[OrderDetailID]])=0,1,0)</f>
        <v>0</v>
      </c>
      <c r="T344" s="19">
        <f>YEAR(tbl_FACTS[[#This Row],[OrderDate]])</f>
        <v>1996</v>
      </c>
      <c r="U344" s="22">
        <f>DATE(YEAR(tbl_FACTS[[#This Row],[OrderDate]]),MONTH(tbl_FACTS[[#This Row],[OrderDate]]),1)</f>
        <v>35400</v>
      </c>
      <c r="V344" s="22" t="str">
        <f>IF(tbl_FACTS[[#This Row],[Quantity]]&lt;=10,"0–10",IF(tbl_FACTS[[#This Row],[Quantity]]&lt;=20,"11–20",IF(tbl_FACTS[[#This Row],[Quantity]]&lt;=30,"21–30",IF(tbl_FACTS[[#This Row],[Quantity]]&lt;=40,"31–40",IF(tbl_FACTS[[#This Row],[Quantity]]&lt;=50,"41–50","51+")))))</f>
        <v>11–20</v>
      </c>
    </row>
    <row r="345" spans="1:22">
      <c r="A345">
        <v>344</v>
      </c>
      <c r="B345">
        <v>10378</v>
      </c>
      <c r="C345">
        <v>71</v>
      </c>
      <c r="D345" s="19">
        <v>6</v>
      </c>
      <c r="E345" s="20">
        <f>_xlfn.XLOOKUP(tbl_FACTS[[#This Row],[OrderID]],Πίνακας64[OrderID],Πίνακας64[OrderDate])</f>
        <v>35409</v>
      </c>
      <c r="F345">
        <f>_xlfn.XLOOKUP(tbl_FACTS[[#This Row],[OrderID]],Πίνακας64[OrderID],Πίνακας64[CustomerID])</f>
        <v>24</v>
      </c>
      <c r="G345" t="str">
        <f>_xlfn.XLOOKUP(tbl_FACTS[[#This Row],[CustomerID]],Πίνακας1[CustomerID],Πίνακας1[CustomerName])</f>
        <v>Folk och fa HB</v>
      </c>
      <c r="H345" t="str">
        <f>_xlfn.XLOOKUP(tbl_FACTS[[#This Row],[CustomerID]],Πίνακας1[CustomerID],Πίνακας1[Country])</f>
        <v>Sweden</v>
      </c>
      <c r="I345">
        <f>_xlfn.XLOOKUP(tbl_FACTS[[#This Row],[OrderID]],Πίνακας64[OrderID],Πίνακας64[EmployeeID])</f>
        <v>5</v>
      </c>
      <c r="J345">
        <f>_xlfn.XLOOKUP(tbl_FACTS[[#This Row],[OrderID]],Πίνακας64[OrderID],Πίνακας64[ShipperID])</f>
        <v>3</v>
      </c>
      <c r="K345" t="str">
        <f>_xlfn.XLOOKUP(tbl_FACTS[[#This Row],[ShipperID]],Πίνακας8[ShipperID],Πίνακας8[ShipperName])</f>
        <v>Federal Shipping</v>
      </c>
      <c r="L345" t="str">
        <f>_xlfn.XLOOKUP(tbl_FACTS[[#This Row],[ProductID]],Πίνακας7[ProductID],Πίνακας7[ProductName])</f>
        <v>Fl├©temysost</v>
      </c>
      <c r="M345">
        <f>_xlfn.XLOOKUP(tbl_FACTS[[#This Row],[ProductID]],Πίνακας7[ProductID],Πίνακας7[CategoryID])</f>
        <v>4</v>
      </c>
      <c r="N345" t="str">
        <f>_xlfn.XLOOKUP(tbl_FACTS[[#This Row],[CategoryID]],Πίνακας4[CategoryID],Πίνακας4[CategoryName])</f>
        <v>Dairy Products</v>
      </c>
      <c r="O345">
        <f>_xlfn.XLOOKUP(tbl_FACTS[[#This Row],[ProductID]],Πίνακας7[ProductID],Πίνακας7[SupplierID])</f>
        <v>15</v>
      </c>
      <c r="P345" t="str">
        <f>_xlfn.XLOOKUP(tbl_FACTS[[#This Row],[SupplierID]],Πίνακας9[SupplierID],Πίνακας9[SupplierName])</f>
        <v>Norske Meierier</v>
      </c>
      <c r="Q345" s="21">
        <f>_xlfn.XLOOKUP(tbl_FACTS[[#This Row],[ProductID]],Πίνακας7[ProductID],Πίνακας7[Price])</f>
        <v>22</v>
      </c>
      <c r="R345" s="21">
        <f>tbl_FACTS[[#This Row],[Quantity]]*tbl_FACTS[[#This Row],[Price]]</f>
        <v>132</v>
      </c>
      <c r="S345" s="19">
        <f>IF(COUNTIFS(tbl_FACTS[OrderID],tbl_FACTS[[#This Row],[OrderID]],tbl_FACTS[OrderDetailID],"&lt;"&amp;tbl_FACTS[[#This Row],[OrderDetailID]])=0,1,0)</f>
        <v>1</v>
      </c>
      <c r="T345" s="19">
        <f>YEAR(tbl_FACTS[[#This Row],[OrderDate]])</f>
        <v>1996</v>
      </c>
      <c r="U345" s="22">
        <f>DATE(YEAR(tbl_FACTS[[#This Row],[OrderDate]]),MONTH(tbl_FACTS[[#This Row],[OrderDate]]),1)</f>
        <v>35400</v>
      </c>
      <c r="V345" s="22" t="str">
        <f>IF(tbl_FACTS[[#This Row],[Quantity]]&lt;=10,"0–10",IF(tbl_FACTS[[#This Row],[Quantity]]&lt;=20,"11–20",IF(tbl_FACTS[[#This Row],[Quantity]]&lt;=30,"21–30",IF(tbl_FACTS[[#This Row],[Quantity]]&lt;=40,"31–40",IF(tbl_FACTS[[#This Row],[Quantity]]&lt;=50,"41–50","51+")))))</f>
        <v>0–10</v>
      </c>
    </row>
    <row r="346" spans="1:22">
      <c r="A346">
        <v>345</v>
      </c>
      <c r="B346">
        <v>10379</v>
      </c>
      <c r="C346">
        <v>41</v>
      </c>
      <c r="D346" s="19">
        <v>8</v>
      </c>
      <c r="E346" s="20">
        <f>_xlfn.XLOOKUP(tbl_FACTS[[#This Row],[OrderID]],Πίνακας64[OrderID],Πίνακας64[OrderDate])</f>
        <v>35410</v>
      </c>
      <c r="F346">
        <f>_xlfn.XLOOKUP(tbl_FACTS[[#This Row],[OrderID]],Πίνακας64[OrderID],Πίνακας64[CustomerID])</f>
        <v>61</v>
      </c>
      <c r="G346" t="str">
        <f>_xlfn.XLOOKUP(tbl_FACTS[[#This Row],[CustomerID]],Πίνακας1[CustomerID],Πίνακας1[CustomerName])</f>
        <v>Que Delicia</v>
      </c>
      <c r="H346" t="str">
        <f>_xlfn.XLOOKUP(tbl_FACTS[[#This Row],[CustomerID]],Πίνακας1[CustomerID],Πίνακας1[Country])</f>
        <v>Brazil</v>
      </c>
      <c r="I346">
        <f>_xlfn.XLOOKUP(tbl_FACTS[[#This Row],[OrderID]],Πίνακας64[OrderID],Πίνακας64[EmployeeID])</f>
        <v>2</v>
      </c>
      <c r="J346">
        <f>_xlfn.XLOOKUP(tbl_FACTS[[#This Row],[OrderID]],Πίνακας64[OrderID],Πίνακας64[ShipperID])</f>
        <v>1</v>
      </c>
      <c r="K346" t="str">
        <f>_xlfn.XLOOKUP(tbl_FACTS[[#This Row],[ShipperID]],Πίνακας8[ShipperID],Πίνακας8[ShipperName])</f>
        <v>Speedy Express</v>
      </c>
      <c r="L346" t="str">
        <f>_xlfn.XLOOKUP(tbl_FACTS[[#This Row],[ProductID]],Πίνακας7[ProductID],Πίνακας7[ProductName])</f>
        <v>Jack's New England Clam Chowder</v>
      </c>
      <c r="M346">
        <f>_xlfn.XLOOKUP(tbl_FACTS[[#This Row],[ProductID]],Πίνακας7[ProductID],Πίνακας7[CategoryID])</f>
        <v>8</v>
      </c>
      <c r="N346" t="str">
        <f>_xlfn.XLOOKUP(tbl_FACTS[[#This Row],[CategoryID]],Πίνακας4[CategoryID],Πίνακας4[CategoryName])</f>
        <v>Seafood</v>
      </c>
      <c r="O346">
        <f>_xlfn.XLOOKUP(tbl_FACTS[[#This Row],[ProductID]],Πίνακας7[ProductID],Πίνακας7[SupplierID])</f>
        <v>19</v>
      </c>
      <c r="P346" t="str">
        <f>_xlfn.XLOOKUP(tbl_FACTS[[#This Row],[SupplierID]],Πίνακας9[SupplierID],Πίνακας9[SupplierName])</f>
        <v>New England Seafood Cannery</v>
      </c>
      <c r="Q346" s="21">
        <f>_xlfn.XLOOKUP(tbl_FACTS[[#This Row],[ProductID]],Πίνακας7[ProductID],Πίνακας7[Price])</f>
        <v>10</v>
      </c>
      <c r="R346" s="21">
        <f>tbl_FACTS[[#This Row],[Quantity]]*tbl_FACTS[[#This Row],[Price]]</f>
        <v>80</v>
      </c>
      <c r="S346" s="19">
        <f>IF(COUNTIFS(tbl_FACTS[OrderID],tbl_FACTS[[#This Row],[OrderID]],tbl_FACTS[OrderDetailID],"&lt;"&amp;tbl_FACTS[[#This Row],[OrderDetailID]])=0,1,0)</f>
        <v>1</v>
      </c>
      <c r="T346" s="19">
        <f>YEAR(tbl_FACTS[[#This Row],[OrderDate]])</f>
        <v>1996</v>
      </c>
      <c r="U346" s="22">
        <f>DATE(YEAR(tbl_FACTS[[#This Row],[OrderDate]]),MONTH(tbl_FACTS[[#This Row],[OrderDate]]),1)</f>
        <v>35400</v>
      </c>
      <c r="V346" s="22" t="str">
        <f>IF(tbl_FACTS[[#This Row],[Quantity]]&lt;=10,"0–10",IF(tbl_FACTS[[#This Row],[Quantity]]&lt;=20,"11–20",IF(tbl_FACTS[[#This Row],[Quantity]]&lt;=30,"21–30",IF(tbl_FACTS[[#This Row],[Quantity]]&lt;=40,"31–40",IF(tbl_FACTS[[#This Row],[Quantity]]&lt;=50,"41–50","51+")))))</f>
        <v>0–10</v>
      </c>
    </row>
    <row r="347" spans="1:22">
      <c r="A347">
        <v>346</v>
      </c>
      <c r="B347">
        <v>10379</v>
      </c>
      <c r="C347">
        <v>63</v>
      </c>
      <c r="D347" s="19">
        <v>16</v>
      </c>
      <c r="E347" s="20">
        <f>_xlfn.XLOOKUP(tbl_FACTS[[#This Row],[OrderID]],Πίνακας64[OrderID],Πίνακας64[OrderDate])</f>
        <v>35410</v>
      </c>
      <c r="F347">
        <f>_xlfn.XLOOKUP(tbl_FACTS[[#This Row],[OrderID]],Πίνακας64[OrderID],Πίνακας64[CustomerID])</f>
        <v>61</v>
      </c>
      <c r="G347" t="str">
        <f>_xlfn.XLOOKUP(tbl_FACTS[[#This Row],[CustomerID]],Πίνακας1[CustomerID],Πίνακας1[CustomerName])</f>
        <v>Que Delicia</v>
      </c>
      <c r="H347" t="str">
        <f>_xlfn.XLOOKUP(tbl_FACTS[[#This Row],[CustomerID]],Πίνακας1[CustomerID],Πίνακας1[Country])</f>
        <v>Brazil</v>
      </c>
      <c r="I347">
        <f>_xlfn.XLOOKUP(tbl_FACTS[[#This Row],[OrderID]],Πίνακας64[OrderID],Πίνακας64[EmployeeID])</f>
        <v>2</v>
      </c>
      <c r="J347">
        <f>_xlfn.XLOOKUP(tbl_FACTS[[#This Row],[OrderID]],Πίνακας64[OrderID],Πίνακας64[ShipperID])</f>
        <v>1</v>
      </c>
      <c r="K347" t="str">
        <f>_xlfn.XLOOKUP(tbl_FACTS[[#This Row],[ShipperID]],Πίνακας8[ShipperID],Πίνακας8[ShipperName])</f>
        <v>Speedy Express</v>
      </c>
      <c r="L347" t="str">
        <f>_xlfn.XLOOKUP(tbl_FACTS[[#This Row],[ProductID]],Πίνακας7[ProductID],Πίνακας7[ProductName])</f>
        <v>Vegie-spread</v>
      </c>
      <c r="M347">
        <f>_xlfn.XLOOKUP(tbl_FACTS[[#This Row],[ProductID]],Πίνακας7[ProductID],Πίνακας7[CategoryID])</f>
        <v>2</v>
      </c>
      <c r="N347" t="str">
        <f>_xlfn.XLOOKUP(tbl_FACTS[[#This Row],[CategoryID]],Πίνακας4[CategoryID],Πίνακας4[CategoryName])</f>
        <v>Condiments</v>
      </c>
      <c r="O347">
        <f>_xlfn.XLOOKUP(tbl_FACTS[[#This Row],[ProductID]],Πίνακας7[ProductID],Πίνακας7[SupplierID])</f>
        <v>7</v>
      </c>
      <c r="P347" t="str">
        <f>_xlfn.XLOOKUP(tbl_FACTS[[#This Row],[SupplierID]],Πίνακας9[SupplierID],Πίνακας9[SupplierName])</f>
        <v>Pavlova, Ltd.</v>
      </c>
      <c r="Q347" s="21">
        <f>_xlfn.XLOOKUP(tbl_FACTS[[#This Row],[ProductID]],Πίνακας7[ProductID],Πίνακας7[Price])</f>
        <v>44</v>
      </c>
      <c r="R347" s="21">
        <f>tbl_FACTS[[#This Row],[Quantity]]*tbl_FACTS[[#This Row],[Price]]</f>
        <v>704</v>
      </c>
      <c r="S347" s="19">
        <f>IF(COUNTIFS(tbl_FACTS[OrderID],tbl_FACTS[[#This Row],[OrderID]],tbl_FACTS[OrderDetailID],"&lt;"&amp;tbl_FACTS[[#This Row],[OrderDetailID]])=0,1,0)</f>
        <v>0</v>
      </c>
      <c r="T347" s="19">
        <f>YEAR(tbl_FACTS[[#This Row],[OrderDate]])</f>
        <v>1996</v>
      </c>
      <c r="U347" s="22">
        <f>DATE(YEAR(tbl_FACTS[[#This Row],[OrderDate]]),MONTH(tbl_FACTS[[#This Row],[OrderDate]]),1)</f>
        <v>35400</v>
      </c>
      <c r="V347" s="22" t="str">
        <f>IF(tbl_FACTS[[#This Row],[Quantity]]&lt;=10,"0–10",IF(tbl_FACTS[[#This Row],[Quantity]]&lt;=20,"11–20",IF(tbl_FACTS[[#This Row],[Quantity]]&lt;=30,"21–30",IF(tbl_FACTS[[#This Row],[Quantity]]&lt;=40,"31–40",IF(tbl_FACTS[[#This Row],[Quantity]]&lt;=50,"41–50","51+")))))</f>
        <v>11–20</v>
      </c>
    </row>
    <row r="348" spans="1:22">
      <c r="A348">
        <v>347</v>
      </c>
      <c r="B348">
        <v>10379</v>
      </c>
      <c r="C348">
        <v>65</v>
      </c>
      <c r="D348" s="19">
        <v>20</v>
      </c>
      <c r="E348" s="20">
        <f>_xlfn.XLOOKUP(tbl_FACTS[[#This Row],[OrderID]],Πίνακας64[OrderID],Πίνακας64[OrderDate])</f>
        <v>35410</v>
      </c>
      <c r="F348">
        <f>_xlfn.XLOOKUP(tbl_FACTS[[#This Row],[OrderID]],Πίνακας64[OrderID],Πίνακας64[CustomerID])</f>
        <v>61</v>
      </c>
      <c r="G348" t="str">
        <f>_xlfn.XLOOKUP(tbl_FACTS[[#This Row],[CustomerID]],Πίνακας1[CustomerID],Πίνακας1[CustomerName])</f>
        <v>Que Delicia</v>
      </c>
      <c r="H348" t="str">
        <f>_xlfn.XLOOKUP(tbl_FACTS[[#This Row],[CustomerID]],Πίνακας1[CustomerID],Πίνακας1[Country])</f>
        <v>Brazil</v>
      </c>
      <c r="I348">
        <f>_xlfn.XLOOKUP(tbl_FACTS[[#This Row],[OrderID]],Πίνακας64[OrderID],Πίνακας64[EmployeeID])</f>
        <v>2</v>
      </c>
      <c r="J348">
        <f>_xlfn.XLOOKUP(tbl_FACTS[[#This Row],[OrderID]],Πίνακας64[OrderID],Πίνακας64[ShipperID])</f>
        <v>1</v>
      </c>
      <c r="K348" t="str">
        <f>_xlfn.XLOOKUP(tbl_FACTS[[#This Row],[ShipperID]],Πίνακας8[ShipperID],Πίνακας8[ShipperName])</f>
        <v>Speedy Express</v>
      </c>
      <c r="L348" t="str">
        <f>_xlfn.XLOOKUP(tbl_FACTS[[#This Row],[ProductID]],Πίνακας7[ProductID],Πίνακας7[ProductName])</f>
        <v>Louisiana Fiery Hot Pepper Sauce</v>
      </c>
      <c r="M348">
        <f>_xlfn.XLOOKUP(tbl_FACTS[[#This Row],[ProductID]],Πίνακας7[ProductID],Πίνακας7[CategoryID])</f>
        <v>2</v>
      </c>
      <c r="N348" t="str">
        <f>_xlfn.XLOOKUP(tbl_FACTS[[#This Row],[CategoryID]],Πίνακας4[CategoryID],Πίνακας4[CategoryName])</f>
        <v>Condiments</v>
      </c>
      <c r="O348">
        <f>_xlfn.XLOOKUP(tbl_FACTS[[#This Row],[ProductID]],Πίνακας7[ProductID],Πίνακας7[SupplierID])</f>
        <v>2</v>
      </c>
      <c r="P348" t="str">
        <f>_xlfn.XLOOKUP(tbl_FACTS[[#This Row],[SupplierID]],Πίνακας9[SupplierID],Πίνακας9[SupplierName])</f>
        <v>New Orleans Cajun Delights</v>
      </c>
      <c r="Q348" s="21">
        <f>_xlfn.XLOOKUP(tbl_FACTS[[#This Row],[ProductID]],Πίνακας7[ProductID],Πίνακας7[Price])</f>
        <v>21</v>
      </c>
      <c r="R348" s="21">
        <f>tbl_FACTS[[#This Row],[Quantity]]*tbl_FACTS[[#This Row],[Price]]</f>
        <v>420</v>
      </c>
      <c r="S348" s="19">
        <f>IF(COUNTIFS(tbl_FACTS[OrderID],tbl_FACTS[[#This Row],[OrderID]],tbl_FACTS[OrderDetailID],"&lt;"&amp;tbl_FACTS[[#This Row],[OrderDetailID]])=0,1,0)</f>
        <v>0</v>
      </c>
      <c r="T348" s="19">
        <f>YEAR(tbl_FACTS[[#This Row],[OrderDate]])</f>
        <v>1996</v>
      </c>
      <c r="U348" s="22">
        <f>DATE(YEAR(tbl_FACTS[[#This Row],[OrderDate]]),MONTH(tbl_FACTS[[#This Row],[OrderDate]]),1)</f>
        <v>35400</v>
      </c>
      <c r="V348" s="22" t="str">
        <f>IF(tbl_FACTS[[#This Row],[Quantity]]&lt;=10,"0–10",IF(tbl_FACTS[[#This Row],[Quantity]]&lt;=20,"11–20",IF(tbl_FACTS[[#This Row],[Quantity]]&lt;=30,"21–30",IF(tbl_FACTS[[#This Row],[Quantity]]&lt;=40,"31–40",IF(tbl_FACTS[[#This Row],[Quantity]]&lt;=50,"41–50","51+")))))</f>
        <v>11–20</v>
      </c>
    </row>
    <row r="349" spans="1:22">
      <c r="A349">
        <v>348</v>
      </c>
      <c r="B349">
        <v>10380</v>
      </c>
      <c r="C349">
        <v>30</v>
      </c>
      <c r="D349" s="19">
        <v>18</v>
      </c>
      <c r="E349" s="20">
        <f>_xlfn.XLOOKUP(tbl_FACTS[[#This Row],[OrderID]],Πίνακας64[OrderID],Πίνακας64[OrderDate])</f>
        <v>35411</v>
      </c>
      <c r="F349">
        <f>_xlfn.XLOOKUP(tbl_FACTS[[#This Row],[OrderID]],Πίνακας64[OrderID],Πίνακας64[CustomerID])</f>
        <v>37</v>
      </c>
      <c r="G349" t="str">
        <f>_xlfn.XLOOKUP(tbl_FACTS[[#This Row],[CustomerID]],Πίνακας1[CustomerID],Πίνακας1[CustomerName])</f>
        <v>Hungry Owl All-Night Grocers</v>
      </c>
      <c r="H349" t="str">
        <f>_xlfn.XLOOKUP(tbl_FACTS[[#This Row],[CustomerID]],Πίνακας1[CustomerID],Πίνακας1[Country])</f>
        <v>Ireland</v>
      </c>
      <c r="I349">
        <f>_xlfn.XLOOKUP(tbl_FACTS[[#This Row],[OrderID]],Πίνακας64[OrderID],Πίνακας64[EmployeeID])</f>
        <v>8</v>
      </c>
      <c r="J349">
        <f>_xlfn.XLOOKUP(tbl_FACTS[[#This Row],[OrderID]],Πίνακας64[OrderID],Πίνακας64[ShipperID])</f>
        <v>3</v>
      </c>
      <c r="K349" t="str">
        <f>_xlfn.XLOOKUP(tbl_FACTS[[#This Row],[ShipperID]],Πίνακας8[ShipperID],Πίνακας8[ShipperName])</f>
        <v>Federal Shipping</v>
      </c>
      <c r="L349" t="str">
        <f>_xlfn.XLOOKUP(tbl_FACTS[[#This Row],[ProductID]],Πίνακας7[ProductID],Πίνακας7[ProductName])</f>
        <v>Nord-Ost Matjeshering</v>
      </c>
      <c r="M349">
        <f>_xlfn.XLOOKUP(tbl_FACTS[[#This Row],[ProductID]],Πίνακας7[ProductID],Πίνακας7[CategoryID])</f>
        <v>8</v>
      </c>
      <c r="N349" t="str">
        <f>_xlfn.XLOOKUP(tbl_FACTS[[#This Row],[CategoryID]],Πίνακας4[CategoryID],Πίνακας4[CategoryName])</f>
        <v>Seafood</v>
      </c>
      <c r="O349">
        <f>_xlfn.XLOOKUP(tbl_FACTS[[#This Row],[ProductID]],Πίνακας7[ProductID],Πίνακας7[SupplierID])</f>
        <v>13</v>
      </c>
      <c r="P349" t="str">
        <f>_xlfn.XLOOKUP(tbl_FACTS[[#This Row],[SupplierID]],Πίνακας9[SupplierID],Πίνακας9[SupplierName])</f>
        <v>Nord-Ost-Fisch Handelsgesellschaft mbH</v>
      </c>
      <c r="Q349" s="21">
        <f>_xlfn.XLOOKUP(tbl_FACTS[[#This Row],[ProductID]],Πίνακας7[ProductID],Πίνακας7[Price])</f>
        <v>26</v>
      </c>
      <c r="R349" s="21">
        <f>tbl_FACTS[[#This Row],[Quantity]]*tbl_FACTS[[#This Row],[Price]]</f>
        <v>468</v>
      </c>
      <c r="S349" s="19">
        <f>IF(COUNTIFS(tbl_FACTS[OrderID],tbl_FACTS[[#This Row],[OrderID]],tbl_FACTS[OrderDetailID],"&lt;"&amp;tbl_FACTS[[#This Row],[OrderDetailID]])=0,1,0)</f>
        <v>1</v>
      </c>
      <c r="T349" s="19">
        <f>YEAR(tbl_FACTS[[#This Row],[OrderDate]])</f>
        <v>1996</v>
      </c>
      <c r="U349" s="22">
        <f>DATE(YEAR(tbl_FACTS[[#This Row],[OrderDate]]),MONTH(tbl_FACTS[[#This Row],[OrderDate]]),1)</f>
        <v>35400</v>
      </c>
      <c r="V349" s="22" t="str">
        <f>IF(tbl_FACTS[[#This Row],[Quantity]]&lt;=10,"0–10",IF(tbl_FACTS[[#This Row],[Quantity]]&lt;=20,"11–20",IF(tbl_FACTS[[#This Row],[Quantity]]&lt;=30,"21–30",IF(tbl_FACTS[[#This Row],[Quantity]]&lt;=40,"31–40",IF(tbl_FACTS[[#This Row],[Quantity]]&lt;=50,"41–50","51+")))))</f>
        <v>11–20</v>
      </c>
    </row>
    <row r="350" spans="1:22">
      <c r="A350">
        <v>349</v>
      </c>
      <c r="B350">
        <v>10380</v>
      </c>
      <c r="C350">
        <v>53</v>
      </c>
      <c r="D350" s="19">
        <v>20</v>
      </c>
      <c r="E350" s="20">
        <f>_xlfn.XLOOKUP(tbl_FACTS[[#This Row],[OrderID]],Πίνακας64[OrderID],Πίνακας64[OrderDate])</f>
        <v>35411</v>
      </c>
      <c r="F350">
        <f>_xlfn.XLOOKUP(tbl_FACTS[[#This Row],[OrderID]],Πίνακας64[OrderID],Πίνακας64[CustomerID])</f>
        <v>37</v>
      </c>
      <c r="G350" t="str">
        <f>_xlfn.XLOOKUP(tbl_FACTS[[#This Row],[CustomerID]],Πίνακας1[CustomerID],Πίνακας1[CustomerName])</f>
        <v>Hungry Owl All-Night Grocers</v>
      </c>
      <c r="H350" t="str">
        <f>_xlfn.XLOOKUP(tbl_FACTS[[#This Row],[CustomerID]],Πίνακας1[CustomerID],Πίνακας1[Country])</f>
        <v>Ireland</v>
      </c>
      <c r="I350">
        <f>_xlfn.XLOOKUP(tbl_FACTS[[#This Row],[OrderID]],Πίνακας64[OrderID],Πίνακας64[EmployeeID])</f>
        <v>8</v>
      </c>
      <c r="J350">
        <f>_xlfn.XLOOKUP(tbl_FACTS[[#This Row],[OrderID]],Πίνακας64[OrderID],Πίνακας64[ShipperID])</f>
        <v>3</v>
      </c>
      <c r="K350" t="str">
        <f>_xlfn.XLOOKUP(tbl_FACTS[[#This Row],[ShipperID]],Πίνακας8[ShipperID],Πίνακας8[ShipperName])</f>
        <v>Federal Shipping</v>
      </c>
      <c r="L350" t="str">
        <f>_xlfn.XLOOKUP(tbl_FACTS[[#This Row],[ProductID]],Πίνακας7[ProductID],Πίνακας7[ProductName])</f>
        <v>Perth Pasties</v>
      </c>
      <c r="M350">
        <f>_xlfn.XLOOKUP(tbl_FACTS[[#This Row],[ProductID]],Πίνακας7[ProductID],Πίνακας7[CategoryID])</f>
        <v>6</v>
      </c>
      <c r="N350" t="str">
        <f>_xlfn.XLOOKUP(tbl_FACTS[[#This Row],[CategoryID]],Πίνακας4[CategoryID],Πίνακας4[CategoryName])</f>
        <v>Meat/Poultry</v>
      </c>
      <c r="O350">
        <f>_xlfn.XLOOKUP(tbl_FACTS[[#This Row],[ProductID]],Πίνακας7[ProductID],Πίνακας7[SupplierID])</f>
        <v>24</v>
      </c>
      <c r="P350" t="str">
        <f>_xlfn.XLOOKUP(tbl_FACTS[[#This Row],[SupplierID]],Πίνακας9[SupplierID],Πίνακας9[SupplierName])</f>
        <v>G'day, Mate</v>
      </c>
      <c r="Q350" s="21">
        <f>_xlfn.XLOOKUP(tbl_FACTS[[#This Row],[ProductID]],Πίνακας7[ProductID],Πίνακας7[Price])</f>
        <v>33</v>
      </c>
      <c r="R350" s="21">
        <f>tbl_FACTS[[#This Row],[Quantity]]*tbl_FACTS[[#This Row],[Price]]</f>
        <v>660</v>
      </c>
      <c r="S350" s="19">
        <f>IF(COUNTIFS(tbl_FACTS[OrderID],tbl_FACTS[[#This Row],[OrderID]],tbl_FACTS[OrderDetailID],"&lt;"&amp;tbl_FACTS[[#This Row],[OrderDetailID]])=0,1,0)</f>
        <v>0</v>
      </c>
      <c r="T350" s="19">
        <f>YEAR(tbl_FACTS[[#This Row],[OrderDate]])</f>
        <v>1996</v>
      </c>
      <c r="U350" s="22">
        <f>DATE(YEAR(tbl_FACTS[[#This Row],[OrderDate]]),MONTH(tbl_FACTS[[#This Row],[OrderDate]]),1)</f>
        <v>35400</v>
      </c>
      <c r="V350" s="22" t="str">
        <f>IF(tbl_FACTS[[#This Row],[Quantity]]&lt;=10,"0–10",IF(tbl_FACTS[[#This Row],[Quantity]]&lt;=20,"11–20",IF(tbl_FACTS[[#This Row],[Quantity]]&lt;=30,"21–30",IF(tbl_FACTS[[#This Row],[Quantity]]&lt;=40,"31–40",IF(tbl_FACTS[[#This Row],[Quantity]]&lt;=50,"41–50","51+")))))</f>
        <v>11–20</v>
      </c>
    </row>
    <row r="351" spans="1:22">
      <c r="A351">
        <v>350</v>
      </c>
      <c r="B351">
        <v>10380</v>
      </c>
      <c r="C351">
        <v>60</v>
      </c>
      <c r="D351" s="19">
        <v>6</v>
      </c>
      <c r="E351" s="20">
        <f>_xlfn.XLOOKUP(tbl_FACTS[[#This Row],[OrderID]],Πίνακας64[OrderID],Πίνακας64[OrderDate])</f>
        <v>35411</v>
      </c>
      <c r="F351">
        <f>_xlfn.XLOOKUP(tbl_FACTS[[#This Row],[OrderID]],Πίνακας64[OrderID],Πίνακας64[CustomerID])</f>
        <v>37</v>
      </c>
      <c r="G351" t="str">
        <f>_xlfn.XLOOKUP(tbl_FACTS[[#This Row],[CustomerID]],Πίνακας1[CustomerID],Πίνακας1[CustomerName])</f>
        <v>Hungry Owl All-Night Grocers</v>
      </c>
      <c r="H351" t="str">
        <f>_xlfn.XLOOKUP(tbl_FACTS[[#This Row],[CustomerID]],Πίνακας1[CustomerID],Πίνακας1[Country])</f>
        <v>Ireland</v>
      </c>
      <c r="I351">
        <f>_xlfn.XLOOKUP(tbl_FACTS[[#This Row],[OrderID]],Πίνακας64[OrderID],Πίνακας64[EmployeeID])</f>
        <v>8</v>
      </c>
      <c r="J351">
        <f>_xlfn.XLOOKUP(tbl_FACTS[[#This Row],[OrderID]],Πίνακας64[OrderID],Πίνακας64[ShipperID])</f>
        <v>3</v>
      </c>
      <c r="K351" t="str">
        <f>_xlfn.XLOOKUP(tbl_FACTS[[#This Row],[ShipperID]],Πίνακας8[ShipperID],Πίνακας8[ShipperName])</f>
        <v>Federal Shipping</v>
      </c>
      <c r="L351" t="str">
        <f>_xlfn.XLOOKUP(tbl_FACTS[[#This Row],[ProductID]],Πίνακας7[ProductID],Πίνακας7[ProductName])</f>
        <v>Camembert Pierrot</v>
      </c>
      <c r="M351">
        <f>_xlfn.XLOOKUP(tbl_FACTS[[#This Row],[ProductID]],Πίνακας7[ProductID],Πίνακας7[CategoryID])</f>
        <v>4</v>
      </c>
      <c r="N351" t="str">
        <f>_xlfn.XLOOKUP(tbl_FACTS[[#This Row],[CategoryID]],Πίνακας4[CategoryID],Πίνακας4[CategoryName])</f>
        <v>Dairy Products</v>
      </c>
      <c r="O351">
        <f>_xlfn.XLOOKUP(tbl_FACTS[[#This Row],[ProductID]],Πίνακας7[ProductID],Πίνακας7[SupplierID])</f>
        <v>28</v>
      </c>
      <c r="P351" t="str">
        <f>_xlfn.XLOOKUP(tbl_FACTS[[#This Row],[SupplierID]],Πίνακας9[SupplierID],Πίνακας9[SupplierName])</f>
        <v>Gai paturage</v>
      </c>
      <c r="Q351" s="21">
        <f>_xlfn.XLOOKUP(tbl_FACTS[[#This Row],[ProductID]],Πίνακας7[ProductID],Πίνακας7[Price])</f>
        <v>34</v>
      </c>
      <c r="R351" s="21">
        <f>tbl_FACTS[[#This Row],[Quantity]]*tbl_FACTS[[#This Row],[Price]]</f>
        <v>204</v>
      </c>
      <c r="S351" s="19">
        <f>IF(COUNTIFS(tbl_FACTS[OrderID],tbl_FACTS[[#This Row],[OrderID]],tbl_FACTS[OrderDetailID],"&lt;"&amp;tbl_FACTS[[#This Row],[OrderDetailID]])=0,1,0)</f>
        <v>0</v>
      </c>
      <c r="T351" s="19">
        <f>YEAR(tbl_FACTS[[#This Row],[OrderDate]])</f>
        <v>1996</v>
      </c>
      <c r="U351" s="22">
        <f>DATE(YEAR(tbl_FACTS[[#This Row],[OrderDate]]),MONTH(tbl_FACTS[[#This Row],[OrderDate]]),1)</f>
        <v>35400</v>
      </c>
      <c r="V351" s="22" t="str">
        <f>IF(tbl_FACTS[[#This Row],[Quantity]]&lt;=10,"0–10",IF(tbl_FACTS[[#This Row],[Quantity]]&lt;=20,"11–20",IF(tbl_FACTS[[#This Row],[Quantity]]&lt;=30,"21–30",IF(tbl_FACTS[[#This Row],[Quantity]]&lt;=40,"31–40",IF(tbl_FACTS[[#This Row],[Quantity]]&lt;=50,"41–50","51+")))))</f>
        <v>0–10</v>
      </c>
    </row>
    <row r="352" spans="1:22">
      <c r="A352">
        <v>351</v>
      </c>
      <c r="B352">
        <v>10380</v>
      </c>
      <c r="C352">
        <v>70</v>
      </c>
      <c r="D352" s="19">
        <v>30</v>
      </c>
      <c r="E352" s="20">
        <f>_xlfn.XLOOKUP(tbl_FACTS[[#This Row],[OrderID]],Πίνακας64[OrderID],Πίνακας64[OrderDate])</f>
        <v>35411</v>
      </c>
      <c r="F352">
        <f>_xlfn.XLOOKUP(tbl_FACTS[[#This Row],[OrderID]],Πίνακας64[OrderID],Πίνακας64[CustomerID])</f>
        <v>37</v>
      </c>
      <c r="G352" t="str">
        <f>_xlfn.XLOOKUP(tbl_FACTS[[#This Row],[CustomerID]],Πίνακας1[CustomerID],Πίνακας1[CustomerName])</f>
        <v>Hungry Owl All-Night Grocers</v>
      </c>
      <c r="H352" t="str">
        <f>_xlfn.XLOOKUP(tbl_FACTS[[#This Row],[CustomerID]],Πίνακας1[CustomerID],Πίνακας1[Country])</f>
        <v>Ireland</v>
      </c>
      <c r="I352">
        <f>_xlfn.XLOOKUP(tbl_FACTS[[#This Row],[OrderID]],Πίνακας64[OrderID],Πίνακας64[EmployeeID])</f>
        <v>8</v>
      </c>
      <c r="J352">
        <f>_xlfn.XLOOKUP(tbl_FACTS[[#This Row],[OrderID]],Πίνακας64[OrderID],Πίνακας64[ShipperID])</f>
        <v>3</v>
      </c>
      <c r="K352" t="str">
        <f>_xlfn.XLOOKUP(tbl_FACTS[[#This Row],[ShipperID]],Πίνακας8[ShipperID],Πίνακας8[ShipperName])</f>
        <v>Federal Shipping</v>
      </c>
      <c r="L352" t="str">
        <f>_xlfn.XLOOKUP(tbl_FACTS[[#This Row],[ProductID]],Πίνακας7[ProductID],Πίνακας7[ProductName])</f>
        <v>Outback Lager</v>
      </c>
      <c r="M352">
        <f>_xlfn.XLOOKUP(tbl_FACTS[[#This Row],[ProductID]],Πίνακας7[ProductID],Πίνακας7[CategoryID])</f>
        <v>1</v>
      </c>
      <c r="N352" t="str">
        <f>_xlfn.XLOOKUP(tbl_FACTS[[#This Row],[CategoryID]],Πίνακας4[CategoryID],Πίνακας4[CategoryName])</f>
        <v>Beverages</v>
      </c>
      <c r="O352">
        <f>_xlfn.XLOOKUP(tbl_FACTS[[#This Row],[ProductID]],Πίνακας7[ProductID],Πίνακας7[SupplierID])</f>
        <v>7</v>
      </c>
      <c r="P352" t="str">
        <f>_xlfn.XLOOKUP(tbl_FACTS[[#This Row],[SupplierID]],Πίνακας9[SupplierID],Πίνακας9[SupplierName])</f>
        <v>Pavlova, Ltd.</v>
      </c>
      <c r="Q352" s="21">
        <f>_xlfn.XLOOKUP(tbl_FACTS[[#This Row],[ProductID]],Πίνακας7[ProductID],Πίνακας7[Price])</f>
        <v>15</v>
      </c>
      <c r="R352" s="21">
        <f>tbl_FACTS[[#This Row],[Quantity]]*tbl_FACTS[[#This Row],[Price]]</f>
        <v>450</v>
      </c>
      <c r="S352" s="19">
        <f>IF(COUNTIFS(tbl_FACTS[OrderID],tbl_FACTS[[#This Row],[OrderID]],tbl_FACTS[OrderDetailID],"&lt;"&amp;tbl_FACTS[[#This Row],[OrderDetailID]])=0,1,0)</f>
        <v>0</v>
      </c>
      <c r="T352" s="19">
        <f>YEAR(tbl_FACTS[[#This Row],[OrderDate]])</f>
        <v>1996</v>
      </c>
      <c r="U352" s="22">
        <f>DATE(YEAR(tbl_FACTS[[#This Row],[OrderDate]]),MONTH(tbl_FACTS[[#This Row],[OrderDate]]),1)</f>
        <v>35400</v>
      </c>
      <c r="V352" s="22" t="str">
        <f>IF(tbl_FACTS[[#This Row],[Quantity]]&lt;=10,"0–10",IF(tbl_FACTS[[#This Row],[Quantity]]&lt;=20,"11–20",IF(tbl_FACTS[[#This Row],[Quantity]]&lt;=30,"21–30",IF(tbl_FACTS[[#This Row],[Quantity]]&lt;=40,"31–40",IF(tbl_FACTS[[#This Row],[Quantity]]&lt;=50,"41–50","51+")))))</f>
        <v>21–30</v>
      </c>
    </row>
    <row r="353" spans="1:22">
      <c r="A353">
        <v>352</v>
      </c>
      <c r="B353">
        <v>10381</v>
      </c>
      <c r="C353">
        <v>74</v>
      </c>
      <c r="D353" s="19">
        <v>14</v>
      </c>
      <c r="E353" s="20">
        <f>_xlfn.XLOOKUP(tbl_FACTS[[#This Row],[OrderID]],Πίνακας64[OrderID],Πίνακας64[OrderDate])</f>
        <v>35411</v>
      </c>
      <c r="F353">
        <f>_xlfn.XLOOKUP(tbl_FACTS[[#This Row],[OrderID]],Πίνακας64[OrderID],Πίνακας64[CustomerID])</f>
        <v>46</v>
      </c>
      <c r="G353" t="str">
        <f>_xlfn.XLOOKUP(tbl_FACTS[[#This Row],[CustomerID]],Πίνακας1[CustomerID],Πίνακας1[CustomerName])</f>
        <v>LILA-Supermercado</v>
      </c>
      <c r="H353" t="str">
        <f>_xlfn.XLOOKUP(tbl_FACTS[[#This Row],[CustomerID]],Πίνακας1[CustomerID],Πίνακας1[Country])</f>
        <v>Venezuela</v>
      </c>
      <c r="I353">
        <f>_xlfn.XLOOKUP(tbl_FACTS[[#This Row],[OrderID]],Πίνακας64[OrderID],Πίνακας64[EmployeeID])</f>
        <v>3</v>
      </c>
      <c r="J353">
        <f>_xlfn.XLOOKUP(tbl_FACTS[[#This Row],[OrderID]],Πίνακας64[OrderID],Πίνακας64[ShipperID])</f>
        <v>3</v>
      </c>
      <c r="K353" t="str">
        <f>_xlfn.XLOOKUP(tbl_FACTS[[#This Row],[ShipperID]],Πίνακας8[ShipperID],Πίνακας8[ShipperName])</f>
        <v>Federal Shipping</v>
      </c>
      <c r="L353" t="str">
        <f>_xlfn.XLOOKUP(tbl_FACTS[[#This Row],[ProductID]],Πίνακας7[ProductID],Πίνακας7[ProductName])</f>
        <v>Longlife Tofu</v>
      </c>
      <c r="M353">
        <f>_xlfn.XLOOKUP(tbl_FACTS[[#This Row],[ProductID]],Πίνακας7[ProductID],Πίνακας7[CategoryID])</f>
        <v>7</v>
      </c>
      <c r="N353" t="str">
        <f>_xlfn.XLOOKUP(tbl_FACTS[[#This Row],[CategoryID]],Πίνακας4[CategoryID],Πίνακας4[CategoryName])</f>
        <v>Produce</v>
      </c>
      <c r="O353">
        <f>_xlfn.XLOOKUP(tbl_FACTS[[#This Row],[ProductID]],Πίνακας7[ProductID],Πίνακας7[SupplierID])</f>
        <v>4</v>
      </c>
      <c r="P353" t="str">
        <f>_xlfn.XLOOKUP(tbl_FACTS[[#This Row],[SupplierID]],Πίνακας9[SupplierID],Πίνακας9[SupplierName])</f>
        <v>Tokyo Traders</v>
      </c>
      <c r="Q353" s="21">
        <f>_xlfn.XLOOKUP(tbl_FACTS[[#This Row],[ProductID]],Πίνακας7[ProductID],Πίνακας7[Price])</f>
        <v>10</v>
      </c>
      <c r="R353" s="21">
        <f>tbl_FACTS[[#This Row],[Quantity]]*tbl_FACTS[[#This Row],[Price]]</f>
        <v>140</v>
      </c>
      <c r="S353" s="19">
        <f>IF(COUNTIFS(tbl_FACTS[OrderID],tbl_FACTS[[#This Row],[OrderID]],tbl_FACTS[OrderDetailID],"&lt;"&amp;tbl_FACTS[[#This Row],[OrderDetailID]])=0,1,0)</f>
        <v>1</v>
      </c>
      <c r="T353" s="19">
        <f>YEAR(tbl_FACTS[[#This Row],[OrderDate]])</f>
        <v>1996</v>
      </c>
      <c r="U353" s="22">
        <f>DATE(YEAR(tbl_FACTS[[#This Row],[OrderDate]]),MONTH(tbl_FACTS[[#This Row],[OrderDate]]),1)</f>
        <v>35400</v>
      </c>
      <c r="V353" s="22" t="str">
        <f>IF(tbl_FACTS[[#This Row],[Quantity]]&lt;=10,"0–10",IF(tbl_FACTS[[#This Row],[Quantity]]&lt;=20,"11–20",IF(tbl_FACTS[[#This Row],[Quantity]]&lt;=30,"21–30",IF(tbl_FACTS[[#This Row],[Quantity]]&lt;=40,"31–40",IF(tbl_FACTS[[#This Row],[Quantity]]&lt;=50,"41–50","51+")))))</f>
        <v>11–20</v>
      </c>
    </row>
    <row r="354" spans="1:22">
      <c r="A354">
        <v>353</v>
      </c>
      <c r="B354">
        <v>10382</v>
      </c>
      <c r="C354">
        <v>5</v>
      </c>
      <c r="D354" s="19">
        <v>32</v>
      </c>
      <c r="E354" s="20">
        <f>_xlfn.XLOOKUP(tbl_FACTS[[#This Row],[OrderID]],Πίνακας64[OrderID],Πίνακας64[OrderDate])</f>
        <v>35412</v>
      </c>
      <c r="F354">
        <f>_xlfn.XLOOKUP(tbl_FACTS[[#This Row],[OrderID]],Πίνακας64[OrderID],Πίνακας64[CustomerID])</f>
        <v>20</v>
      </c>
      <c r="G354" t="str">
        <f>_xlfn.XLOOKUP(tbl_FACTS[[#This Row],[CustomerID]],Πίνακας1[CustomerID],Πίνακας1[CustomerName])</f>
        <v>Ernst Handel</v>
      </c>
      <c r="H354" t="str">
        <f>_xlfn.XLOOKUP(tbl_FACTS[[#This Row],[CustomerID]],Πίνακας1[CustomerID],Πίνακας1[Country])</f>
        <v>Austria</v>
      </c>
      <c r="I354">
        <f>_xlfn.XLOOKUP(tbl_FACTS[[#This Row],[OrderID]],Πίνακας64[OrderID],Πίνακας64[EmployeeID])</f>
        <v>4</v>
      </c>
      <c r="J354">
        <f>_xlfn.XLOOKUP(tbl_FACTS[[#This Row],[OrderID]],Πίνακας64[OrderID],Πίνακας64[ShipperID])</f>
        <v>1</v>
      </c>
      <c r="K354" t="str">
        <f>_xlfn.XLOOKUP(tbl_FACTS[[#This Row],[ShipperID]],Πίνακας8[ShipperID],Πίνακας8[ShipperName])</f>
        <v>Speedy Express</v>
      </c>
      <c r="L354" t="str">
        <f>_xlfn.XLOOKUP(tbl_FACTS[[#This Row],[ProductID]],Πίνακας7[ProductID],Πίνακας7[ProductName])</f>
        <v>Chef Anton's Gumbo Mix</v>
      </c>
      <c r="M354">
        <f>_xlfn.XLOOKUP(tbl_FACTS[[#This Row],[ProductID]],Πίνακας7[ProductID],Πίνακας7[CategoryID])</f>
        <v>2</v>
      </c>
      <c r="N354" t="str">
        <f>_xlfn.XLOOKUP(tbl_FACTS[[#This Row],[CategoryID]],Πίνακας4[CategoryID],Πίνακας4[CategoryName])</f>
        <v>Condiments</v>
      </c>
      <c r="O354">
        <f>_xlfn.XLOOKUP(tbl_FACTS[[#This Row],[ProductID]],Πίνακας7[ProductID],Πίνακας7[SupplierID])</f>
        <v>2</v>
      </c>
      <c r="P354" t="str">
        <f>_xlfn.XLOOKUP(tbl_FACTS[[#This Row],[SupplierID]],Πίνακας9[SupplierID],Πίνακας9[SupplierName])</f>
        <v>New Orleans Cajun Delights</v>
      </c>
      <c r="Q354" s="21">
        <f>_xlfn.XLOOKUP(tbl_FACTS[[#This Row],[ProductID]],Πίνακας7[ProductID],Πίνακας7[Price])</f>
        <v>21</v>
      </c>
      <c r="R354" s="21">
        <f>tbl_FACTS[[#This Row],[Quantity]]*tbl_FACTS[[#This Row],[Price]]</f>
        <v>672</v>
      </c>
      <c r="S354" s="19">
        <f>IF(COUNTIFS(tbl_FACTS[OrderID],tbl_FACTS[[#This Row],[OrderID]],tbl_FACTS[OrderDetailID],"&lt;"&amp;tbl_FACTS[[#This Row],[OrderDetailID]])=0,1,0)</f>
        <v>1</v>
      </c>
      <c r="T354" s="19">
        <f>YEAR(tbl_FACTS[[#This Row],[OrderDate]])</f>
        <v>1996</v>
      </c>
      <c r="U354" s="22">
        <f>DATE(YEAR(tbl_FACTS[[#This Row],[OrderDate]]),MONTH(tbl_FACTS[[#This Row],[OrderDate]]),1)</f>
        <v>35400</v>
      </c>
      <c r="V354" s="22" t="str">
        <f>IF(tbl_FACTS[[#This Row],[Quantity]]&lt;=10,"0–10",IF(tbl_FACTS[[#This Row],[Quantity]]&lt;=20,"11–20",IF(tbl_FACTS[[#This Row],[Quantity]]&lt;=30,"21–30",IF(tbl_FACTS[[#This Row],[Quantity]]&lt;=40,"31–40",IF(tbl_FACTS[[#This Row],[Quantity]]&lt;=50,"41–50","51+")))))</f>
        <v>31–40</v>
      </c>
    </row>
    <row r="355" spans="1:22">
      <c r="A355">
        <v>354</v>
      </c>
      <c r="B355">
        <v>10382</v>
      </c>
      <c r="C355">
        <v>18</v>
      </c>
      <c r="D355" s="19">
        <v>9</v>
      </c>
      <c r="E355" s="20">
        <f>_xlfn.XLOOKUP(tbl_FACTS[[#This Row],[OrderID]],Πίνακας64[OrderID],Πίνακας64[OrderDate])</f>
        <v>35412</v>
      </c>
      <c r="F355">
        <f>_xlfn.XLOOKUP(tbl_FACTS[[#This Row],[OrderID]],Πίνακας64[OrderID],Πίνακας64[CustomerID])</f>
        <v>20</v>
      </c>
      <c r="G355" t="str">
        <f>_xlfn.XLOOKUP(tbl_FACTS[[#This Row],[CustomerID]],Πίνακας1[CustomerID],Πίνακας1[CustomerName])</f>
        <v>Ernst Handel</v>
      </c>
      <c r="H355" t="str">
        <f>_xlfn.XLOOKUP(tbl_FACTS[[#This Row],[CustomerID]],Πίνακας1[CustomerID],Πίνακας1[Country])</f>
        <v>Austria</v>
      </c>
      <c r="I355">
        <f>_xlfn.XLOOKUP(tbl_FACTS[[#This Row],[OrderID]],Πίνακας64[OrderID],Πίνακας64[EmployeeID])</f>
        <v>4</v>
      </c>
      <c r="J355">
        <f>_xlfn.XLOOKUP(tbl_FACTS[[#This Row],[OrderID]],Πίνακας64[OrderID],Πίνακας64[ShipperID])</f>
        <v>1</v>
      </c>
      <c r="K355" t="str">
        <f>_xlfn.XLOOKUP(tbl_FACTS[[#This Row],[ShipperID]],Πίνακας8[ShipperID],Πίνακας8[ShipperName])</f>
        <v>Speedy Express</v>
      </c>
      <c r="L355" t="str">
        <f>_xlfn.XLOOKUP(tbl_FACTS[[#This Row],[ProductID]],Πίνακας7[ProductID],Πίνακας7[ProductName])</f>
        <v>Carnarvon Tigers</v>
      </c>
      <c r="M355">
        <f>_xlfn.XLOOKUP(tbl_FACTS[[#This Row],[ProductID]],Πίνακας7[ProductID],Πίνακας7[CategoryID])</f>
        <v>8</v>
      </c>
      <c r="N355" t="str">
        <f>_xlfn.XLOOKUP(tbl_FACTS[[#This Row],[CategoryID]],Πίνακας4[CategoryID],Πίνακας4[CategoryName])</f>
        <v>Seafood</v>
      </c>
      <c r="O355">
        <f>_xlfn.XLOOKUP(tbl_FACTS[[#This Row],[ProductID]],Πίνακας7[ProductID],Πίνακας7[SupplierID])</f>
        <v>7</v>
      </c>
      <c r="P355" t="str">
        <f>_xlfn.XLOOKUP(tbl_FACTS[[#This Row],[SupplierID]],Πίνακας9[SupplierID],Πίνακας9[SupplierName])</f>
        <v>Pavlova, Ltd.</v>
      </c>
      <c r="Q355" s="21">
        <f>_xlfn.XLOOKUP(tbl_FACTS[[#This Row],[ProductID]],Πίνακας7[ProductID],Πίνακας7[Price])</f>
        <v>63</v>
      </c>
      <c r="R355" s="21">
        <f>tbl_FACTS[[#This Row],[Quantity]]*tbl_FACTS[[#This Row],[Price]]</f>
        <v>567</v>
      </c>
      <c r="S355" s="19">
        <f>IF(COUNTIFS(tbl_FACTS[OrderID],tbl_FACTS[[#This Row],[OrderID]],tbl_FACTS[OrderDetailID],"&lt;"&amp;tbl_FACTS[[#This Row],[OrderDetailID]])=0,1,0)</f>
        <v>0</v>
      </c>
      <c r="T355" s="19">
        <f>YEAR(tbl_FACTS[[#This Row],[OrderDate]])</f>
        <v>1996</v>
      </c>
      <c r="U355" s="22">
        <f>DATE(YEAR(tbl_FACTS[[#This Row],[OrderDate]]),MONTH(tbl_FACTS[[#This Row],[OrderDate]]),1)</f>
        <v>35400</v>
      </c>
      <c r="V355" s="22" t="str">
        <f>IF(tbl_FACTS[[#This Row],[Quantity]]&lt;=10,"0–10",IF(tbl_FACTS[[#This Row],[Quantity]]&lt;=20,"11–20",IF(tbl_FACTS[[#This Row],[Quantity]]&lt;=30,"21–30",IF(tbl_FACTS[[#This Row],[Quantity]]&lt;=40,"31–40",IF(tbl_FACTS[[#This Row],[Quantity]]&lt;=50,"41–50","51+")))))</f>
        <v>0–10</v>
      </c>
    </row>
    <row r="356" spans="1:22">
      <c r="A356">
        <v>355</v>
      </c>
      <c r="B356">
        <v>10382</v>
      </c>
      <c r="C356">
        <v>29</v>
      </c>
      <c r="D356" s="19">
        <v>14</v>
      </c>
      <c r="E356" s="20">
        <f>_xlfn.XLOOKUP(tbl_FACTS[[#This Row],[OrderID]],Πίνακας64[OrderID],Πίνακας64[OrderDate])</f>
        <v>35412</v>
      </c>
      <c r="F356">
        <f>_xlfn.XLOOKUP(tbl_FACTS[[#This Row],[OrderID]],Πίνακας64[OrderID],Πίνακας64[CustomerID])</f>
        <v>20</v>
      </c>
      <c r="G356" t="str">
        <f>_xlfn.XLOOKUP(tbl_FACTS[[#This Row],[CustomerID]],Πίνακας1[CustomerID],Πίνακας1[CustomerName])</f>
        <v>Ernst Handel</v>
      </c>
      <c r="H356" t="str">
        <f>_xlfn.XLOOKUP(tbl_FACTS[[#This Row],[CustomerID]],Πίνακας1[CustomerID],Πίνακας1[Country])</f>
        <v>Austria</v>
      </c>
      <c r="I356">
        <f>_xlfn.XLOOKUP(tbl_FACTS[[#This Row],[OrderID]],Πίνακας64[OrderID],Πίνακας64[EmployeeID])</f>
        <v>4</v>
      </c>
      <c r="J356">
        <f>_xlfn.XLOOKUP(tbl_FACTS[[#This Row],[OrderID]],Πίνακας64[OrderID],Πίνακας64[ShipperID])</f>
        <v>1</v>
      </c>
      <c r="K356" t="str">
        <f>_xlfn.XLOOKUP(tbl_FACTS[[#This Row],[ShipperID]],Πίνακας8[ShipperID],Πίνακας8[ShipperName])</f>
        <v>Speedy Express</v>
      </c>
      <c r="L356" t="str">
        <f>_xlfn.XLOOKUP(tbl_FACTS[[#This Row],[ProductID]],Πίνακας7[ProductID],Πίνακας7[ProductName])</f>
        <v>Thuringer Rostbratwurst</v>
      </c>
      <c r="M356">
        <f>_xlfn.XLOOKUP(tbl_FACTS[[#This Row],[ProductID]],Πίνακας7[ProductID],Πίνακας7[CategoryID])</f>
        <v>6</v>
      </c>
      <c r="N356" t="str">
        <f>_xlfn.XLOOKUP(tbl_FACTS[[#This Row],[CategoryID]],Πίνακας4[CategoryID],Πίνακας4[CategoryName])</f>
        <v>Meat/Poultry</v>
      </c>
      <c r="O356">
        <f>_xlfn.XLOOKUP(tbl_FACTS[[#This Row],[ProductID]],Πίνακας7[ProductID],Πίνακας7[SupplierID])</f>
        <v>12</v>
      </c>
      <c r="P356" t="str">
        <f>_xlfn.XLOOKUP(tbl_FACTS[[#This Row],[SupplierID]],Πίνακας9[SupplierID],Πίνακας9[SupplierName])</f>
        <v>Plutzer Lebensmittelgro├ƒmarkte AG</v>
      </c>
      <c r="Q356" s="21">
        <f>_xlfn.XLOOKUP(tbl_FACTS[[#This Row],[ProductID]],Πίνακας7[ProductID],Πίνακας7[Price])</f>
        <v>124</v>
      </c>
      <c r="R356" s="21">
        <f>tbl_FACTS[[#This Row],[Quantity]]*tbl_FACTS[[#This Row],[Price]]</f>
        <v>1736</v>
      </c>
      <c r="S356" s="19">
        <f>IF(COUNTIFS(tbl_FACTS[OrderID],tbl_FACTS[[#This Row],[OrderID]],tbl_FACTS[OrderDetailID],"&lt;"&amp;tbl_FACTS[[#This Row],[OrderDetailID]])=0,1,0)</f>
        <v>0</v>
      </c>
      <c r="T356" s="19">
        <f>YEAR(tbl_FACTS[[#This Row],[OrderDate]])</f>
        <v>1996</v>
      </c>
      <c r="U356" s="22">
        <f>DATE(YEAR(tbl_FACTS[[#This Row],[OrderDate]]),MONTH(tbl_FACTS[[#This Row],[OrderDate]]),1)</f>
        <v>35400</v>
      </c>
      <c r="V356" s="22" t="str">
        <f>IF(tbl_FACTS[[#This Row],[Quantity]]&lt;=10,"0–10",IF(tbl_FACTS[[#This Row],[Quantity]]&lt;=20,"11–20",IF(tbl_FACTS[[#This Row],[Quantity]]&lt;=30,"21–30",IF(tbl_FACTS[[#This Row],[Quantity]]&lt;=40,"31–40",IF(tbl_FACTS[[#This Row],[Quantity]]&lt;=50,"41–50","51+")))))</f>
        <v>11–20</v>
      </c>
    </row>
    <row r="357" spans="1:22">
      <c r="A357">
        <v>356</v>
      </c>
      <c r="B357">
        <v>10382</v>
      </c>
      <c r="C357">
        <v>33</v>
      </c>
      <c r="D357" s="19">
        <v>60</v>
      </c>
      <c r="E357" s="20">
        <f>_xlfn.XLOOKUP(tbl_FACTS[[#This Row],[OrderID]],Πίνακας64[OrderID],Πίνακας64[OrderDate])</f>
        <v>35412</v>
      </c>
      <c r="F357">
        <f>_xlfn.XLOOKUP(tbl_FACTS[[#This Row],[OrderID]],Πίνακας64[OrderID],Πίνακας64[CustomerID])</f>
        <v>20</v>
      </c>
      <c r="G357" t="str">
        <f>_xlfn.XLOOKUP(tbl_FACTS[[#This Row],[CustomerID]],Πίνακας1[CustomerID],Πίνακας1[CustomerName])</f>
        <v>Ernst Handel</v>
      </c>
      <c r="H357" t="str">
        <f>_xlfn.XLOOKUP(tbl_FACTS[[#This Row],[CustomerID]],Πίνακας1[CustomerID],Πίνακας1[Country])</f>
        <v>Austria</v>
      </c>
      <c r="I357">
        <f>_xlfn.XLOOKUP(tbl_FACTS[[#This Row],[OrderID]],Πίνακας64[OrderID],Πίνακας64[EmployeeID])</f>
        <v>4</v>
      </c>
      <c r="J357">
        <f>_xlfn.XLOOKUP(tbl_FACTS[[#This Row],[OrderID]],Πίνακας64[OrderID],Πίνακας64[ShipperID])</f>
        <v>1</v>
      </c>
      <c r="K357" t="str">
        <f>_xlfn.XLOOKUP(tbl_FACTS[[#This Row],[ShipperID]],Πίνακας8[ShipperID],Πίνακας8[ShipperName])</f>
        <v>Speedy Express</v>
      </c>
      <c r="L357" t="str">
        <f>_xlfn.XLOOKUP(tbl_FACTS[[#This Row],[ProductID]],Πίνακας7[ProductID],Πίνακας7[ProductName])</f>
        <v>Geitost</v>
      </c>
      <c r="M357">
        <f>_xlfn.XLOOKUP(tbl_FACTS[[#This Row],[ProductID]],Πίνακας7[ProductID],Πίνακας7[CategoryID])</f>
        <v>4</v>
      </c>
      <c r="N357" t="str">
        <f>_xlfn.XLOOKUP(tbl_FACTS[[#This Row],[CategoryID]],Πίνακας4[CategoryID],Πίνακας4[CategoryName])</f>
        <v>Dairy Products</v>
      </c>
      <c r="O357">
        <f>_xlfn.XLOOKUP(tbl_FACTS[[#This Row],[ProductID]],Πίνακας7[ProductID],Πίνακας7[SupplierID])</f>
        <v>15</v>
      </c>
      <c r="P357" t="str">
        <f>_xlfn.XLOOKUP(tbl_FACTS[[#This Row],[SupplierID]],Πίνακας9[SupplierID],Πίνακας9[SupplierName])</f>
        <v>Norske Meierier</v>
      </c>
      <c r="Q357" s="21">
        <f>_xlfn.XLOOKUP(tbl_FACTS[[#This Row],[ProductID]],Πίνακας7[ProductID],Πίνακας7[Price])</f>
        <v>3</v>
      </c>
      <c r="R357" s="21">
        <f>tbl_FACTS[[#This Row],[Quantity]]*tbl_FACTS[[#This Row],[Price]]</f>
        <v>180</v>
      </c>
      <c r="S357" s="19">
        <f>IF(COUNTIFS(tbl_FACTS[OrderID],tbl_FACTS[[#This Row],[OrderID]],tbl_FACTS[OrderDetailID],"&lt;"&amp;tbl_FACTS[[#This Row],[OrderDetailID]])=0,1,0)</f>
        <v>0</v>
      </c>
      <c r="T357" s="19">
        <f>YEAR(tbl_FACTS[[#This Row],[OrderDate]])</f>
        <v>1996</v>
      </c>
      <c r="U357" s="22">
        <f>DATE(YEAR(tbl_FACTS[[#This Row],[OrderDate]]),MONTH(tbl_FACTS[[#This Row],[OrderDate]]),1)</f>
        <v>35400</v>
      </c>
      <c r="V357" s="22" t="str">
        <f>IF(tbl_FACTS[[#This Row],[Quantity]]&lt;=10,"0–10",IF(tbl_FACTS[[#This Row],[Quantity]]&lt;=20,"11–20",IF(tbl_FACTS[[#This Row],[Quantity]]&lt;=30,"21–30",IF(tbl_FACTS[[#This Row],[Quantity]]&lt;=40,"31–40",IF(tbl_FACTS[[#This Row],[Quantity]]&lt;=50,"41–50","51+")))))</f>
        <v>51+</v>
      </c>
    </row>
    <row r="358" spans="1:22">
      <c r="A358">
        <v>357</v>
      </c>
      <c r="B358">
        <v>10382</v>
      </c>
      <c r="C358">
        <v>74</v>
      </c>
      <c r="D358" s="19">
        <v>50</v>
      </c>
      <c r="E358" s="20">
        <f>_xlfn.XLOOKUP(tbl_FACTS[[#This Row],[OrderID]],Πίνακας64[OrderID],Πίνακας64[OrderDate])</f>
        <v>35412</v>
      </c>
      <c r="F358">
        <f>_xlfn.XLOOKUP(tbl_FACTS[[#This Row],[OrderID]],Πίνακας64[OrderID],Πίνακας64[CustomerID])</f>
        <v>20</v>
      </c>
      <c r="G358" t="str">
        <f>_xlfn.XLOOKUP(tbl_FACTS[[#This Row],[CustomerID]],Πίνακας1[CustomerID],Πίνακας1[CustomerName])</f>
        <v>Ernst Handel</v>
      </c>
      <c r="H358" t="str">
        <f>_xlfn.XLOOKUP(tbl_FACTS[[#This Row],[CustomerID]],Πίνακας1[CustomerID],Πίνακας1[Country])</f>
        <v>Austria</v>
      </c>
      <c r="I358">
        <f>_xlfn.XLOOKUP(tbl_FACTS[[#This Row],[OrderID]],Πίνακας64[OrderID],Πίνακας64[EmployeeID])</f>
        <v>4</v>
      </c>
      <c r="J358">
        <f>_xlfn.XLOOKUP(tbl_FACTS[[#This Row],[OrderID]],Πίνακας64[OrderID],Πίνακας64[ShipperID])</f>
        <v>1</v>
      </c>
      <c r="K358" t="str">
        <f>_xlfn.XLOOKUP(tbl_FACTS[[#This Row],[ShipperID]],Πίνακας8[ShipperID],Πίνακας8[ShipperName])</f>
        <v>Speedy Express</v>
      </c>
      <c r="L358" t="str">
        <f>_xlfn.XLOOKUP(tbl_FACTS[[#This Row],[ProductID]],Πίνακας7[ProductID],Πίνακας7[ProductName])</f>
        <v>Longlife Tofu</v>
      </c>
      <c r="M358">
        <f>_xlfn.XLOOKUP(tbl_FACTS[[#This Row],[ProductID]],Πίνακας7[ProductID],Πίνακας7[CategoryID])</f>
        <v>7</v>
      </c>
      <c r="N358" t="str">
        <f>_xlfn.XLOOKUP(tbl_FACTS[[#This Row],[CategoryID]],Πίνακας4[CategoryID],Πίνακας4[CategoryName])</f>
        <v>Produce</v>
      </c>
      <c r="O358">
        <f>_xlfn.XLOOKUP(tbl_FACTS[[#This Row],[ProductID]],Πίνακας7[ProductID],Πίνακας7[SupplierID])</f>
        <v>4</v>
      </c>
      <c r="P358" t="str">
        <f>_xlfn.XLOOKUP(tbl_FACTS[[#This Row],[SupplierID]],Πίνακας9[SupplierID],Πίνακας9[SupplierName])</f>
        <v>Tokyo Traders</v>
      </c>
      <c r="Q358" s="21">
        <f>_xlfn.XLOOKUP(tbl_FACTS[[#This Row],[ProductID]],Πίνακας7[ProductID],Πίνακας7[Price])</f>
        <v>10</v>
      </c>
      <c r="R358" s="21">
        <f>tbl_FACTS[[#This Row],[Quantity]]*tbl_FACTS[[#This Row],[Price]]</f>
        <v>500</v>
      </c>
      <c r="S358" s="19">
        <f>IF(COUNTIFS(tbl_FACTS[OrderID],tbl_FACTS[[#This Row],[OrderID]],tbl_FACTS[OrderDetailID],"&lt;"&amp;tbl_FACTS[[#This Row],[OrderDetailID]])=0,1,0)</f>
        <v>0</v>
      </c>
      <c r="T358" s="19">
        <f>YEAR(tbl_FACTS[[#This Row],[OrderDate]])</f>
        <v>1996</v>
      </c>
      <c r="U358" s="22">
        <f>DATE(YEAR(tbl_FACTS[[#This Row],[OrderDate]]),MONTH(tbl_FACTS[[#This Row],[OrderDate]]),1)</f>
        <v>35400</v>
      </c>
      <c r="V358" s="22" t="str">
        <f>IF(tbl_FACTS[[#This Row],[Quantity]]&lt;=10,"0–10",IF(tbl_FACTS[[#This Row],[Quantity]]&lt;=20,"11–20",IF(tbl_FACTS[[#This Row],[Quantity]]&lt;=30,"21–30",IF(tbl_FACTS[[#This Row],[Quantity]]&lt;=40,"31–40",IF(tbl_FACTS[[#This Row],[Quantity]]&lt;=50,"41–50","51+")))))</f>
        <v>41–50</v>
      </c>
    </row>
    <row r="359" spans="1:22">
      <c r="A359">
        <v>358</v>
      </c>
      <c r="B359">
        <v>10383</v>
      </c>
      <c r="C359">
        <v>13</v>
      </c>
      <c r="D359" s="19">
        <v>20</v>
      </c>
      <c r="E359" s="20">
        <f>_xlfn.XLOOKUP(tbl_FACTS[[#This Row],[OrderID]],Πίνακας64[OrderID],Πίνακας64[OrderDate])</f>
        <v>35415</v>
      </c>
      <c r="F359">
        <f>_xlfn.XLOOKUP(tbl_FACTS[[#This Row],[OrderID]],Πίνακας64[OrderID],Πίνακας64[CustomerID])</f>
        <v>4</v>
      </c>
      <c r="G359" t="str">
        <f>_xlfn.XLOOKUP(tbl_FACTS[[#This Row],[CustomerID]],Πίνακας1[CustomerID],Πίνακας1[CustomerName])</f>
        <v>Around the Horn</v>
      </c>
      <c r="H359" t="str">
        <f>_xlfn.XLOOKUP(tbl_FACTS[[#This Row],[CustomerID]],Πίνακας1[CustomerID],Πίνακας1[Country])</f>
        <v>UK</v>
      </c>
      <c r="I359">
        <f>_xlfn.XLOOKUP(tbl_FACTS[[#This Row],[OrderID]],Πίνακας64[OrderID],Πίνακας64[EmployeeID])</f>
        <v>8</v>
      </c>
      <c r="J359">
        <f>_xlfn.XLOOKUP(tbl_FACTS[[#This Row],[OrderID]],Πίνακας64[OrderID],Πίνακας64[ShipperID])</f>
        <v>3</v>
      </c>
      <c r="K359" t="str">
        <f>_xlfn.XLOOKUP(tbl_FACTS[[#This Row],[ShipperID]],Πίνακας8[ShipperID],Πίνακας8[ShipperName])</f>
        <v>Federal Shipping</v>
      </c>
      <c r="L359" t="str">
        <f>_xlfn.XLOOKUP(tbl_FACTS[[#This Row],[ProductID]],Πίνακας7[ProductID],Πίνακας7[ProductName])</f>
        <v>Konbu</v>
      </c>
      <c r="M359">
        <f>_xlfn.XLOOKUP(tbl_FACTS[[#This Row],[ProductID]],Πίνακας7[ProductID],Πίνακας7[CategoryID])</f>
        <v>8</v>
      </c>
      <c r="N359" t="str">
        <f>_xlfn.XLOOKUP(tbl_FACTS[[#This Row],[CategoryID]],Πίνακας4[CategoryID],Πίνακας4[CategoryName])</f>
        <v>Seafood</v>
      </c>
      <c r="O359">
        <f>_xlfn.XLOOKUP(tbl_FACTS[[#This Row],[ProductID]],Πίνακας7[ProductID],Πίνακας7[SupplierID])</f>
        <v>6</v>
      </c>
      <c r="P359" t="str">
        <f>_xlfn.XLOOKUP(tbl_FACTS[[#This Row],[SupplierID]],Πίνακας9[SupplierID],Πίνακας9[SupplierName])</f>
        <v>Mayumi's</v>
      </c>
      <c r="Q359" s="21">
        <f>_xlfn.XLOOKUP(tbl_FACTS[[#This Row],[ProductID]],Πίνακας7[ProductID],Πίνακας7[Price])</f>
        <v>6</v>
      </c>
      <c r="R359" s="21">
        <f>tbl_FACTS[[#This Row],[Quantity]]*tbl_FACTS[[#This Row],[Price]]</f>
        <v>120</v>
      </c>
      <c r="S359" s="19">
        <f>IF(COUNTIFS(tbl_FACTS[OrderID],tbl_FACTS[[#This Row],[OrderID]],tbl_FACTS[OrderDetailID],"&lt;"&amp;tbl_FACTS[[#This Row],[OrderDetailID]])=0,1,0)</f>
        <v>1</v>
      </c>
      <c r="T359" s="19">
        <f>YEAR(tbl_FACTS[[#This Row],[OrderDate]])</f>
        <v>1996</v>
      </c>
      <c r="U359" s="22">
        <f>DATE(YEAR(tbl_FACTS[[#This Row],[OrderDate]]),MONTH(tbl_FACTS[[#This Row],[OrderDate]]),1)</f>
        <v>35400</v>
      </c>
      <c r="V359" s="22" t="str">
        <f>IF(tbl_FACTS[[#This Row],[Quantity]]&lt;=10,"0–10",IF(tbl_FACTS[[#This Row],[Quantity]]&lt;=20,"11–20",IF(tbl_FACTS[[#This Row],[Quantity]]&lt;=30,"21–30",IF(tbl_FACTS[[#This Row],[Quantity]]&lt;=40,"31–40",IF(tbl_FACTS[[#This Row],[Quantity]]&lt;=50,"41–50","51+")))))</f>
        <v>11–20</v>
      </c>
    </row>
    <row r="360" spans="1:22">
      <c r="A360">
        <v>359</v>
      </c>
      <c r="B360">
        <v>10383</v>
      </c>
      <c r="C360">
        <v>50</v>
      </c>
      <c r="D360" s="19">
        <v>15</v>
      </c>
      <c r="E360" s="20">
        <f>_xlfn.XLOOKUP(tbl_FACTS[[#This Row],[OrderID]],Πίνακας64[OrderID],Πίνακας64[OrderDate])</f>
        <v>35415</v>
      </c>
      <c r="F360">
        <f>_xlfn.XLOOKUP(tbl_FACTS[[#This Row],[OrderID]],Πίνακας64[OrderID],Πίνακας64[CustomerID])</f>
        <v>4</v>
      </c>
      <c r="G360" t="str">
        <f>_xlfn.XLOOKUP(tbl_FACTS[[#This Row],[CustomerID]],Πίνακας1[CustomerID],Πίνακας1[CustomerName])</f>
        <v>Around the Horn</v>
      </c>
      <c r="H360" t="str">
        <f>_xlfn.XLOOKUP(tbl_FACTS[[#This Row],[CustomerID]],Πίνακας1[CustomerID],Πίνακας1[Country])</f>
        <v>UK</v>
      </c>
      <c r="I360">
        <f>_xlfn.XLOOKUP(tbl_FACTS[[#This Row],[OrderID]],Πίνακας64[OrderID],Πίνακας64[EmployeeID])</f>
        <v>8</v>
      </c>
      <c r="J360">
        <f>_xlfn.XLOOKUP(tbl_FACTS[[#This Row],[OrderID]],Πίνακας64[OrderID],Πίνακας64[ShipperID])</f>
        <v>3</v>
      </c>
      <c r="K360" t="str">
        <f>_xlfn.XLOOKUP(tbl_FACTS[[#This Row],[ShipperID]],Πίνακας8[ShipperID],Πίνακας8[ShipperName])</f>
        <v>Federal Shipping</v>
      </c>
      <c r="L360" t="str">
        <f>_xlfn.XLOOKUP(tbl_FACTS[[#This Row],[ProductID]],Πίνακας7[ProductID],Πίνακας7[ProductName])</f>
        <v>Valkoinen suklaa</v>
      </c>
      <c r="M360">
        <f>_xlfn.XLOOKUP(tbl_FACTS[[#This Row],[ProductID]],Πίνακας7[ProductID],Πίνακας7[CategoryID])</f>
        <v>3</v>
      </c>
      <c r="N360" t="str">
        <f>_xlfn.XLOOKUP(tbl_FACTS[[#This Row],[CategoryID]],Πίνακας4[CategoryID],Πίνακας4[CategoryName])</f>
        <v>Confections</v>
      </c>
      <c r="O360">
        <f>_xlfn.XLOOKUP(tbl_FACTS[[#This Row],[ProductID]],Πίνακας7[ProductID],Πίνακας7[SupplierID])</f>
        <v>23</v>
      </c>
      <c r="P360" t="str">
        <f>_xlfn.XLOOKUP(tbl_FACTS[[#This Row],[SupplierID]],Πίνακας9[SupplierID],Πίνακας9[SupplierName])</f>
        <v>Karkki Oy</v>
      </c>
      <c r="Q360" s="21">
        <f>_xlfn.XLOOKUP(tbl_FACTS[[#This Row],[ProductID]],Πίνακας7[ProductID],Πίνακας7[Price])</f>
        <v>16</v>
      </c>
      <c r="R360" s="21">
        <f>tbl_FACTS[[#This Row],[Quantity]]*tbl_FACTS[[#This Row],[Price]]</f>
        <v>240</v>
      </c>
      <c r="S360" s="19">
        <f>IF(COUNTIFS(tbl_FACTS[OrderID],tbl_FACTS[[#This Row],[OrderID]],tbl_FACTS[OrderDetailID],"&lt;"&amp;tbl_FACTS[[#This Row],[OrderDetailID]])=0,1,0)</f>
        <v>0</v>
      </c>
      <c r="T360" s="19">
        <f>YEAR(tbl_FACTS[[#This Row],[OrderDate]])</f>
        <v>1996</v>
      </c>
      <c r="U360" s="22">
        <f>DATE(YEAR(tbl_FACTS[[#This Row],[OrderDate]]),MONTH(tbl_FACTS[[#This Row],[OrderDate]]),1)</f>
        <v>35400</v>
      </c>
      <c r="V360" s="22" t="str">
        <f>IF(tbl_FACTS[[#This Row],[Quantity]]&lt;=10,"0–10",IF(tbl_FACTS[[#This Row],[Quantity]]&lt;=20,"11–20",IF(tbl_FACTS[[#This Row],[Quantity]]&lt;=30,"21–30",IF(tbl_FACTS[[#This Row],[Quantity]]&lt;=40,"31–40",IF(tbl_FACTS[[#This Row],[Quantity]]&lt;=50,"41–50","51+")))))</f>
        <v>11–20</v>
      </c>
    </row>
    <row r="361" spans="1:22">
      <c r="A361">
        <v>360</v>
      </c>
      <c r="B361">
        <v>10383</v>
      </c>
      <c r="C361">
        <v>56</v>
      </c>
      <c r="D361" s="19">
        <v>20</v>
      </c>
      <c r="E361" s="20">
        <f>_xlfn.XLOOKUP(tbl_FACTS[[#This Row],[OrderID]],Πίνακας64[OrderID],Πίνακας64[OrderDate])</f>
        <v>35415</v>
      </c>
      <c r="F361">
        <f>_xlfn.XLOOKUP(tbl_FACTS[[#This Row],[OrderID]],Πίνακας64[OrderID],Πίνακας64[CustomerID])</f>
        <v>4</v>
      </c>
      <c r="G361" t="str">
        <f>_xlfn.XLOOKUP(tbl_FACTS[[#This Row],[CustomerID]],Πίνακας1[CustomerID],Πίνακας1[CustomerName])</f>
        <v>Around the Horn</v>
      </c>
      <c r="H361" t="str">
        <f>_xlfn.XLOOKUP(tbl_FACTS[[#This Row],[CustomerID]],Πίνακας1[CustomerID],Πίνακας1[Country])</f>
        <v>UK</v>
      </c>
      <c r="I361">
        <f>_xlfn.XLOOKUP(tbl_FACTS[[#This Row],[OrderID]],Πίνακας64[OrderID],Πίνακας64[EmployeeID])</f>
        <v>8</v>
      </c>
      <c r="J361">
        <f>_xlfn.XLOOKUP(tbl_FACTS[[#This Row],[OrderID]],Πίνακας64[OrderID],Πίνακας64[ShipperID])</f>
        <v>3</v>
      </c>
      <c r="K361" t="str">
        <f>_xlfn.XLOOKUP(tbl_FACTS[[#This Row],[ShipperID]],Πίνακας8[ShipperID],Πίνακας8[ShipperName])</f>
        <v>Federal Shipping</v>
      </c>
      <c r="L361" t="str">
        <f>_xlfn.XLOOKUP(tbl_FACTS[[#This Row],[ProductID]],Πίνακας7[ProductID],Πίνακας7[ProductName])</f>
        <v>Gnocchi di nonna Alice</v>
      </c>
      <c r="M361">
        <f>_xlfn.XLOOKUP(tbl_FACTS[[#This Row],[ProductID]],Πίνακας7[ProductID],Πίνακας7[CategoryID])</f>
        <v>5</v>
      </c>
      <c r="N361" t="str">
        <f>_xlfn.XLOOKUP(tbl_FACTS[[#This Row],[CategoryID]],Πίνακας4[CategoryID],Πίνακας4[CategoryName])</f>
        <v>Grains/Cereals</v>
      </c>
      <c r="O361">
        <f>_xlfn.XLOOKUP(tbl_FACTS[[#This Row],[ProductID]],Πίνακας7[ProductID],Πίνακας7[SupplierID])</f>
        <v>26</v>
      </c>
      <c r="P361" t="str">
        <f>_xlfn.XLOOKUP(tbl_FACTS[[#This Row],[SupplierID]],Πίνακας9[SupplierID],Πίνακας9[SupplierName])</f>
        <v>Pasta Buttini s.r.l.</v>
      </c>
      <c r="Q361" s="21">
        <f>_xlfn.XLOOKUP(tbl_FACTS[[#This Row],[ProductID]],Πίνακας7[ProductID],Πίνακας7[Price])</f>
        <v>38</v>
      </c>
      <c r="R361" s="21">
        <f>tbl_FACTS[[#This Row],[Quantity]]*tbl_FACTS[[#This Row],[Price]]</f>
        <v>760</v>
      </c>
      <c r="S361" s="19">
        <f>IF(COUNTIFS(tbl_FACTS[OrderID],tbl_FACTS[[#This Row],[OrderID]],tbl_FACTS[OrderDetailID],"&lt;"&amp;tbl_FACTS[[#This Row],[OrderDetailID]])=0,1,0)</f>
        <v>0</v>
      </c>
      <c r="T361" s="19">
        <f>YEAR(tbl_FACTS[[#This Row],[OrderDate]])</f>
        <v>1996</v>
      </c>
      <c r="U361" s="22">
        <f>DATE(YEAR(tbl_FACTS[[#This Row],[OrderDate]]),MONTH(tbl_FACTS[[#This Row],[OrderDate]]),1)</f>
        <v>35400</v>
      </c>
      <c r="V361" s="22" t="str">
        <f>IF(tbl_FACTS[[#This Row],[Quantity]]&lt;=10,"0–10",IF(tbl_FACTS[[#This Row],[Quantity]]&lt;=20,"11–20",IF(tbl_FACTS[[#This Row],[Quantity]]&lt;=30,"21–30",IF(tbl_FACTS[[#This Row],[Quantity]]&lt;=40,"31–40",IF(tbl_FACTS[[#This Row],[Quantity]]&lt;=50,"41–50","51+")))))</f>
        <v>11–20</v>
      </c>
    </row>
    <row r="362" spans="1:22">
      <c r="A362">
        <v>361</v>
      </c>
      <c r="B362">
        <v>10384</v>
      </c>
      <c r="C362">
        <v>20</v>
      </c>
      <c r="D362" s="19">
        <v>28</v>
      </c>
      <c r="E362" s="20">
        <f>_xlfn.XLOOKUP(tbl_FACTS[[#This Row],[OrderID]],Πίνακας64[OrderID],Πίνακας64[OrderDate])</f>
        <v>35415</v>
      </c>
      <c r="F362">
        <f>_xlfn.XLOOKUP(tbl_FACTS[[#This Row],[OrderID]],Πίνακας64[OrderID],Πίνακας64[CustomerID])</f>
        <v>5</v>
      </c>
      <c r="G362" t="str">
        <f>_xlfn.XLOOKUP(tbl_FACTS[[#This Row],[CustomerID]],Πίνακας1[CustomerID],Πίνακας1[CustomerName])</f>
        <v>Berglunds snabbkop</v>
      </c>
      <c r="H362" t="str">
        <f>_xlfn.XLOOKUP(tbl_FACTS[[#This Row],[CustomerID]],Πίνακας1[CustomerID],Πίνακας1[Country])</f>
        <v>Sweden</v>
      </c>
      <c r="I362">
        <f>_xlfn.XLOOKUP(tbl_FACTS[[#This Row],[OrderID]],Πίνακας64[OrderID],Πίνακας64[EmployeeID])</f>
        <v>3</v>
      </c>
      <c r="J362">
        <f>_xlfn.XLOOKUP(tbl_FACTS[[#This Row],[OrderID]],Πίνακας64[OrderID],Πίνακας64[ShipperID])</f>
        <v>3</v>
      </c>
      <c r="K362" t="str">
        <f>_xlfn.XLOOKUP(tbl_FACTS[[#This Row],[ShipperID]],Πίνακας8[ShipperID],Πίνακας8[ShipperName])</f>
        <v>Federal Shipping</v>
      </c>
      <c r="L362" t="str">
        <f>_xlfn.XLOOKUP(tbl_FACTS[[#This Row],[ProductID]],Πίνακας7[ProductID],Πίνακας7[ProductName])</f>
        <v>Sir Rodney's Marmalade</v>
      </c>
      <c r="M362">
        <f>_xlfn.XLOOKUP(tbl_FACTS[[#This Row],[ProductID]],Πίνακας7[ProductID],Πίνακας7[CategoryID])</f>
        <v>3</v>
      </c>
      <c r="N362" t="str">
        <f>_xlfn.XLOOKUP(tbl_FACTS[[#This Row],[CategoryID]],Πίνακας4[CategoryID],Πίνακας4[CategoryName])</f>
        <v>Confections</v>
      </c>
      <c r="O362">
        <f>_xlfn.XLOOKUP(tbl_FACTS[[#This Row],[ProductID]],Πίνακας7[ProductID],Πίνακας7[SupplierID])</f>
        <v>8</v>
      </c>
      <c r="P362" t="str">
        <f>_xlfn.XLOOKUP(tbl_FACTS[[#This Row],[SupplierID]],Πίνακας9[SupplierID],Πίνακας9[SupplierName])</f>
        <v>Specialty Biscuits, Ltd.</v>
      </c>
      <c r="Q362" s="21">
        <f>_xlfn.XLOOKUP(tbl_FACTS[[#This Row],[ProductID]],Πίνακας7[ProductID],Πίνακας7[Price])</f>
        <v>81</v>
      </c>
      <c r="R362" s="21">
        <f>tbl_FACTS[[#This Row],[Quantity]]*tbl_FACTS[[#This Row],[Price]]</f>
        <v>2268</v>
      </c>
      <c r="S362" s="19">
        <f>IF(COUNTIFS(tbl_FACTS[OrderID],tbl_FACTS[[#This Row],[OrderID]],tbl_FACTS[OrderDetailID],"&lt;"&amp;tbl_FACTS[[#This Row],[OrderDetailID]])=0,1,0)</f>
        <v>1</v>
      </c>
      <c r="T362" s="19">
        <f>YEAR(tbl_FACTS[[#This Row],[OrderDate]])</f>
        <v>1996</v>
      </c>
      <c r="U362" s="22">
        <f>DATE(YEAR(tbl_FACTS[[#This Row],[OrderDate]]),MONTH(tbl_FACTS[[#This Row],[OrderDate]]),1)</f>
        <v>35400</v>
      </c>
      <c r="V362" s="22" t="str">
        <f>IF(tbl_FACTS[[#This Row],[Quantity]]&lt;=10,"0–10",IF(tbl_FACTS[[#This Row],[Quantity]]&lt;=20,"11–20",IF(tbl_FACTS[[#This Row],[Quantity]]&lt;=30,"21–30",IF(tbl_FACTS[[#This Row],[Quantity]]&lt;=40,"31–40",IF(tbl_FACTS[[#This Row],[Quantity]]&lt;=50,"41–50","51+")))))</f>
        <v>21–30</v>
      </c>
    </row>
    <row r="363" spans="1:22">
      <c r="A363">
        <v>362</v>
      </c>
      <c r="B363">
        <v>10384</v>
      </c>
      <c r="C363">
        <v>60</v>
      </c>
      <c r="D363" s="19">
        <v>15</v>
      </c>
      <c r="E363" s="20">
        <f>_xlfn.XLOOKUP(tbl_FACTS[[#This Row],[OrderID]],Πίνακας64[OrderID],Πίνακας64[OrderDate])</f>
        <v>35415</v>
      </c>
      <c r="F363">
        <f>_xlfn.XLOOKUP(tbl_FACTS[[#This Row],[OrderID]],Πίνακας64[OrderID],Πίνακας64[CustomerID])</f>
        <v>5</v>
      </c>
      <c r="G363" t="str">
        <f>_xlfn.XLOOKUP(tbl_FACTS[[#This Row],[CustomerID]],Πίνακας1[CustomerID],Πίνακας1[CustomerName])</f>
        <v>Berglunds snabbkop</v>
      </c>
      <c r="H363" t="str">
        <f>_xlfn.XLOOKUP(tbl_FACTS[[#This Row],[CustomerID]],Πίνακας1[CustomerID],Πίνακας1[Country])</f>
        <v>Sweden</v>
      </c>
      <c r="I363">
        <f>_xlfn.XLOOKUP(tbl_FACTS[[#This Row],[OrderID]],Πίνακας64[OrderID],Πίνακας64[EmployeeID])</f>
        <v>3</v>
      </c>
      <c r="J363">
        <f>_xlfn.XLOOKUP(tbl_FACTS[[#This Row],[OrderID]],Πίνακας64[OrderID],Πίνακας64[ShipperID])</f>
        <v>3</v>
      </c>
      <c r="K363" t="str">
        <f>_xlfn.XLOOKUP(tbl_FACTS[[#This Row],[ShipperID]],Πίνακας8[ShipperID],Πίνακας8[ShipperName])</f>
        <v>Federal Shipping</v>
      </c>
      <c r="L363" t="str">
        <f>_xlfn.XLOOKUP(tbl_FACTS[[#This Row],[ProductID]],Πίνακας7[ProductID],Πίνακας7[ProductName])</f>
        <v>Camembert Pierrot</v>
      </c>
      <c r="M363">
        <f>_xlfn.XLOOKUP(tbl_FACTS[[#This Row],[ProductID]],Πίνακας7[ProductID],Πίνακας7[CategoryID])</f>
        <v>4</v>
      </c>
      <c r="N363" t="str">
        <f>_xlfn.XLOOKUP(tbl_FACTS[[#This Row],[CategoryID]],Πίνακας4[CategoryID],Πίνακας4[CategoryName])</f>
        <v>Dairy Products</v>
      </c>
      <c r="O363">
        <f>_xlfn.XLOOKUP(tbl_FACTS[[#This Row],[ProductID]],Πίνακας7[ProductID],Πίνακας7[SupplierID])</f>
        <v>28</v>
      </c>
      <c r="P363" t="str">
        <f>_xlfn.XLOOKUP(tbl_FACTS[[#This Row],[SupplierID]],Πίνακας9[SupplierID],Πίνακας9[SupplierName])</f>
        <v>Gai paturage</v>
      </c>
      <c r="Q363" s="21">
        <f>_xlfn.XLOOKUP(tbl_FACTS[[#This Row],[ProductID]],Πίνακας7[ProductID],Πίνακας7[Price])</f>
        <v>34</v>
      </c>
      <c r="R363" s="21">
        <f>tbl_FACTS[[#This Row],[Quantity]]*tbl_FACTS[[#This Row],[Price]]</f>
        <v>510</v>
      </c>
      <c r="S363" s="19">
        <f>IF(COUNTIFS(tbl_FACTS[OrderID],tbl_FACTS[[#This Row],[OrderID]],tbl_FACTS[OrderDetailID],"&lt;"&amp;tbl_FACTS[[#This Row],[OrderDetailID]])=0,1,0)</f>
        <v>0</v>
      </c>
      <c r="T363" s="19">
        <f>YEAR(tbl_FACTS[[#This Row],[OrderDate]])</f>
        <v>1996</v>
      </c>
      <c r="U363" s="22">
        <f>DATE(YEAR(tbl_FACTS[[#This Row],[OrderDate]]),MONTH(tbl_FACTS[[#This Row],[OrderDate]]),1)</f>
        <v>35400</v>
      </c>
      <c r="V363" s="22" t="str">
        <f>IF(tbl_FACTS[[#This Row],[Quantity]]&lt;=10,"0–10",IF(tbl_FACTS[[#This Row],[Quantity]]&lt;=20,"11–20",IF(tbl_FACTS[[#This Row],[Quantity]]&lt;=30,"21–30",IF(tbl_FACTS[[#This Row],[Quantity]]&lt;=40,"31–40",IF(tbl_FACTS[[#This Row],[Quantity]]&lt;=50,"41–50","51+")))))</f>
        <v>11–20</v>
      </c>
    </row>
    <row r="364" spans="1:22">
      <c r="A364">
        <v>363</v>
      </c>
      <c r="B364">
        <v>10385</v>
      </c>
      <c r="C364">
        <v>7</v>
      </c>
      <c r="D364" s="19">
        <v>10</v>
      </c>
      <c r="E364" s="20">
        <f>_xlfn.XLOOKUP(tbl_FACTS[[#This Row],[OrderID]],Πίνακας64[OrderID],Πίνακας64[OrderDate])</f>
        <v>35416</v>
      </c>
      <c r="F364">
        <f>_xlfn.XLOOKUP(tbl_FACTS[[#This Row],[OrderID]],Πίνακας64[OrderID],Πίνακας64[CustomerID])</f>
        <v>75</v>
      </c>
      <c r="G364" t="str">
        <f>_xlfn.XLOOKUP(tbl_FACTS[[#This Row],[CustomerID]],Πίνακας1[CustomerID],Πίνακας1[CustomerName])</f>
        <v>Split Rail Beer &amp; Ale</v>
      </c>
      <c r="H364" t="str">
        <f>_xlfn.XLOOKUP(tbl_FACTS[[#This Row],[CustomerID]],Πίνακας1[CustomerID],Πίνακας1[Country])</f>
        <v>USA</v>
      </c>
      <c r="I364">
        <f>_xlfn.XLOOKUP(tbl_FACTS[[#This Row],[OrderID]],Πίνακας64[OrderID],Πίνακας64[EmployeeID])</f>
        <v>1</v>
      </c>
      <c r="J364">
        <f>_xlfn.XLOOKUP(tbl_FACTS[[#This Row],[OrderID]],Πίνακας64[OrderID],Πίνακας64[ShipperID])</f>
        <v>2</v>
      </c>
      <c r="K364" t="str">
        <f>_xlfn.XLOOKUP(tbl_FACTS[[#This Row],[ShipperID]],Πίνακας8[ShipperID],Πίνακας8[ShipperName])</f>
        <v>United Package</v>
      </c>
      <c r="L364" t="str">
        <f>_xlfn.XLOOKUP(tbl_FACTS[[#This Row],[ProductID]],Πίνακας7[ProductID],Πίνακας7[ProductName])</f>
        <v>Uncle Bob's Organic Dried Pears</v>
      </c>
      <c r="M364">
        <f>_xlfn.XLOOKUP(tbl_FACTS[[#This Row],[ProductID]],Πίνακας7[ProductID],Πίνακας7[CategoryID])</f>
        <v>7</v>
      </c>
      <c r="N364" t="str">
        <f>_xlfn.XLOOKUP(tbl_FACTS[[#This Row],[CategoryID]],Πίνακας4[CategoryID],Πίνακας4[CategoryName])</f>
        <v>Produce</v>
      </c>
      <c r="O364">
        <f>_xlfn.XLOOKUP(tbl_FACTS[[#This Row],[ProductID]],Πίνακας7[ProductID],Πίνακας7[SupplierID])</f>
        <v>3</v>
      </c>
      <c r="P364" t="str">
        <f>_xlfn.XLOOKUP(tbl_FACTS[[#This Row],[SupplierID]],Πίνακας9[SupplierID],Πίνακας9[SupplierName])</f>
        <v>Grandma Kelly's Homestead</v>
      </c>
      <c r="Q364" s="21">
        <f>_xlfn.XLOOKUP(tbl_FACTS[[#This Row],[ProductID]],Πίνακας7[ProductID],Πίνακας7[Price])</f>
        <v>30</v>
      </c>
      <c r="R364" s="21">
        <f>tbl_FACTS[[#This Row],[Quantity]]*tbl_FACTS[[#This Row],[Price]]</f>
        <v>300</v>
      </c>
      <c r="S364" s="19">
        <f>IF(COUNTIFS(tbl_FACTS[OrderID],tbl_FACTS[[#This Row],[OrderID]],tbl_FACTS[OrderDetailID],"&lt;"&amp;tbl_FACTS[[#This Row],[OrderDetailID]])=0,1,0)</f>
        <v>1</v>
      </c>
      <c r="T364" s="19">
        <f>YEAR(tbl_FACTS[[#This Row],[OrderDate]])</f>
        <v>1996</v>
      </c>
      <c r="U364" s="22">
        <f>DATE(YEAR(tbl_FACTS[[#This Row],[OrderDate]]),MONTH(tbl_FACTS[[#This Row],[OrderDate]]),1)</f>
        <v>35400</v>
      </c>
      <c r="V364" s="22" t="str">
        <f>IF(tbl_FACTS[[#This Row],[Quantity]]&lt;=10,"0–10",IF(tbl_FACTS[[#This Row],[Quantity]]&lt;=20,"11–20",IF(tbl_FACTS[[#This Row],[Quantity]]&lt;=30,"21–30",IF(tbl_FACTS[[#This Row],[Quantity]]&lt;=40,"31–40",IF(tbl_FACTS[[#This Row],[Quantity]]&lt;=50,"41–50","51+")))))</f>
        <v>0–10</v>
      </c>
    </row>
    <row r="365" spans="1:22">
      <c r="A365">
        <v>364</v>
      </c>
      <c r="B365">
        <v>10385</v>
      </c>
      <c r="C365">
        <v>60</v>
      </c>
      <c r="D365" s="19">
        <v>20</v>
      </c>
      <c r="E365" s="20">
        <f>_xlfn.XLOOKUP(tbl_FACTS[[#This Row],[OrderID]],Πίνακας64[OrderID],Πίνακας64[OrderDate])</f>
        <v>35416</v>
      </c>
      <c r="F365">
        <f>_xlfn.XLOOKUP(tbl_FACTS[[#This Row],[OrderID]],Πίνακας64[OrderID],Πίνακας64[CustomerID])</f>
        <v>75</v>
      </c>
      <c r="G365" t="str">
        <f>_xlfn.XLOOKUP(tbl_FACTS[[#This Row],[CustomerID]],Πίνακας1[CustomerID],Πίνακας1[CustomerName])</f>
        <v>Split Rail Beer &amp; Ale</v>
      </c>
      <c r="H365" t="str">
        <f>_xlfn.XLOOKUP(tbl_FACTS[[#This Row],[CustomerID]],Πίνακας1[CustomerID],Πίνακας1[Country])</f>
        <v>USA</v>
      </c>
      <c r="I365">
        <f>_xlfn.XLOOKUP(tbl_FACTS[[#This Row],[OrderID]],Πίνακας64[OrderID],Πίνακας64[EmployeeID])</f>
        <v>1</v>
      </c>
      <c r="J365">
        <f>_xlfn.XLOOKUP(tbl_FACTS[[#This Row],[OrderID]],Πίνακας64[OrderID],Πίνακας64[ShipperID])</f>
        <v>2</v>
      </c>
      <c r="K365" t="str">
        <f>_xlfn.XLOOKUP(tbl_FACTS[[#This Row],[ShipperID]],Πίνακας8[ShipperID],Πίνακας8[ShipperName])</f>
        <v>United Package</v>
      </c>
      <c r="L365" t="str">
        <f>_xlfn.XLOOKUP(tbl_FACTS[[#This Row],[ProductID]],Πίνακας7[ProductID],Πίνακας7[ProductName])</f>
        <v>Camembert Pierrot</v>
      </c>
      <c r="M365">
        <f>_xlfn.XLOOKUP(tbl_FACTS[[#This Row],[ProductID]],Πίνακας7[ProductID],Πίνακας7[CategoryID])</f>
        <v>4</v>
      </c>
      <c r="N365" t="str">
        <f>_xlfn.XLOOKUP(tbl_FACTS[[#This Row],[CategoryID]],Πίνακας4[CategoryID],Πίνακας4[CategoryName])</f>
        <v>Dairy Products</v>
      </c>
      <c r="O365">
        <f>_xlfn.XLOOKUP(tbl_FACTS[[#This Row],[ProductID]],Πίνακας7[ProductID],Πίνακας7[SupplierID])</f>
        <v>28</v>
      </c>
      <c r="P365" t="str">
        <f>_xlfn.XLOOKUP(tbl_FACTS[[#This Row],[SupplierID]],Πίνακας9[SupplierID],Πίνακας9[SupplierName])</f>
        <v>Gai paturage</v>
      </c>
      <c r="Q365" s="21">
        <f>_xlfn.XLOOKUP(tbl_FACTS[[#This Row],[ProductID]],Πίνακας7[ProductID],Πίνακας7[Price])</f>
        <v>34</v>
      </c>
      <c r="R365" s="21">
        <f>tbl_FACTS[[#This Row],[Quantity]]*tbl_FACTS[[#This Row],[Price]]</f>
        <v>680</v>
      </c>
      <c r="S365" s="19">
        <f>IF(COUNTIFS(tbl_FACTS[OrderID],tbl_FACTS[[#This Row],[OrderID]],tbl_FACTS[OrderDetailID],"&lt;"&amp;tbl_FACTS[[#This Row],[OrderDetailID]])=0,1,0)</f>
        <v>0</v>
      </c>
      <c r="T365" s="19">
        <f>YEAR(tbl_FACTS[[#This Row],[OrderDate]])</f>
        <v>1996</v>
      </c>
      <c r="U365" s="22">
        <f>DATE(YEAR(tbl_FACTS[[#This Row],[OrderDate]]),MONTH(tbl_FACTS[[#This Row],[OrderDate]]),1)</f>
        <v>35400</v>
      </c>
      <c r="V365" s="22" t="str">
        <f>IF(tbl_FACTS[[#This Row],[Quantity]]&lt;=10,"0–10",IF(tbl_FACTS[[#This Row],[Quantity]]&lt;=20,"11–20",IF(tbl_FACTS[[#This Row],[Quantity]]&lt;=30,"21–30",IF(tbl_FACTS[[#This Row],[Quantity]]&lt;=40,"31–40",IF(tbl_FACTS[[#This Row],[Quantity]]&lt;=50,"41–50","51+")))))</f>
        <v>11–20</v>
      </c>
    </row>
    <row r="366" spans="1:22">
      <c r="A366">
        <v>365</v>
      </c>
      <c r="B366">
        <v>10385</v>
      </c>
      <c r="C366">
        <v>68</v>
      </c>
      <c r="D366" s="19">
        <v>8</v>
      </c>
      <c r="E366" s="20">
        <f>_xlfn.XLOOKUP(tbl_FACTS[[#This Row],[OrderID]],Πίνακας64[OrderID],Πίνακας64[OrderDate])</f>
        <v>35416</v>
      </c>
      <c r="F366">
        <f>_xlfn.XLOOKUP(tbl_FACTS[[#This Row],[OrderID]],Πίνακας64[OrderID],Πίνακας64[CustomerID])</f>
        <v>75</v>
      </c>
      <c r="G366" t="str">
        <f>_xlfn.XLOOKUP(tbl_FACTS[[#This Row],[CustomerID]],Πίνακας1[CustomerID],Πίνακας1[CustomerName])</f>
        <v>Split Rail Beer &amp; Ale</v>
      </c>
      <c r="H366" t="str">
        <f>_xlfn.XLOOKUP(tbl_FACTS[[#This Row],[CustomerID]],Πίνακας1[CustomerID],Πίνακας1[Country])</f>
        <v>USA</v>
      </c>
      <c r="I366">
        <f>_xlfn.XLOOKUP(tbl_FACTS[[#This Row],[OrderID]],Πίνακας64[OrderID],Πίνακας64[EmployeeID])</f>
        <v>1</v>
      </c>
      <c r="J366">
        <f>_xlfn.XLOOKUP(tbl_FACTS[[#This Row],[OrderID]],Πίνακας64[OrderID],Πίνακας64[ShipperID])</f>
        <v>2</v>
      </c>
      <c r="K366" t="str">
        <f>_xlfn.XLOOKUP(tbl_FACTS[[#This Row],[ShipperID]],Πίνακας8[ShipperID],Πίνακας8[ShipperName])</f>
        <v>United Package</v>
      </c>
      <c r="L366" t="str">
        <f>_xlfn.XLOOKUP(tbl_FACTS[[#This Row],[ProductID]],Πίνακας7[ProductID],Πίνακας7[ProductName])</f>
        <v>Scottish Longbreads</v>
      </c>
      <c r="M366">
        <f>_xlfn.XLOOKUP(tbl_FACTS[[#This Row],[ProductID]],Πίνακας7[ProductID],Πίνακας7[CategoryID])</f>
        <v>3</v>
      </c>
      <c r="N366" t="str">
        <f>_xlfn.XLOOKUP(tbl_FACTS[[#This Row],[CategoryID]],Πίνακας4[CategoryID],Πίνακας4[CategoryName])</f>
        <v>Confections</v>
      </c>
      <c r="O366">
        <f>_xlfn.XLOOKUP(tbl_FACTS[[#This Row],[ProductID]],Πίνακας7[ProductID],Πίνακας7[SupplierID])</f>
        <v>8</v>
      </c>
      <c r="P366" t="str">
        <f>_xlfn.XLOOKUP(tbl_FACTS[[#This Row],[SupplierID]],Πίνακας9[SupplierID],Πίνακας9[SupplierName])</f>
        <v>Specialty Biscuits, Ltd.</v>
      </c>
      <c r="Q366" s="21">
        <f>_xlfn.XLOOKUP(tbl_FACTS[[#This Row],[ProductID]],Πίνακας7[ProductID],Πίνακας7[Price])</f>
        <v>13</v>
      </c>
      <c r="R366" s="21">
        <f>tbl_FACTS[[#This Row],[Quantity]]*tbl_FACTS[[#This Row],[Price]]</f>
        <v>104</v>
      </c>
      <c r="S366" s="19">
        <f>IF(COUNTIFS(tbl_FACTS[OrderID],tbl_FACTS[[#This Row],[OrderID]],tbl_FACTS[OrderDetailID],"&lt;"&amp;tbl_FACTS[[#This Row],[OrderDetailID]])=0,1,0)</f>
        <v>0</v>
      </c>
      <c r="T366" s="19">
        <f>YEAR(tbl_FACTS[[#This Row],[OrderDate]])</f>
        <v>1996</v>
      </c>
      <c r="U366" s="22">
        <f>DATE(YEAR(tbl_FACTS[[#This Row],[OrderDate]]),MONTH(tbl_FACTS[[#This Row],[OrderDate]]),1)</f>
        <v>35400</v>
      </c>
      <c r="V366" s="22" t="str">
        <f>IF(tbl_FACTS[[#This Row],[Quantity]]&lt;=10,"0–10",IF(tbl_FACTS[[#This Row],[Quantity]]&lt;=20,"11–20",IF(tbl_FACTS[[#This Row],[Quantity]]&lt;=30,"21–30",IF(tbl_FACTS[[#This Row],[Quantity]]&lt;=40,"31–40",IF(tbl_FACTS[[#This Row],[Quantity]]&lt;=50,"41–50","51+")))))</f>
        <v>0–10</v>
      </c>
    </row>
    <row r="367" spans="1:22">
      <c r="A367">
        <v>366</v>
      </c>
      <c r="B367">
        <v>10386</v>
      </c>
      <c r="C367">
        <v>24</v>
      </c>
      <c r="D367" s="19">
        <v>15</v>
      </c>
      <c r="E367" s="20">
        <f>_xlfn.XLOOKUP(tbl_FACTS[[#This Row],[OrderID]],Πίνακας64[OrderID],Πίνακας64[OrderDate])</f>
        <v>35417</v>
      </c>
      <c r="F367">
        <f>_xlfn.XLOOKUP(tbl_FACTS[[#This Row],[OrderID]],Πίνακας64[OrderID],Πίνακας64[CustomerID])</f>
        <v>21</v>
      </c>
      <c r="G367" t="str">
        <f>_xlfn.XLOOKUP(tbl_FACTS[[#This Row],[CustomerID]],Πίνακας1[CustomerID],Πίνακας1[CustomerName])</f>
        <v>Familia Arquibaldo</v>
      </c>
      <c r="H367" t="str">
        <f>_xlfn.XLOOKUP(tbl_FACTS[[#This Row],[CustomerID]],Πίνακας1[CustomerID],Πίνακας1[Country])</f>
        <v>Brazil</v>
      </c>
      <c r="I367">
        <f>_xlfn.XLOOKUP(tbl_FACTS[[#This Row],[OrderID]],Πίνακας64[OrderID],Πίνακας64[EmployeeID])</f>
        <v>9</v>
      </c>
      <c r="J367">
        <f>_xlfn.XLOOKUP(tbl_FACTS[[#This Row],[OrderID]],Πίνακας64[OrderID],Πίνακας64[ShipperID])</f>
        <v>3</v>
      </c>
      <c r="K367" t="str">
        <f>_xlfn.XLOOKUP(tbl_FACTS[[#This Row],[ShipperID]],Πίνακας8[ShipperID],Πίνακας8[ShipperName])</f>
        <v>Federal Shipping</v>
      </c>
      <c r="L367" t="str">
        <f>_xlfn.XLOOKUP(tbl_FACTS[[#This Row],[ProductID]],Πίνακας7[ProductID],Πίνακας7[ProductName])</f>
        <v>Guarana Fantastica</v>
      </c>
      <c r="M367">
        <f>_xlfn.XLOOKUP(tbl_FACTS[[#This Row],[ProductID]],Πίνακας7[ProductID],Πίνακας7[CategoryID])</f>
        <v>1</v>
      </c>
      <c r="N367" t="str">
        <f>_xlfn.XLOOKUP(tbl_FACTS[[#This Row],[CategoryID]],Πίνακας4[CategoryID],Πίνακας4[CategoryName])</f>
        <v>Beverages</v>
      </c>
      <c r="O367">
        <f>_xlfn.XLOOKUP(tbl_FACTS[[#This Row],[ProductID]],Πίνακας7[ProductID],Πίνακας7[SupplierID])</f>
        <v>10</v>
      </c>
      <c r="P367" t="str">
        <f>_xlfn.XLOOKUP(tbl_FACTS[[#This Row],[SupplierID]],Πίνακας9[SupplierID],Πίνακας9[SupplierName])</f>
        <v>Refrescos Americanas LTDA</v>
      </c>
      <c r="Q367" s="21">
        <f>_xlfn.XLOOKUP(tbl_FACTS[[#This Row],[ProductID]],Πίνακας7[ProductID],Πίνακας7[Price])</f>
        <v>5</v>
      </c>
      <c r="R367" s="21">
        <f>tbl_FACTS[[#This Row],[Quantity]]*tbl_FACTS[[#This Row],[Price]]</f>
        <v>75</v>
      </c>
      <c r="S367" s="19">
        <f>IF(COUNTIFS(tbl_FACTS[OrderID],tbl_FACTS[[#This Row],[OrderID]],tbl_FACTS[OrderDetailID],"&lt;"&amp;tbl_FACTS[[#This Row],[OrderDetailID]])=0,1,0)</f>
        <v>1</v>
      </c>
      <c r="T367" s="19">
        <f>YEAR(tbl_FACTS[[#This Row],[OrderDate]])</f>
        <v>1996</v>
      </c>
      <c r="U367" s="22">
        <f>DATE(YEAR(tbl_FACTS[[#This Row],[OrderDate]]),MONTH(tbl_FACTS[[#This Row],[OrderDate]]),1)</f>
        <v>35400</v>
      </c>
      <c r="V367" s="22" t="str">
        <f>IF(tbl_FACTS[[#This Row],[Quantity]]&lt;=10,"0–10",IF(tbl_FACTS[[#This Row],[Quantity]]&lt;=20,"11–20",IF(tbl_FACTS[[#This Row],[Quantity]]&lt;=30,"21–30",IF(tbl_FACTS[[#This Row],[Quantity]]&lt;=40,"31–40",IF(tbl_FACTS[[#This Row],[Quantity]]&lt;=50,"41–50","51+")))))</f>
        <v>11–20</v>
      </c>
    </row>
    <row r="368" spans="1:22">
      <c r="A368">
        <v>367</v>
      </c>
      <c r="B368">
        <v>10386</v>
      </c>
      <c r="C368">
        <v>34</v>
      </c>
      <c r="D368" s="19">
        <v>10</v>
      </c>
      <c r="E368" s="20">
        <f>_xlfn.XLOOKUP(tbl_FACTS[[#This Row],[OrderID]],Πίνακας64[OrderID],Πίνακας64[OrderDate])</f>
        <v>35417</v>
      </c>
      <c r="F368">
        <f>_xlfn.XLOOKUP(tbl_FACTS[[#This Row],[OrderID]],Πίνακας64[OrderID],Πίνακας64[CustomerID])</f>
        <v>21</v>
      </c>
      <c r="G368" t="str">
        <f>_xlfn.XLOOKUP(tbl_FACTS[[#This Row],[CustomerID]],Πίνακας1[CustomerID],Πίνακας1[CustomerName])</f>
        <v>Familia Arquibaldo</v>
      </c>
      <c r="H368" t="str">
        <f>_xlfn.XLOOKUP(tbl_FACTS[[#This Row],[CustomerID]],Πίνακας1[CustomerID],Πίνακας1[Country])</f>
        <v>Brazil</v>
      </c>
      <c r="I368">
        <f>_xlfn.XLOOKUP(tbl_FACTS[[#This Row],[OrderID]],Πίνακας64[OrderID],Πίνακας64[EmployeeID])</f>
        <v>9</v>
      </c>
      <c r="J368">
        <f>_xlfn.XLOOKUP(tbl_FACTS[[#This Row],[OrderID]],Πίνακας64[OrderID],Πίνακας64[ShipperID])</f>
        <v>3</v>
      </c>
      <c r="K368" t="str">
        <f>_xlfn.XLOOKUP(tbl_FACTS[[#This Row],[ShipperID]],Πίνακας8[ShipperID],Πίνακας8[ShipperName])</f>
        <v>Federal Shipping</v>
      </c>
      <c r="L368" t="str">
        <f>_xlfn.XLOOKUP(tbl_FACTS[[#This Row],[ProductID]],Πίνακας7[ProductID],Πίνακας7[ProductName])</f>
        <v>Sasquatch Ale</v>
      </c>
      <c r="M368">
        <f>_xlfn.XLOOKUP(tbl_FACTS[[#This Row],[ProductID]],Πίνακας7[ProductID],Πίνακας7[CategoryID])</f>
        <v>1</v>
      </c>
      <c r="N368" t="str">
        <f>_xlfn.XLOOKUP(tbl_FACTS[[#This Row],[CategoryID]],Πίνακας4[CategoryID],Πίνακας4[CategoryName])</f>
        <v>Beverages</v>
      </c>
      <c r="O368">
        <f>_xlfn.XLOOKUP(tbl_FACTS[[#This Row],[ProductID]],Πίνακας7[ProductID],Πίνακας7[SupplierID])</f>
        <v>16</v>
      </c>
      <c r="P368" t="str">
        <f>_xlfn.XLOOKUP(tbl_FACTS[[#This Row],[SupplierID]],Πίνακας9[SupplierID],Πίνακας9[SupplierName])</f>
        <v>Bigfoot Breweries</v>
      </c>
      <c r="Q368" s="21">
        <f>_xlfn.XLOOKUP(tbl_FACTS[[#This Row],[ProductID]],Πίνακας7[ProductID],Πίνακας7[Price])</f>
        <v>14</v>
      </c>
      <c r="R368" s="21">
        <f>tbl_FACTS[[#This Row],[Quantity]]*tbl_FACTS[[#This Row],[Price]]</f>
        <v>140</v>
      </c>
      <c r="S368" s="19">
        <f>IF(COUNTIFS(tbl_FACTS[OrderID],tbl_FACTS[[#This Row],[OrderID]],tbl_FACTS[OrderDetailID],"&lt;"&amp;tbl_FACTS[[#This Row],[OrderDetailID]])=0,1,0)</f>
        <v>0</v>
      </c>
      <c r="T368" s="19">
        <f>YEAR(tbl_FACTS[[#This Row],[OrderDate]])</f>
        <v>1996</v>
      </c>
      <c r="U368" s="22">
        <f>DATE(YEAR(tbl_FACTS[[#This Row],[OrderDate]]),MONTH(tbl_FACTS[[#This Row],[OrderDate]]),1)</f>
        <v>35400</v>
      </c>
      <c r="V368" s="22" t="str">
        <f>IF(tbl_FACTS[[#This Row],[Quantity]]&lt;=10,"0–10",IF(tbl_FACTS[[#This Row],[Quantity]]&lt;=20,"11–20",IF(tbl_FACTS[[#This Row],[Quantity]]&lt;=30,"21–30",IF(tbl_FACTS[[#This Row],[Quantity]]&lt;=40,"31–40",IF(tbl_FACTS[[#This Row],[Quantity]]&lt;=50,"41–50","51+")))))</f>
        <v>0–10</v>
      </c>
    </row>
    <row r="369" spans="1:22">
      <c r="A369">
        <v>368</v>
      </c>
      <c r="B369">
        <v>10387</v>
      </c>
      <c r="C369">
        <v>24</v>
      </c>
      <c r="D369" s="19">
        <v>15</v>
      </c>
      <c r="E369" s="20">
        <f>_xlfn.XLOOKUP(tbl_FACTS[[#This Row],[OrderID]],Πίνακας64[OrderID],Πίνακας64[OrderDate])</f>
        <v>35417</v>
      </c>
      <c r="F369">
        <f>_xlfn.XLOOKUP(tbl_FACTS[[#This Row],[OrderID]],Πίνακας64[OrderID],Πίνακας64[CustomerID])</f>
        <v>70</v>
      </c>
      <c r="G369" t="str">
        <f>_xlfn.XLOOKUP(tbl_FACTS[[#This Row],[CustomerID]],Πίνακας1[CustomerID],Πίνακας1[CustomerName])</f>
        <v>Sante Gourmet</v>
      </c>
      <c r="H369" t="str">
        <f>_xlfn.XLOOKUP(tbl_FACTS[[#This Row],[CustomerID]],Πίνακας1[CustomerID],Πίνακας1[Country])</f>
        <v>Norway</v>
      </c>
      <c r="I369">
        <f>_xlfn.XLOOKUP(tbl_FACTS[[#This Row],[OrderID]],Πίνακας64[OrderID],Πίνακας64[EmployeeID])</f>
        <v>1</v>
      </c>
      <c r="J369">
        <f>_xlfn.XLOOKUP(tbl_FACTS[[#This Row],[OrderID]],Πίνακας64[OrderID],Πίνακας64[ShipperID])</f>
        <v>2</v>
      </c>
      <c r="K369" t="str">
        <f>_xlfn.XLOOKUP(tbl_FACTS[[#This Row],[ShipperID]],Πίνακας8[ShipperID],Πίνακας8[ShipperName])</f>
        <v>United Package</v>
      </c>
      <c r="L369" t="str">
        <f>_xlfn.XLOOKUP(tbl_FACTS[[#This Row],[ProductID]],Πίνακας7[ProductID],Πίνακας7[ProductName])</f>
        <v>Guarana Fantastica</v>
      </c>
      <c r="M369">
        <f>_xlfn.XLOOKUP(tbl_FACTS[[#This Row],[ProductID]],Πίνακας7[ProductID],Πίνακας7[CategoryID])</f>
        <v>1</v>
      </c>
      <c r="N369" t="str">
        <f>_xlfn.XLOOKUP(tbl_FACTS[[#This Row],[CategoryID]],Πίνακας4[CategoryID],Πίνακας4[CategoryName])</f>
        <v>Beverages</v>
      </c>
      <c r="O369">
        <f>_xlfn.XLOOKUP(tbl_FACTS[[#This Row],[ProductID]],Πίνακας7[ProductID],Πίνακας7[SupplierID])</f>
        <v>10</v>
      </c>
      <c r="P369" t="str">
        <f>_xlfn.XLOOKUP(tbl_FACTS[[#This Row],[SupplierID]],Πίνακας9[SupplierID],Πίνακας9[SupplierName])</f>
        <v>Refrescos Americanas LTDA</v>
      </c>
      <c r="Q369" s="21">
        <f>_xlfn.XLOOKUP(tbl_FACTS[[#This Row],[ProductID]],Πίνακας7[ProductID],Πίνακας7[Price])</f>
        <v>5</v>
      </c>
      <c r="R369" s="21">
        <f>tbl_FACTS[[#This Row],[Quantity]]*tbl_FACTS[[#This Row],[Price]]</f>
        <v>75</v>
      </c>
      <c r="S369" s="19">
        <f>IF(COUNTIFS(tbl_FACTS[OrderID],tbl_FACTS[[#This Row],[OrderID]],tbl_FACTS[OrderDetailID],"&lt;"&amp;tbl_FACTS[[#This Row],[OrderDetailID]])=0,1,0)</f>
        <v>1</v>
      </c>
      <c r="T369" s="19">
        <f>YEAR(tbl_FACTS[[#This Row],[OrderDate]])</f>
        <v>1996</v>
      </c>
      <c r="U369" s="22">
        <f>DATE(YEAR(tbl_FACTS[[#This Row],[OrderDate]]),MONTH(tbl_FACTS[[#This Row],[OrderDate]]),1)</f>
        <v>35400</v>
      </c>
      <c r="V369" s="22" t="str">
        <f>IF(tbl_FACTS[[#This Row],[Quantity]]&lt;=10,"0–10",IF(tbl_FACTS[[#This Row],[Quantity]]&lt;=20,"11–20",IF(tbl_FACTS[[#This Row],[Quantity]]&lt;=30,"21–30",IF(tbl_FACTS[[#This Row],[Quantity]]&lt;=40,"31–40",IF(tbl_FACTS[[#This Row],[Quantity]]&lt;=50,"41–50","51+")))))</f>
        <v>11–20</v>
      </c>
    </row>
    <row r="370" spans="1:22">
      <c r="A370">
        <v>369</v>
      </c>
      <c r="B370">
        <v>10387</v>
      </c>
      <c r="C370">
        <v>28</v>
      </c>
      <c r="D370" s="19">
        <v>6</v>
      </c>
      <c r="E370" s="20">
        <f>_xlfn.XLOOKUP(tbl_FACTS[[#This Row],[OrderID]],Πίνακας64[OrderID],Πίνακας64[OrderDate])</f>
        <v>35417</v>
      </c>
      <c r="F370">
        <f>_xlfn.XLOOKUP(tbl_FACTS[[#This Row],[OrderID]],Πίνακας64[OrderID],Πίνακας64[CustomerID])</f>
        <v>70</v>
      </c>
      <c r="G370" t="str">
        <f>_xlfn.XLOOKUP(tbl_FACTS[[#This Row],[CustomerID]],Πίνακας1[CustomerID],Πίνακας1[CustomerName])</f>
        <v>Sante Gourmet</v>
      </c>
      <c r="H370" t="str">
        <f>_xlfn.XLOOKUP(tbl_FACTS[[#This Row],[CustomerID]],Πίνακας1[CustomerID],Πίνακας1[Country])</f>
        <v>Norway</v>
      </c>
      <c r="I370">
        <f>_xlfn.XLOOKUP(tbl_FACTS[[#This Row],[OrderID]],Πίνακας64[OrderID],Πίνακας64[EmployeeID])</f>
        <v>1</v>
      </c>
      <c r="J370">
        <f>_xlfn.XLOOKUP(tbl_FACTS[[#This Row],[OrderID]],Πίνακας64[OrderID],Πίνακας64[ShipperID])</f>
        <v>2</v>
      </c>
      <c r="K370" t="str">
        <f>_xlfn.XLOOKUP(tbl_FACTS[[#This Row],[ShipperID]],Πίνακας8[ShipperID],Πίνακας8[ShipperName])</f>
        <v>United Package</v>
      </c>
      <c r="L370" t="str">
        <f>_xlfn.XLOOKUP(tbl_FACTS[[#This Row],[ProductID]],Πίνακας7[ProductID],Πίνακας7[ProductName])</f>
        <v>Rossle Sauerkraut</v>
      </c>
      <c r="M370">
        <f>_xlfn.XLOOKUP(tbl_FACTS[[#This Row],[ProductID]],Πίνακας7[ProductID],Πίνακας7[CategoryID])</f>
        <v>7</v>
      </c>
      <c r="N370" t="str">
        <f>_xlfn.XLOOKUP(tbl_FACTS[[#This Row],[CategoryID]],Πίνακας4[CategoryID],Πίνακας4[CategoryName])</f>
        <v>Produce</v>
      </c>
      <c r="O370">
        <f>_xlfn.XLOOKUP(tbl_FACTS[[#This Row],[ProductID]],Πίνακας7[ProductID],Πίνακας7[SupplierID])</f>
        <v>12</v>
      </c>
      <c r="P370" t="str">
        <f>_xlfn.XLOOKUP(tbl_FACTS[[#This Row],[SupplierID]],Πίνακας9[SupplierID],Πίνακας9[SupplierName])</f>
        <v>Plutzer Lebensmittelgro├ƒmarkte AG</v>
      </c>
      <c r="Q370" s="21">
        <f>_xlfn.XLOOKUP(tbl_FACTS[[#This Row],[ProductID]],Πίνακας7[ProductID],Πίνακας7[Price])</f>
        <v>46</v>
      </c>
      <c r="R370" s="21">
        <f>tbl_FACTS[[#This Row],[Quantity]]*tbl_FACTS[[#This Row],[Price]]</f>
        <v>276</v>
      </c>
      <c r="S370" s="19">
        <f>IF(COUNTIFS(tbl_FACTS[OrderID],tbl_FACTS[[#This Row],[OrderID]],tbl_FACTS[OrderDetailID],"&lt;"&amp;tbl_FACTS[[#This Row],[OrderDetailID]])=0,1,0)</f>
        <v>0</v>
      </c>
      <c r="T370" s="19">
        <f>YEAR(tbl_FACTS[[#This Row],[OrderDate]])</f>
        <v>1996</v>
      </c>
      <c r="U370" s="22">
        <f>DATE(YEAR(tbl_FACTS[[#This Row],[OrderDate]]),MONTH(tbl_FACTS[[#This Row],[OrderDate]]),1)</f>
        <v>35400</v>
      </c>
      <c r="V370" s="22" t="str">
        <f>IF(tbl_FACTS[[#This Row],[Quantity]]&lt;=10,"0–10",IF(tbl_FACTS[[#This Row],[Quantity]]&lt;=20,"11–20",IF(tbl_FACTS[[#This Row],[Quantity]]&lt;=30,"21–30",IF(tbl_FACTS[[#This Row],[Quantity]]&lt;=40,"31–40",IF(tbl_FACTS[[#This Row],[Quantity]]&lt;=50,"41–50","51+")))))</f>
        <v>0–10</v>
      </c>
    </row>
    <row r="371" spans="1:22">
      <c r="A371">
        <v>370</v>
      </c>
      <c r="B371">
        <v>10387</v>
      </c>
      <c r="C371">
        <v>59</v>
      </c>
      <c r="D371" s="19">
        <v>12</v>
      </c>
      <c r="E371" s="20">
        <f>_xlfn.XLOOKUP(tbl_FACTS[[#This Row],[OrderID]],Πίνακας64[OrderID],Πίνακας64[OrderDate])</f>
        <v>35417</v>
      </c>
      <c r="F371">
        <f>_xlfn.XLOOKUP(tbl_FACTS[[#This Row],[OrderID]],Πίνακας64[OrderID],Πίνακας64[CustomerID])</f>
        <v>70</v>
      </c>
      <c r="G371" t="str">
        <f>_xlfn.XLOOKUP(tbl_FACTS[[#This Row],[CustomerID]],Πίνακας1[CustomerID],Πίνακας1[CustomerName])</f>
        <v>Sante Gourmet</v>
      </c>
      <c r="H371" t="str">
        <f>_xlfn.XLOOKUP(tbl_FACTS[[#This Row],[CustomerID]],Πίνακας1[CustomerID],Πίνακας1[Country])</f>
        <v>Norway</v>
      </c>
      <c r="I371">
        <f>_xlfn.XLOOKUP(tbl_FACTS[[#This Row],[OrderID]],Πίνακας64[OrderID],Πίνακας64[EmployeeID])</f>
        <v>1</v>
      </c>
      <c r="J371">
        <f>_xlfn.XLOOKUP(tbl_FACTS[[#This Row],[OrderID]],Πίνακας64[OrderID],Πίνακας64[ShipperID])</f>
        <v>2</v>
      </c>
      <c r="K371" t="str">
        <f>_xlfn.XLOOKUP(tbl_FACTS[[#This Row],[ShipperID]],Πίνακας8[ShipperID],Πίνακας8[ShipperName])</f>
        <v>United Package</v>
      </c>
      <c r="L371" t="str">
        <f>_xlfn.XLOOKUP(tbl_FACTS[[#This Row],[ProductID]],Πίνακας7[ProductID],Πίνακας7[ProductName])</f>
        <v>Raclette Courdavault</v>
      </c>
      <c r="M371">
        <f>_xlfn.XLOOKUP(tbl_FACTS[[#This Row],[ProductID]],Πίνακας7[ProductID],Πίνακας7[CategoryID])</f>
        <v>4</v>
      </c>
      <c r="N371" t="str">
        <f>_xlfn.XLOOKUP(tbl_FACTS[[#This Row],[CategoryID]],Πίνακας4[CategoryID],Πίνακας4[CategoryName])</f>
        <v>Dairy Products</v>
      </c>
      <c r="O371">
        <f>_xlfn.XLOOKUP(tbl_FACTS[[#This Row],[ProductID]],Πίνακας7[ProductID],Πίνακας7[SupplierID])</f>
        <v>28</v>
      </c>
      <c r="P371" t="str">
        <f>_xlfn.XLOOKUP(tbl_FACTS[[#This Row],[SupplierID]],Πίνακας9[SupplierID],Πίνακας9[SupplierName])</f>
        <v>Gai paturage</v>
      </c>
      <c r="Q371" s="21">
        <f>_xlfn.XLOOKUP(tbl_FACTS[[#This Row],[ProductID]],Πίνακας7[ProductID],Πίνακας7[Price])</f>
        <v>55</v>
      </c>
      <c r="R371" s="21">
        <f>tbl_FACTS[[#This Row],[Quantity]]*tbl_FACTS[[#This Row],[Price]]</f>
        <v>660</v>
      </c>
      <c r="S371" s="19">
        <f>IF(COUNTIFS(tbl_FACTS[OrderID],tbl_FACTS[[#This Row],[OrderID]],tbl_FACTS[OrderDetailID],"&lt;"&amp;tbl_FACTS[[#This Row],[OrderDetailID]])=0,1,0)</f>
        <v>0</v>
      </c>
      <c r="T371" s="19">
        <f>YEAR(tbl_FACTS[[#This Row],[OrderDate]])</f>
        <v>1996</v>
      </c>
      <c r="U371" s="22">
        <f>DATE(YEAR(tbl_FACTS[[#This Row],[OrderDate]]),MONTH(tbl_FACTS[[#This Row],[OrderDate]]),1)</f>
        <v>35400</v>
      </c>
      <c r="V371" s="22" t="str">
        <f>IF(tbl_FACTS[[#This Row],[Quantity]]&lt;=10,"0–10",IF(tbl_FACTS[[#This Row],[Quantity]]&lt;=20,"11–20",IF(tbl_FACTS[[#This Row],[Quantity]]&lt;=30,"21–30",IF(tbl_FACTS[[#This Row],[Quantity]]&lt;=40,"31–40",IF(tbl_FACTS[[#This Row],[Quantity]]&lt;=50,"41–50","51+")))))</f>
        <v>11–20</v>
      </c>
    </row>
    <row r="372" spans="1:22">
      <c r="A372">
        <v>371</v>
      </c>
      <c r="B372">
        <v>10387</v>
      </c>
      <c r="C372">
        <v>71</v>
      </c>
      <c r="D372" s="19">
        <v>15</v>
      </c>
      <c r="E372" s="20">
        <f>_xlfn.XLOOKUP(tbl_FACTS[[#This Row],[OrderID]],Πίνακας64[OrderID],Πίνακας64[OrderDate])</f>
        <v>35417</v>
      </c>
      <c r="F372">
        <f>_xlfn.XLOOKUP(tbl_FACTS[[#This Row],[OrderID]],Πίνακας64[OrderID],Πίνακας64[CustomerID])</f>
        <v>70</v>
      </c>
      <c r="G372" t="str">
        <f>_xlfn.XLOOKUP(tbl_FACTS[[#This Row],[CustomerID]],Πίνακας1[CustomerID],Πίνακας1[CustomerName])</f>
        <v>Sante Gourmet</v>
      </c>
      <c r="H372" t="str">
        <f>_xlfn.XLOOKUP(tbl_FACTS[[#This Row],[CustomerID]],Πίνακας1[CustomerID],Πίνακας1[Country])</f>
        <v>Norway</v>
      </c>
      <c r="I372">
        <f>_xlfn.XLOOKUP(tbl_FACTS[[#This Row],[OrderID]],Πίνακας64[OrderID],Πίνακας64[EmployeeID])</f>
        <v>1</v>
      </c>
      <c r="J372">
        <f>_xlfn.XLOOKUP(tbl_FACTS[[#This Row],[OrderID]],Πίνακας64[OrderID],Πίνακας64[ShipperID])</f>
        <v>2</v>
      </c>
      <c r="K372" t="str">
        <f>_xlfn.XLOOKUP(tbl_FACTS[[#This Row],[ShipperID]],Πίνακας8[ShipperID],Πίνακας8[ShipperName])</f>
        <v>United Package</v>
      </c>
      <c r="L372" t="str">
        <f>_xlfn.XLOOKUP(tbl_FACTS[[#This Row],[ProductID]],Πίνακας7[ProductID],Πίνακας7[ProductName])</f>
        <v>Fl├©temysost</v>
      </c>
      <c r="M372">
        <f>_xlfn.XLOOKUP(tbl_FACTS[[#This Row],[ProductID]],Πίνακας7[ProductID],Πίνακας7[CategoryID])</f>
        <v>4</v>
      </c>
      <c r="N372" t="str">
        <f>_xlfn.XLOOKUP(tbl_FACTS[[#This Row],[CategoryID]],Πίνακας4[CategoryID],Πίνακας4[CategoryName])</f>
        <v>Dairy Products</v>
      </c>
      <c r="O372">
        <f>_xlfn.XLOOKUP(tbl_FACTS[[#This Row],[ProductID]],Πίνακας7[ProductID],Πίνακας7[SupplierID])</f>
        <v>15</v>
      </c>
      <c r="P372" t="str">
        <f>_xlfn.XLOOKUP(tbl_FACTS[[#This Row],[SupplierID]],Πίνακας9[SupplierID],Πίνακας9[SupplierName])</f>
        <v>Norske Meierier</v>
      </c>
      <c r="Q372" s="21">
        <f>_xlfn.XLOOKUP(tbl_FACTS[[#This Row],[ProductID]],Πίνακας7[ProductID],Πίνακας7[Price])</f>
        <v>22</v>
      </c>
      <c r="R372" s="21">
        <f>tbl_FACTS[[#This Row],[Quantity]]*tbl_FACTS[[#This Row],[Price]]</f>
        <v>330</v>
      </c>
      <c r="S372" s="19">
        <f>IF(COUNTIFS(tbl_FACTS[OrderID],tbl_FACTS[[#This Row],[OrderID]],tbl_FACTS[OrderDetailID],"&lt;"&amp;tbl_FACTS[[#This Row],[OrderDetailID]])=0,1,0)</f>
        <v>0</v>
      </c>
      <c r="T372" s="19">
        <f>YEAR(tbl_FACTS[[#This Row],[OrderDate]])</f>
        <v>1996</v>
      </c>
      <c r="U372" s="22">
        <f>DATE(YEAR(tbl_FACTS[[#This Row],[OrderDate]]),MONTH(tbl_FACTS[[#This Row],[OrderDate]]),1)</f>
        <v>35400</v>
      </c>
      <c r="V372" s="22" t="str">
        <f>IF(tbl_FACTS[[#This Row],[Quantity]]&lt;=10,"0–10",IF(tbl_FACTS[[#This Row],[Quantity]]&lt;=20,"11–20",IF(tbl_FACTS[[#This Row],[Quantity]]&lt;=30,"21–30",IF(tbl_FACTS[[#This Row],[Quantity]]&lt;=40,"31–40",IF(tbl_FACTS[[#This Row],[Quantity]]&lt;=50,"41–50","51+")))))</f>
        <v>11–20</v>
      </c>
    </row>
    <row r="373" spans="1:22">
      <c r="A373">
        <v>372</v>
      </c>
      <c r="B373">
        <v>10388</v>
      </c>
      <c r="C373">
        <v>45</v>
      </c>
      <c r="D373" s="19">
        <v>15</v>
      </c>
      <c r="E373" s="20">
        <f>_xlfn.XLOOKUP(tbl_FACTS[[#This Row],[OrderID]],Πίνακας64[OrderID],Πίνακας64[OrderDate])</f>
        <v>35418</v>
      </c>
      <c r="F373">
        <f>_xlfn.XLOOKUP(tbl_FACTS[[#This Row],[OrderID]],Πίνακας64[OrderID],Πίνακας64[CustomerID])</f>
        <v>72</v>
      </c>
      <c r="G373" t="str">
        <f>_xlfn.XLOOKUP(tbl_FACTS[[#This Row],[CustomerID]],Πίνακας1[CustomerID],Πίνακας1[CustomerName])</f>
        <v>Seven Seas Imports</v>
      </c>
      <c r="H373" t="str">
        <f>_xlfn.XLOOKUP(tbl_FACTS[[#This Row],[CustomerID]],Πίνακας1[CustomerID],Πίνακας1[Country])</f>
        <v>UK</v>
      </c>
      <c r="I373">
        <f>_xlfn.XLOOKUP(tbl_FACTS[[#This Row],[OrderID]],Πίνακας64[OrderID],Πίνακας64[EmployeeID])</f>
        <v>2</v>
      </c>
      <c r="J373">
        <f>_xlfn.XLOOKUP(tbl_FACTS[[#This Row],[OrderID]],Πίνακας64[OrderID],Πίνακας64[ShipperID])</f>
        <v>1</v>
      </c>
      <c r="K373" t="str">
        <f>_xlfn.XLOOKUP(tbl_FACTS[[#This Row],[ShipperID]],Πίνακας8[ShipperID],Πίνακας8[ShipperName])</f>
        <v>Speedy Express</v>
      </c>
      <c r="L373" t="str">
        <f>_xlfn.XLOOKUP(tbl_FACTS[[#This Row],[ProductID]],Πίνακας7[ProductID],Πίνακας7[ProductName])</f>
        <v>R├©gede sild</v>
      </c>
      <c r="M373">
        <f>_xlfn.XLOOKUP(tbl_FACTS[[#This Row],[ProductID]],Πίνακας7[ProductID],Πίνακας7[CategoryID])</f>
        <v>8</v>
      </c>
      <c r="N373" t="str">
        <f>_xlfn.XLOOKUP(tbl_FACTS[[#This Row],[CategoryID]],Πίνακας4[CategoryID],Πίνακας4[CategoryName])</f>
        <v>Seafood</v>
      </c>
      <c r="O373">
        <f>_xlfn.XLOOKUP(tbl_FACTS[[#This Row],[ProductID]],Πίνακας7[ProductID],Πίνακας7[SupplierID])</f>
        <v>21</v>
      </c>
      <c r="P373" t="str">
        <f>_xlfn.XLOOKUP(tbl_FACTS[[#This Row],[SupplierID]],Πίνακας9[SupplierID],Πίνακας9[SupplierName])</f>
        <v>Lyngbysild</v>
      </c>
      <c r="Q373" s="21">
        <f>_xlfn.XLOOKUP(tbl_FACTS[[#This Row],[ProductID]],Πίνακας7[ProductID],Πίνακας7[Price])</f>
        <v>10</v>
      </c>
      <c r="R373" s="21">
        <f>tbl_FACTS[[#This Row],[Quantity]]*tbl_FACTS[[#This Row],[Price]]</f>
        <v>150</v>
      </c>
      <c r="S373" s="19">
        <f>IF(COUNTIFS(tbl_FACTS[OrderID],tbl_FACTS[[#This Row],[OrderID]],tbl_FACTS[OrderDetailID],"&lt;"&amp;tbl_FACTS[[#This Row],[OrderDetailID]])=0,1,0)</f>
        <v>1</v>
      </c>
      <c r="T373" s="19">
        <f>YEAR(tbl_FACTS[[#This Row],[OrderDate]])</f>
        <v>1996</v>
      </c>
      <c r="U373" s="22">
        <f>DATE(YEAR(tbl_FACTS[[#This Row],[OrderDate]]),MONTH(tbl_FACTS[[#This Row],[OrderDate]]),1)</f>
        <v>35400</v>
      </c>
      <c r="V373" s="22" t="str">
        <f>IF(tbl_FACTS[[#This Row],[Quantity]]&lt;=10,"0–10",IF(tbl_FACTS[[#This Row],[Quantity]]&lt;=20,"11–20",IF(tbl_FACTS[[#This Row],[Quantity]]&lt;=30,"21–30",IF(tbl_FACTS[[#This Row],[Quantity]]&lt;=40,"31–40",IF(tbl_FACTS[[#This Row],[Quantity]]&lt;=50,"41–50","51+")))))</f>
        <v>11–20</v>
      </c>
    </row>
    <row r="374" spans="1:22">
      <c r="A374">
        <v>373</v>
      </c>
      <c r="B374">
        <v>10388</v>
      </c>
      <c r="C374">
        <v>52</v>
      </c>
      <c r="D374" s="19">
        <v>20</v>
      </c>
      <c r="E374" s="20">
        <f>_xlfn.XLOOKUP(tbl_FACTS[[#This Row],[OrderID]],Πίνακας64[OrderID],Πίνακας64[OrderDate])</f>
        <v>35418</v>
      </c>
      <c r="F374">
        <f>_xlfn.XLOOKUP(tbl_FACTS[[#This Row],[OrderID]],Πίνακας64[OrderID],Πίνακας64[CustomerID])</f>
        <v>72</v>
      </c>
      <c r="G374" t="str">
        <f>_xlfn.XLOOKUP(tbl_FACTS[[#This Row],[CustomerID]],Πίνακας1[CustomerID],Πίνακας1[CustomerName])</f>
        <v>Seven Seas Imports</v>
      </c>
      <c r="H374" t="str">
        <f>_xlfn.XLOOKUP(tbl_FACTS[[#This Row],[CustomerID]],Πίνακας1[CustomerID],Πίνακας1[Country])</f>
        <v>UK</v>
      </c>
      <c r="I374">
        <f>_xlfn.XLOOKUP(tbl_FACTS[[#This Row],[OrderID]],Πίνακας64[OrderID],Πίνακας64[EmployeeID])</f>
        <v>2</v>
      </c>
      <c r="J374">
        <f>_xlfn.XLOOKUP(tbl_FACTS[[#This Row],[OrderID]],Πίνακας64[OrderID],Πίνακας64[ShipperID])</f>
        <v>1</v>
      </c>
      <c r="K374" t="str">
        <f>_xlfn.XLOOKUP(tbl_FACTS[[#This Row],[ShipperID]],Πίνακας8[ShipperID],Πίνακας8[ShipperName])</f>
        <v>Speedy Express</v>
      </c>
      <c r="L374" t="str">
        <f>_xlfn.XLOOKUP(tbl_FACTS[[#This Row],[ProductID]],Πίνακας7[ProductID],Πίνακας7[ProductName])</f>
        <v>Filo Mix</v>
      </c>
      <c r="M374">
        <f>_xlfn.XLOOKUP(tbl_FACTS[[#This Row],[ProductID]],Πίνακας7[ProductID],Πίνακας7[CategoryID])</f>
        <v>5</v>
      </c>
      <c r="N374" t="str">
        <f>_xlfn.XLOOKUP(tbl_FACTS[[#This Row],[CategoryID]],Πίνακας4[CategoryID],Πίνακας4[CategoryName])</f>
        <v>Grains/Cereals</v>
      </c>
      <c r="O374">
        <f>_xlfn.XLOOKUP(tbl_FACTS[[#This Row],[ProductID]],Πίνακας7[ProductID],Πίνακας7[SupplierID])</f>
        <v>24</v>
      </c>
      <c r="P374" t="str">
        <f>_xlfn.XLOOKUP(tbl_FACTS[[#This Row],[SupplierID]],Πίνακας9[SupplierID],Πίνακας9[SupplierName])</f>
        <v>G'day, Mate</v>
      </c>
      <c r="Q374" s="21">
        <f>_xlfn.XLOOKUP(tbl_FACTS[[#This Row],[ProductID]],Πίνακας7[ProductID],Πίνακας7[Price])</f>
        <v>7</v>
      </c>
      <c r="R374" s="21">
        <f>tbl_FACTS[[#This Row],[Quantity]]*tbl_FACTS[[#This Row],[Price]]</f>
        <v>140</v>
      </c>
      <c r="S374" s="19">
        <f>IF(COUNTIFS(tbl_FACTS[OrderID],tbl_FACTS[[#This Row],[OrderID]],tbl_FACTS[OrderDetailID],"&lt;"&amp;tbl_FACTS[[#This Row],[OrderDetailID]])=0,1,0)</f>
        <v>0</v>
      </c>
      <c r="T374" s="19">
        <f>YEAR(tbl_FACTS[[#This Row],[OrderDate]])</f>
        <v>1996</v>
      </c>
      <c r="U374" s="22">
        <f>DATE(YEAR(tbl_FACTS[[#This Row],[OrderDate]]),MONTH(tbl_FACTS[[#This Row],[OrderDate]]),1)</f>
        <v>35400</v>
      </c>
      <c r="V374" s="22" t="str">
        <f>IF(tbl_FACTS[[#This Row],[Quantity]]&lt;=10,"0–10",IF(tbl_FACTS[[#This Row],[Quantity]]&lt;=20,"11–20",IF(tbl_FACTS[[#This Row],[Quantity]]&lt;=30,"21–30",IF(tbl_FACTS[[#This Row],[Quantity]]&lt;=40,"31–40",IF(tbl_FACTS[[#This Row],[Quantity]]&lt;=50,"41–50","51+")))))</f>
        <v>11–20</v>
      </c>
    </row>
    <row r="375" spans="1:22">
      <c r="A375">
        <v>374</v>
      </c>
      <c r="B375">
        <v>10388</v>
      </c>
      <c r="C375">
        <v>53</v>
      </c>
      <c r="D375" s="19">
        <v>40</v>
      </c>
      <c r="E375" s="20">
        <f>_xlfn.XLOOKUP(tbl_FACTS[[#This Row],[OrderID]],Πίνακας64[OrderID],Πίνακας64[OrderDate])</f>
        <v>35418</v>
      </c>
      <c r="F375">
        <f>_xlfn.XLOOKUP(tbl_FACTS[[#This Row],[OrderID]],Πίνακας64[OrderID],Πίνακας64[CustomerID])</f>
        <v>72</v>
      </c>
      <c r="G375" t="str">
        <f>_xlfn.XLOOKUP(tbl_FACTS[[#This Row],[CustomerID]],Πίνακας1[CustomerID],Πίνακας1[CustomerName])</f>
        <v>Seven Seas Imports</v>
      </c>
      <c r="H375" t="str">
        <f>_xlfn.XLOOKUP(tbl_FACTS[[#This Row],[CustomerID]],Πίνακας1[CustomerID],Πίνακας1[Country])</f>
        <v>UK</v>
      </c>
      <c r="I375">
        <f>_xlfn.XLOOKUP(tbl_FACTS[[#This Row],[OrderID]],Πίνακας64[OrderID],Πίνακας64[EmployeeID])</f>
        <v>2</v>
      </c>
      <c r="J375">
        <f>_xlfn.XLOOKUP(tbl_FACTS[[#This Row],[OrderID]],Πίνακας64[OrderID],Πίνακας64[ShipperID])</f>
        <v>1</v>
      </c>
      <c r="K375" t="str">
        <f>_xlfn.XLOOKUP(tbl_FACTS[[#This Row],[ShipperID]],Πίνακας8[ShipperID],Πίνακας8[ShipperName])</f>
        <v>Speedy Express</v>
      </c>
      <c r="L375" t="str">
        <f>_xlfn.XLOOKUP(tbl_FACTS[[#This Row],[ProductID]],Πίνακας7[ProductID],Πίνακας7[ProductName])</f>
        <v>Perth Pasties</v>
      </c>
      <c r="M375">
        <f>_xlfn.XLOOKUP(tbl_FACTS[[#This Row],[ProductID]],Πίνακας7[ProductID],Πίνακας7[CategoryID])</f>
        <v>6</v>
      </c>
      <c r="N375" t="str">
        <f>_xlfn.XLOOKUP(tbl_FACTS[[#This Row],[CategoryID]],Πίνακας4[CategoryID],Πίνακας4[CategoryName])</f>
        <v>Meat/Poultry</v>
      </c>
      <c r="O375">
        <f>_xlfn.XLOOKUP(tbl_FACTS[[#This Row],[ProductID]],Πίνακας7[ProductID],Πίνακας7[SupplierID])</f>
        <v>24</v>
      </c>
      <c r="P375" t="str">
        <f>_xlfn.XLOOKUP(tbl_FACTS[[#This Row],[SupplierID]],Πίνακας9[SupplierID],Πίνακας9[SupplierName])</f>
        <v>G'day, Mate</v>
      </c>
      <c r="Q375" s="21">
        <f>_xlfn.XLOOKUP(tbl_FACTS[[#This Row],[ProductID]],Πίνακας7[ProductID],Πίνακας7[Price])</f>
        <v>33</v>
      </c>
      <c r="R375" s="21">
        <f>tbl_FACTS[[#This Row],[Quantity]]*tbl_FACTS[[#This Row],[Price]]</f>
        <v>1320</v>
      </c>
      <c r="S375" s="19">
        <f>IF(COUNTIFS(tbl_FACTS[OrderID],tbl_FACTS[[#This Row],[OrderID]],tbl_FACTS[OrderDetailID],"&lt;"&amp;tbl_FACTS[[#This Row],[OrderDetailID]])=0,1,0)</f>
        <v>0</v>
      </c>
      <c r="T375" s="19">
        <f>YEAR(tbl_FACTS[[#This Row],[OrderDate]])</f>
        <v>1996</v>
      </c>
      <c r="U375" s="22">
        <f>DATE(YEAR(tbl_FACTS[[#This Row],[OrderDate]]),MONTH(tbl_FACTS[[#This Row],[OrderDate]]),1)</f>
        <v>35400</v>
      </c>
      <c r="V375" s="22" t="str">
        <f>IF(tbl_FACTS[[#This Row],[Quantity]]&lt;=10,"0–10",IF(tbl_FACTS[[#This Row],[Quantity]]&lt;=20,"11–20",IF(tbl_FACTS[[#This Row],[Quantity]]&lt;=30,"21–30",IF(tbl_FACTS[[#This Row],[Quantity]]&lt;=40,"31–40",IF(tbl_FACTS[[#This Row],[Quantity]]&lt;=50,"41–50","51+")))))</f>
        <v>31–40</v>
      </c>
    </row>
    <row r="376" spans="1:22">
      <c r="A376">
        <v>375</v>
      </c>
      <c r="B376">
        <v>10389</v>
      </c>
      <c r="C376">
        <v>10</v>
      </c>
      <c r="D376" s="19">
        <v>16</v>
      </c>
      <c r="E376" s="20">
        <f>_xlfn.XLOOKUP(tbl_FACTS[[#This Row],[OrderID]],Πίνακας64[OrderID],Πίνακας64[OrderDate])</f>
        <v>35419</v>
      </c>
      <c r="F376">
        <f>_xlfn.XLOOKUP(tbl_FACTS[[#This Row],[OrderID]],Πίνακας64[OrderID],Πίνακας64[CustomerID])</f>
        <v>10</v>
      </c>
      <c r="G376" t="str">
        <f>_xlfn.XLOOKUP(tbl_FACTS[[#This Row],[CustomerID]],Πίνακας1[CustomerID],Πίνακας1[CustomerName])</f>
        <v>Bottom-Dollar Marketse</v>
      </c>
      <c r="H376" t="str">
        <f>_xlfn.XLOOKUP(tbl_FACTS[[#This Row],[CustomerID]],Πίνακας1[CustomerID],Πίνακας1[Country])</f>
        <v>Canada</v>
      </c>
      <c r="I376">
        <f>_xlfn.XLOOKUP(tbl_FACTS[[#This Row],[OrderID]],Πίνακας64[OrderID],Πίνακας64[EmployeeID])</f>
        <v>4</v>
      </c>
      <c r="J376">
        <f>_xlfn.XLOOKUP(tbl_FACTS[[#This Row],[OrderID]],Πίνακας64[OrderID],Πίνακας64[ShipperID])</f>
        <v>2</v>
      </c>
      <c r="K376" t="str">
        <f>_xlfn.XLOOKUP(tbl_FACTS[[#This Row],[ShipperID]],Πίνακας8[ShipperID],Πίνακας8[ShipperName])</f>
        <v>United Package</v>
      </c>
      <c r="L376" t="str">
        <f>_xlfn.XLOOKUP(tbl_FACTS[[#This Row],[ProductID]],Πίνακας7[ProductID],Πίνακας7[ProductName])</f>
        <v>Ikura</v>
      </c>
      <c r="M376">
        <f>_xlfn.XLOOKUP(tbl_FACTS[[#This Row],[ProductID]],Πίνακας7[ProductID],Πίνακας7[CategoryID])</f>
        <v>8</v>
      </c>
      <c r="N376" t="str">
        <f>_xlfn.XLOOKUP(tbl_FACTS[[#This Row],[CategoryID]],Πίνακας4[CategoryID],Πίνακας4[CategoryName])</f>
        <v>Seafood</v>
      </c>
      <c r="O376">
        <f>_xlfn.XLOOKUP(tbl_FACTS[[#This Row],[ProductID]],Πίνακας7[ProductID],Πίνακας7[SupplierID])</f>
        <v>4</v>
      </c>
      <c r="P376" t="str">
        <f>_xlfn.XLOOKUP(tbl_FACTS[[#This Row],[SupplierID]],Πίνακας9[SupplierID],Πίνακας9[SupplierName])</f>
        <v>Tokyo Traders</v>
      </c>
      <c r="Q376" s="21">
        <f>_xlfn.XLOOKUP(tbl_FACTS[[#This Row],[ProductID]],Πίνακας7[ProductID],Πίνακας7[Price])</f>
        <v>31</v>
      </c>
      <c r="R376" s="21">
        <f>tbl_FACTS[[#This Row],[Quantity]]*tbl_FACTS[[#This Row],[Price]]</f>
        <v>496</v>
      </c>
      <c r="S376" s="19">
        <f>IF(COUNTIFS(tbl_FACTS[OrderID],tbl_FACTS[[#This Row],[OrderID]],tbl_FACTS[OrderDetailID],"&lt;"&amp;tbl_FACTS[[#This Row],[OrderDetailID]])=0,1,0)</f>
        <v>1</v>
      </c>
      <c r="T376" s="19">
        <f>YEAR(tbl_FACTS[[#This Row],[OrderDate]])</f>
        <v>1996</v>
      </c>
      <c r="U376" s="22">
        <f>DATE(YEAR(tbl_FACTS[[#This Row],[OrderDate]]),MONTH(tbl_FACTS[[#This Row],[OrderDate]]),1)</f>
        <v>35400</v>
      </c>
      <c r="V376" s="22" t="str">
        <f>IF(tbl_FACTS[[#This Row],[Quantity]]&lt;=10,"0–10",IF(tbl_FACTS[[#This Row],[Quantity]]&lt;=20,"11–20",IF(tbl_FACTS[[#This Row],[Quantity]]&lt;=30,"21–30",IF(tbl_FACTS[[#This Row],[Quantity]]&lt;=40,"31–40",IF(tbl_FACTS[[#This Row],[Quantity]]&lt;=50,"41–50","51+")))))</f>
        <v>11–20</v>
      </c>
    </row>
    <row r="377" spans="1:22">
      <c r="A377">
        <v>376</v>
      </c>
      <c r="B377">
        <v>10389</v>
      </c>
      <c r="C377">
        <v>55</v>
      </c>
      <c r="D377" s="19">
        <v>15</v>
      </c>
      <c r="E377" s="20">
        <f>_xlfn.XLOOKUP(tbl_FACTS[[#This Row],[OrderID]],Πίνακας64[OrderID],Πίνακας64[OrderDate])</f>
        <v>35419</v>
      </c>
      <c r="F377">
        <f>_xlfn.XLOOKUP(tbl_FACTS[[#This Row],[OrderID]],Πίνακας64[OrderID],Πίνακας64[CustomerID])</f>
        <v>10</v>
      </c>
      <c r="G377" t="str">
        <f>_xlfn.XLOOKUP(tbl_FACTS[[#This Row],[CustomerID]],Πίνακας1[CustomerID],Πίνακας1[CustomerName])</f>
        <v>Bottom-Dollar Marketse</v>
      </c>
      <c r="H377" t="str">
        <f>_xlfn.XLOOKUP(tbl_FACTS[[#This Row],[CustomerID]],Πίνακας1[CustomerID],Πίνακας1[Country])</f>
        <v>Canada</v>
      </c>
      <c r="I377">
        <f>_xlfn.XLOOKUP(tbl_FACTS[[#This Row],[OrderID]],Πίνακας64[OrderID],Πίνακας64[EmployeeID])</f>
        <v>4</v>
      </c>
      <c r="J377">
        <f>_xlfn.XLOOKUP(tbl_FACTS[[#This Row],[OrderID]],Πίνακας64[OrderID],Πίνακας64[ShipperID])</f>
        <v>2</v>
      </c>
      <c r="K377" t="str">
        <f>_xlfn.XLOOKUP(tbl_FACTS[[#This Row],[ShipperID]],Πίνακας8[ShipperID],Πίνακας8[ShipperName])</f>
        <v>United Package</v>
      </c>
      <c r="L377" t="str">
        <f>_xlfn.XLOOKUP(tbl_FACTS[[#This Row],[ProductID]],Πίνακας7[ProductID],Πίνακας7[ProductName])</f>
        <v>Pate chinois</v>
      </c>
      <c r="M377">
        <f>_xlfn.XLOOKUP(tbl_FACTS[[#This Row],[ProductID]],Πίνακας7[ProductID],Πίνακας7[CategoryID])</f>
        <v>6</v>
      </c>
      <c r="N377" t="str">
        <f>_xlfn.XLOOKUP(tbl_FACTS[[#This Row],[CategoryID]],Πίνακας4[CategoryID],Πίνακας4[CategoryName])</f>
        <v>Meat/Poultry</v>
      </c>
      <c r="O377">
        <f>_xlfn.XLOOKUP(tbl_FACTS[[#This Row],[ProductID]],Πίνακας7[ProductID],Πίνακας7[SupplierID])</f>
        <v>25</v>
      </c>
      <c r="P377" t="str">
        <f>_xlfn.XLOOKUP(tbl_FACTS[[#This Row],[SupplierID]],Πίνακας9[SupplierID],Πίνακας9[SupplierName])</f>
        <v>Ma Maison</v>
      </c>
      <c r="Q377" s="21">
        <f>_xlfn.XLOOKUP(tbl_FACTS[[#This Row],[ProductID]],Πίνακας7[ProductID],Πίνακας7[Price])</f>
        <v>24</v>
      </c>
      <c r="R377" s="21">
        <f>tbl_FACTS[[#This Row],[Quantity]]*tbl_FACTS[[#This Row],[Price]]</f>
        <v>360</v>
      </c>
      <c r="S377" s="19">
        <f>IF(COUNTIFS(tbl_FACTS[OrderID],tbl_FACTS[[#This Row],[OrderID]],tbl_FACTS[OrderDetailID],"&lt;"&amp;tbl_FACTS[[#This Row],[OrderDetailID]])=0,1,0)</f>
        <v>0</v>
      </c>
      <c r="T377" s="19">
        <f>YEAR(tbl_FACTS[[#This Row],[OrderDate]])</f>
        <v>1996</v>
      </c>
      <c r="U377" s="22">
        <f>DATE(YEAR(tbl_FACTS[[#This Row],[OrderDate]]),MONTH(tbl_FACTS[[#This Row],[OrderDate]]),1)</f>
        <v>35400</v>
      </c>
      <c r="V377" s="22" t="str">
        <f>IF(tbl_FACTS[[#This Row],[Quantity]]&lt;=10,"0–10",IF(tbl_FACTS[[#This Row],[Quantity]]&lt;=20,"11–20",IF(tbl_FACTS[[#This Row],[Quantity]]&lt;=30,"21–30",IF(tbl_FACTS[[#This Row],[Quantity]]&lt;=40,"31–40",IF(tbl_FACTS[[#This Row],[Quantity]]&lt;=50,"41–50","51+")))))</f>
        <v>11–20</v>
      </c>
    </row>
    <row r="378" spans="1:22">
      <c r="A378">
        <v>377</v>
      </c>
      <c r="B378">
        <v>10389</v>
      </c>
      <c r="C378">
        <v>62</v>
      </c>
      <c r="D378" s="19">
        <v>20</v>
      </c>
      <c r="E378" s="20">
        <f>_xlfn.XLOOKUP(tbl_FACTS[[#This Row],[OrderID]],Πίνακας64[OrderID],Πίνακας64[OrderDate])</f>
        <v>35419</v>
      </c>
      <c r="F378">
        <f>_xlfn.XLOOKUP(tbl_FACTS[[#This Row],[OrderID]],Πίνακας64[OrderID],Πίνακας64[CustomerID])</f>
        <v>10</v>
      </c>
      <c r="G378" t="str">
        <f>_xlfn.XLOOKUP(tbl_FACTS[[#This Row],[CustomerID]],Πίνακας1[CustomerID],Πίνακας1[CustomerName])</f>
        <v>Bottom-Dollar Marketse</v>
      </c>
      <c r="H378" t="str">
        <f>_xlfn.XLOOKUP(tbl_FACTS[[#This Row],[CustomerID]],Πίνακας1[CustomerID],Πίνακας1[Country])</f>
        <v>Canada</v>
      </c>
      <c r="I378">
        <f>_xlfn.XLOOKUP(tbl_FACTS[[#This Row],[OrderID]],Πίνακας64[OrderID],Πίνακας64[EmployeeID])</f>
        <v>4</v>
      </c>
      <c r="J378">
        <f>_xlfn.XLOOKUP(tbl_FACTS[[#This Row],[OrderID]],Πίνακας64[OrderID],Πίνακας64[ShipperID])</f>
        <v>2</v>
      </c>
      <c r="K378" t="str">
        <f>_xlfn.XLOOKUP(tbl_FACTS[[#This Row],[ShipperID]],Πίνακας8[ShipperID],Πίνακας8[ShipperName])</f>
        <v>United Package</v>
      </c>
      <c r="L378" t="str">
        <f>_xlfn.XLOOKUP(tbl_FACTS[[#This Row],[ProductID]],Πίνακας7[ProductID],Πίνακας7[ProductName])</f>
        <v>Tarte au sucre</v>
      </c>
      <c r="M378">
        <f>_xlfn.XLOOKUP(tbl_FACTS[[#This Row],[ProductID]],Πίνακας7[ProductID],Πίνακας7[CategoryID])</f>
        <v>3</v>
      </c>
      <c r="N378" t="str">
        <f>_xlfn.XLOOKUP(tbl_FACTS[[#This Row],[CategoryID]],Πίνακας4[CategoryID],Πίνακας4[CategoryName])</f>
        <v>Confections</v>
      </c>
      <c r="O378">
        <f>_xlfn.XLOOKUP(tbl_FACTS[[#This Row],[ProductID]],Πίνακας7[ProductID],Πίνακας7[SupplierID])</f>
        <v>29</v>
      </c>
      <c r="P378" t="str">
        <f>_xlfn.XLOOKUP(tbl_FACTS[[#This Row],[SupplierID]],Πίνακας9[SupplierID],Πίνακας9[SupplierName])</f>
        <v>Forets d'erables</v>
      </c>
      <c r="Q378" s="21">
        <f>_xlfn.XLOOKUP(tbl_FACTS[[#This Row],[ProductID]],Πίνακας7[ProductID],Πίνακας7[Price])</f>
        <v>49</v>
      </c>
      <c r="R378" s="21">
        <f>tbl_FACTS[[#This Row],[Quantity]]*tbl_FACTS[[#This Row],[Price]]</f>
        <v>980</v>
      </c>
      <c r="S378" s="19">
        <f>IF(COUNTIFS(tbl_FACTS[OrderID],tbl_FACTS[[#This Row],[OrderID]],tbl_FACTS[OrderDetailID],"&lt;"&amp;tbl_FACTS[[#This Row],[OrderDetailID]])=0,1,0)</f>
        <v>0</v>
      </c>
      <c r="T378" s="19">
        <f>YEAR(tbl_FACTS[[#This Row],[OrderDate]])</f>
        <v>1996</v>
      </c>
      <c r="U378" s="22">
        <f>DATE(YEAR(tbl_FACTS[[#This Row],[OrderDate]]),MONTH(tbl_FACTS[[#This Row],[OrderDate]]),1)</f>
        <v>35400</v>
      </c>
      <c r="V378" s="22" t="str">
        <f>IF(tbl_FACTS[[#This Row],[Quantity]]&lt;=10,"0–10",IF(tbl_FACTS[[#This Row],[Quantity]]&lt;=20,"11–20",IF(tbl_FACTS[[#This Row],[Quantity]]&lt;=30,"21–30",IF(tbl_FACTS[[#This Row],[Quantity]]&lt;=40,"31–40",IF(tbl_FACTS[[#This Row],[Quantity]]&lt;=50,"41–50","51+")))))</f>
        <v>11–20</v>
      </c>
    </row>
    <row r="379" spans="1:22">
      <c r="A379">
        <v>378</v>
      </c>
      <c r="B379">
        <v>10389</v>
      </c>
      <c r="C379">
        <v>70</v>
      </c>
      <c r="D379" s="19">
        <v>30</v>
      </c>
      <c r="E379" s="20">
        <f>_xlfn.XLOOKUP(tbl_FACTS[[#This Row],[OrderID]],Πίνακας64[OrderID],Πίνακας64[OrderDate])</f>
        <v>35419</v>
      </c>
      <c r="F379">
        <f>_xlfn.XLOOKUP(tbl_FACTS[[#This Row],[OrderID]],Πίνακας64[OrderID],Πίνακας64[CustomerID])</f>
        <v>10</v>
      </c>
      <c r="G379" t="str">
        <f>_xlfn.XLOOKUP(tbl_FACTS[[#This Row],[CustomerID]],Πίνακας1[CustomerID],Πίνακας1[CustomerName])</f>
        <v>Bottom-Dollar Marketse</v>
      </c>
      <c r="H379" t="str">
        <f>_xlfn.XLOOKUP(tbl_FACTS[[#This Row],[CustomerID]],Πίνακας1[CustomerID],Πίνακας1[Country])</f>
        <v>Canada</v>
      </c>
      <c r="I379">
        <f>_xlfn.XLOOKUP(tbl_FACTS[[#This Row],[OrderID]],Πίνακας64[OrderID],Πίνακας64[EmployeeID])</f>
        <v>4</v>
      </c>
      <c r="J379">
        <f>_xlfn.XLOOKUP(tbl_FACTS[[#This Row],[OrderID]],Πίνακας64[OrderID],Πίνακας64[ShipperID])</f>
        <v>2</v>
      </c>
      <c r="K379" t="str">
        <f>_xlfn.XLOOKUP(tbl_FACTS[[#This Row],[ShipperID]],Πίνακας8[ShipperID],Πίνακας8[ShipperName])</f>
        <v>United Package</v>
      </c>
      <c r="L379" t="str">
        <f>_xlfn.XLOOKUP(tbl_FACTS[[#This Row],[ProductID]],Πίνακας7[ProductID],Πίνακας7[ProductName])</f>
        <v>Outback Lager</v>
      </c>
      <c r="M379">
        <f>_xlfn.XLOOKUP(tbl_FACTS[[#This Row],[ProductID]],Πίνακας7[ProductID],Πίνακας7[CategoryID])</f>
        <v>1</v>
      </c>
      <c r="N379" t="str">
        <f>_xlfn.XLOOKUP(tbl_FACTS[[#This Row],[CategoryID]],Πίνακας4[CategoryID],Πίνακας4[CategoryName])</f>
        <v>Beverages</v>
      </c>
      <c r="O379">
        <f>_xlfn.XLOOKUP(tbl_FACTS[[#This Row],[ProductID]],Πίνακας7[ProductID],Πίνακας7[SupplierID])</f>
        <v>7</v>
      </c>
      <c r="P379" t="str">
        <f>_xlfn.XLOOKUP(tbl_FACTS[[#This Row],[SupplierID]],Πίνακας9[SupplierID],Πίνακας9[SupplierName])</f>
        <v>Pavlova, Ltd.</v>
      </c>
      <c r="Q379" s="21">
        <f>_xlfn.XLOOKUP(tbl_FACTS[[#This Row],[ProductID]],Πίνακας7[ProductID],Πίνακας7[Price])</f>
        <v>15</v>
      </c>
      <c r="R379" s="21">
        <f>tbl_FACTS[[#This Row],[Quantity]]*tbl_FACTS[[#This Row],[Price]]</f>
        <v>450</v>
      </c>
      <c r="S379" s="19">
        <f>IF(COUNTIFS(tbl_FACTS[OrderID],tbl_FACTS[[#This Row],[OrderID]],tbl_FACTS[OrderDetailID],"&lt;"&amp;tbl_FACTS[[#This Row],[OrderDetailID]])=0,1,0)</f>
        <v>0</v>
      </c>
      <c r="T379" s="19">
        <f>YEAR(tbl_FACTS[[#This Row],[OrderDate]])</f>
        <v>1996</v>
      </c>
      <c r="U379" s="22">
        <f>DATE(YEAR(tbl_FACTS[[#This Row],[OrderDate]]),MONTH(tbl_FACTS[[#This Row],[OrderDate]]),1)</f>
        <v>35400</v>
      </c>
      <c r="V379" s="22" t="str">
        <f>IF(tbl_FACTS[[#This Row],[Quantity]]&lt;=10,"0–10",IF(tbl_FACTS[[#This Row],[Quantity]]&lt;=20,"11–20",IF(tbl_FACTS[[#This Row],[Quantity]]&lt;=30,"21–30",IF(tbl_FACTS[[#This Row],[Quantity]]&lt;=40,"31–40",IF(tbl_FACTS[[#This Row],[Quantity]]&lt;=50,"41–50","51+")))))</f>
        <v>21–30</v>
      </c>
    </row>
    <row r="380" spans="1:22">
      <c r="A380">
        <v>379</v>
      </c>
      <c r="B380">
        <v>10390</v>
      </c>
      <c r="C380">
        <v>31</v>
      </c>
      <c r="D380" s="19">
        <v>60</v>
      </c>
      <c r="E380" s="20">
        <f>_xlfn.XLOOKUP(tbl_FACTS[[#This Row],[OrderID]],Πίνακας64[OrderID],Πίνακας64[OrderDate])</f>
        <v>35422</v>
      </c>
      <c r="F380">
        <f>_xlfn.XLOOKUP(tbl_FACTS[[#This Row],[OrderID]],Πίνακας64[OrderID],Πίνακας64[CustomerID])</f>
        <v>20</v>
      </c>
      <c r="G380" t="str">
        <f>_xlfn.XLOOKUP(tbl_FACTS[[#This Row],[CustomerID]],Πίνακας1[CustomerID],Πίνακας1[CustomerName])</f>
        <v>Ernst Handel</v>
      </c>
      <c r="H380" t="str">
        <f>_xlfn.XLOOKUP(tbl_FACTS[[#This Row],[CustomerID]],Πίνακας1[CustomerID],Πίνακας1[Country])</f>
        <v>Austria</v>
      </c>
      <c r="I380">
        <f>_xlfn.XLOOKUP(tbl_FACTS[[#This Row],[OrderID]],Πίνακας64[OrderID],Πίνακας64[EmployeeID])</f>
        <v>6</v>
      </c>
      <c r="J380">
        <f>_xlfn.XLOOKUP(tbl_FACTS[[#This Row],[OrderID]],Πίνακας64[OrderID],Πίνακας64[ShipperID])</f>
        <v>1</v>
      </c>
      <c r="K380" t="str">
        <f>_xlfn.XLOOKUP(tbl_FACTS[[#This Row],[ShipperID]],Πίνακας8[ShipperID],Πίνακας8[ShipperName])</f>
        <v>Speedy Express</v>
      </c>
      <c r="L380" t="str">
        <f>_xlfn.XLOOKUP(tbl_FACTS[[#This Row],[ProductID]],Πίνακας7[ProductID],Πίνακας7[ProductName])</f>
        <v>Gorgonzola Telino</v>
      </c>
      <c r="M380">
        <f>_xlfn.XLOOKUP(tbl_FACTS[[#This Row],[ProductID]],Πίνακας7[ProductID],Πίνακας7[CategoryID])</f>
        <v>4</v>
      </c>
      <c r="N380" t="str">
        <f>_xlfn.XLOOKUP(tbl_FACTS[[#This Row],[CategoryID]],Πίνακας4[CategoryID],Πίνακας4[CategoryName])</f>
        <v>Dairy Products</v>
      </c>
      <c r="O380">
        <f>_xlfn.XLOOKUP(tbl_FACTS[[#This Row],[ProductID]],Πίνακας7[ProductID],Πίνακας7[SupplierID])</f>
        <v>14</v>
      </c>
      <c r="P380" t="str">
        <f>_xlfn.XLOOKUP(tbl_FACTS[[#This Row],[SupplierID]],Πίνακας9[SupplierID],Πίνακας9[SupplierName])</f>
        <v>Formaggi Fortini s.r.l.</v>
      </c>
      <c r="Q380" s="21">
        <f>_xlfn.XLOOKUP(tbl_FACTS[[#This Row],[ProductID]],Πίνακας7[ProductID],Πίνακας7[Price])</f>
        <v>13</v>
      </c>
      <c r="R380" s="21">
        <f>tbl_FACTS[[#This Row],[Quantity]]*tbl_FACTS[[#This Row],[Price]]</f>
        <v>780</v>
      </c>
      <c r="S380" s="19">
        <f>IF(COUNTIFS(tbl_FACTS[OrderID],tbl_FACTS[[#This Row],[OrderID]],tbl_FACTS[OrderDetailID],"&lt;"&amp;tbl_FACTS[[#This Row],[OrderDetailID]])=0,1,0)</f>
        <v>1</v>
      </c>
      <c r="T380" s="19">
        <f>YEAR(tbl_FACTS[[#This Row],[OrderDate]])</f>
        <v>1996</v>
      </c>
      <c r="U380" s="22">
        <f>DATE(YEAR(tbl_FACTS[[#This Row],[OrderDate]]),MONTH(tbl_FACTS[[#This Row],[OrderDate]]),1)</f>
        <v>35400</v>
      </c>
      <c r="V380" s="22" t="str">
        <f>IF(tbl_FACTS[[#This Row],[Quantity]]&lt;=10,"0–10",IF(tbl_FACTS[[#This Row],[Quantity]]&lt;=20,"11–20",IF(tbl_FACTS[[#This Row],[Quantity]]&lt;=30,"21–30",IF(tbl_FACTS[[#This Row],[Quantity]]&lt;=40,"31–40",IF(tbl_FACTS[[#This Row],[Quantity]]&lt;=50,"41–50","51+")))))</f>
        <v>51+</v>
      </c>
    </row>
    <row r="381" spans="1:22">
      <c r="A381">
        <v>380</v>
      </c>
      <c r="B381">
        <v>10390</v>
      </c>
      <c r="C381">
        <v>35</v>
      </c>
      <c r="D381" s="19">
        <v>40</v>
      </c>
      <c r="E381" s="20">
        <f>_xlfn.XLOOKUP(tbl_FACTS[[#This Row],[OrderID]],Πίνακας64[OrderID],Πίνακας64[OrderDate])</f>
        <v>35422</v>
      </c>
      <c r="F381">
        <f>_xlfn.XLOOKUP(tbl_FACTS[[#This Row],[OrderID]],Πίνακας64[OrderID],Πίνακας64[CustomerID])</f>
        <v>20</v>
      </c>
      <c r="G381" t="str">
        <f>_xlfn.XLOOKUP(tbl_FACTS[[#This Row],[CustomerID]],Πίνακας1[CustomerID],Πίνακας1[CustomerName])</f>
        <v>Ernst Handel</v>
      </c>
      <c r="H381" t="str">
        <f>_xlfn.XLOOKUP(tbl_FACTS[[#This Row],[CustomerID]],Πίνακας1[CustomerID],Πίνακας1[Country])</f>
        <v>Austria</v>
      </c>
      <c r="I381">
        <f>_xlfn.XLOOKUP(tbl_FACTS[[#This Row],[OrderID]],Πίνακας64[OrderID],Πίνακας64[EmployeeID])</f>
        <v>6</v>
      </c>
      <c r="J381">
        <f>_xlfn.XLOOKUP(tbl_FACTS[[#This Row],[OrderID]],Πίνακας64[OrderID],Πίνακας64[ShipperID])</f>
        <v>1</v>
      </c>
      <c r="K381" t="str">
        <f>_xlfn.XLOOKUP(tbl_FACTS[[#This Row],[ShipperID]],Πίνακας8[ShipperID],Πίνακας8[ShipperName])</f>
        <v>Speedy Express</v>
      </c>
      <c r="L381" t="str">
        <f>_xlfn.XLOOKUP(tbl_FACTS[[#This Row],[ProductID]],Πίνακας7[ProductID],Πίνακας7[ProductName])</f>
        <v>Steeleye Stout</v>
      </c>
      <c r="M381">
        <f>_xlfn.XLOOKUP(tbl_FACTS[[#This Row],[ProductID]],Πίνακας7[ProductID],Πίνακας7[CategoryID])</f>
        <v>1</v>
      </c>
      <c r="N381" t="str">
        <f>_xlfn.XLOOKUP(tbl_FACTS[[#This Row],[CategoryID]],Πίνακας4[CategoryID],Πίνακας4[CategoryName])</f>
        <v>Beverages</v>
      </c>
      <c r="O381">
        <f>_xlfn.XLOOKUP(tbl_FACTS[[#This Row],[ProductID]],Πίνακας7[ProductID],Πίνακας7[SupplierID])</f>
        <v>16</v>
      </c>
      <c r="P381" t="str">
        <f>_xlfn.XLOOKUP(tbl_FACTS[[#This Row],[SupplierID]],Πίνακας9[SupplierID],Πίνακας9[SupplierName])</f>
        <v>Bigfoot Breweries</v>
      </c>
      <c r="Q381" s="21">
        <f>_xlfn.XLOOKUP(tbl_FACTS[[#This Row],[ProductID]],Πίνακας7[ProductID],Πίνακας7[Price])</f>
        <v>18</v>
      </c>
      <c r="R381" s="21">
        <f>tbl_FACTS[[#This Row],[Quantity]]*tbl_FACTS[[#This Row],[Price]]</f>
        <v>720</v>
      </c>
      <c r="S381" s="19">
        <f>IF(COUNTIFS(tbl_FACTS[OrderID],tbl_FACTS[[#This Row],[OrderID]],tbl_FACTS[OrderDetailID],"&lt;"&amp;tbl_FACTS[[#This Row],[OrderDetailID]])=0,1,0)</f>
        <v>0</v>
      </c>
      <c r="T381" s="19">
        <f>YEAR(tbl_FACTS[[#This Row],[OrderDate]])</f>
        <v>1996</v>
      </c>
      <c r="U381" s="22">
        <f>DATE(YEAR(tbl_FACTS[[#This Row],[OrderDate]]),MONTH(tbl_FACTS[[#This Row],[OrderDate]]),1)</f>
        <v>35400</v>
      </c>
      <c r="V381" s="22" t="str">
        <f>IF(tbl_FACTS[[#This Row],[Quantity]]&lt;=10,"0–10",IF(tbl_FACTS[[#This Row],[Quantity]]&lt;=20,"11–20",IF(tbl_FACTS[[#This Row],[Quantity]]&lt;=30,"21–30",IF(tbl_FACTS[[#This Row],[Quantity]]&lt;=40,"31–40",IF(tbl_FACTS[[#This Row],[Quantity]]&lt;=50,"41–50","51+")))))</f>
        <v>31–40</v>
      </c>
    </row>
    <row r="382" spans="1:22">
      <c r="A382">
        <v>381</v>
      </c>
      <c r="B382">
        <v>10390</v>
      </c>
      <c r="C382">
        <v>46</v>
      </c>
      <c r="D382" s="19">
        <v>45</v>
      </c>
      <c r="E382" s="20">
        <f>_xlfn.XLOOKUP(tbl_FACTS[[#This Row],[OrderID]],Πίνακας64[OrderID],Πίνακας64[OrderDate])</f>
        <v>35422</v>
      </c>
      <c r="F382">
        <f>_xlfn.XLOOKUP(tbl_FACTS[[#This Row],[OrderID]],Πίνακας64[OrderID],Πίνακας64[CustomerID])</f>
        <v>20</v>
      </c>
      <c r="G382" t="str">
        <f>_xlfn.XLOOKUP(tbl_FACTS[[#This Row],[CustomerID]],Πίνακας1[CustomerID],Πίνακας1[CustomerName])</f>
        <v>Ernst Handel</v>
      </c>
      <c r="H382" t="str">
        <f>_xlfn.XLOOKUP(tbl_FACTS[[#This Row],[CustomerID]],Πίνακας1[CustomerID],Πίνακας1[Country])</f>
        <v>Austria</v>
      </c>
      <c r="I382">
        <f>_xlfn.XLOOKUP(tbl_FACTS[[#This Row],[OrderID]],Πίνακας64[OrderID],Πίνακας64[EmployeeID])</f>
        <v>6</v>
      </c>
      <c r="J382">
        <f>_xlfn.XLOOKUP(tbl_FACTS[[#This Row],[OrderID]],Πίνακας64[OrderID],Πίνακας64[ShipperID])</f>
        <v>1</v>
      </c>
      <c r="K382" t="str">
        <f>_xlfn.XLOOKUP(tbl_FACTS[[#This Row],[ShipperID]],Πίνακας8[ShipperID],Πίνακας8[ShipperName])</f>
        <v>Speedy Express</v>
      </c>
      <c r="L382" t="str">
        <f>_xlfn.XLOOKUP(tbl_FACTS[[#This Row],[ProductID]],Πίνακας7[ProductID],Πίνακας7[ProductName])</f>
        <v>Spegesild</v>
      </c>
      <c r="M382">
        <f>_xlfn.XLOOKUP(tbl_FACTS[[#This Row],[ProductID]],Πίνακας7[ProductID],Πίνακας7[CategoryID])</f>
        <v>8</v>
      </c>
      <c r="N382" t="str">
        <f>_xlfn.XLOOKUP(tbl_FACTS[[#This Row],[CategoryID]],Πίνακας4[CategoryID],Πίνακας4[CategoryName])</f>
        <v>Seafood</v>
      </c>
      <c r="O382">
        <f>_xlfn.XLOOKUP(tbl_FACTS[[#This Row],[ProductID]],Πίνακας7[ProductID],Πίνακας7[SupplierID])</f>
        <v>21</v>
      </c>
      <c r="P382" t="str">
        <f>_xlfn.XLOOKUP(tbl_FACTS[[#This Row],[SupplierID]],Πίνακας9[SupplierID],Πίνακας9[SupplierName])</f>
        <v>Lyngbysild</v>
      </c>
      <c r="Q382" s="21">
        <f>_xlfn.XLOOKUP(tbl_FACTS[[#This Row],[ProductID]],Πίνακας7[ProductID],Πίνακας7[Price])</f>
        <v>12</v>
      </c>
      <c r="R382" s="21">
        <f>tbl_FACTS[[#This Row],[Quantity]]*tbl_FACTS[[#This Row],[Price]]</f>
        <v>540</v>
      </c>
      <c r="S382" s="19">
        <f>IF(COUNTIFS(tbl_FACTS[OrderID],tbl_FACTS[[#This Row],[OrderID]],tbl_FACTS[OrderDetailID],"&lt;"&amp;tbl_FACTS[[#This Row],[OrderDetailID]])=0,1,0)</f>
        <v>0</v>
      </c>
      <c r="T382" s="19">
        <f>YEAR(tbl_FACTS[[#This Row],[OrderDate]])</f>
        <v>1996</v>
      </c>
      <c r="U382" s="22">
        <f>DATE(YEAR(tbl_FACTS[[#This Row],[OrderDate]]),MONTH(tbl_FACTS[[#This Row],[OrderDate]]),1)</f>
        <v>35400</v>
      </c>
      <c r="V382" s="22" t="str">
        <f>IF(tbl_FACTS[[#This Row],[Quantity]]&lt;=10,"0–10",IF(tbl_FACTS[[#This Row],[Quantity]]&lt;=20,"11–20",IF(tbl_FACTS[[#This Row],[Quantity]]&lt;=30,"21–30",IF(tbl_FACTS[[#This Row],[Quantity]]&lt;=40,"31–40",IF(tbl_FACTS[[#This Row],[Quantity]]&lt;=50,"41–50","51+")))))</f>
        <v>41–50</v>
      </c>
    </row>
    <row r="383" spans="1:22">
      <c r="A383">
        <v>382</v>
      </c>
      <c r="B383">
        <v>10390</v>
      </c>
      <c r="C383">
        <v>72</v>
      </c>
      <c r="D383" s="19">
        <v>24</v>
      </c>
      <c r="E383" s="20">
        <f>_xlfn.XLOOKUP(tbl_FACTS[[#This Row],[OrderID]],Πίνακας64[OrderID],Πίνακας64[OrderDate])</f>
        <v>35422</v>
      </c>
      <c r="F383">
        <f>_xlfn.XLOOKUP(tbl_FACTS[[#This Row],[OrderID]],Πίνακας64[OrderID],Πίνακας64[CustomerID])</f>
        <v>20</v>
      </c>
      <c r="G383" t="str">
        <f>_xlfn.XLOOKUP(tbl_FACTS[[#This Row],[CustomerID]],Πίνακας1[CustomerID],Πίνακας1[CustomerName])</f>
        <v>Ernst Handel</v>
      </c>
      <c r="H383" t="str">
        <f>_xlfn.XLOOKUP(tbl_FACTS[[#This Row],[CustomerID]],Πίνακας1[CustomerID],Πίνακας1[Country])</f>
        <v>Austria</v>
      </c>
      <c r="I383">
        <f>_xlfn.XLOOKUP(tbl_FACTS[[#This Row],[OrderID]],Πίνακας64[OrderID],Πίνακας64[EmployeeID])</f>
        <v>6</v>
      </c>
      <c r="J383">
        <f>_xlfn.XLOOKUP(tbl_FACTS[[#This Row],[OrderID]],Πίνακας64[OrderID],Πίνακας64[ShipperID])</f>
        <v>1</v>
      </c>
      <c r="K383" t="str">
        <f>_xlfn.XLOOKUP(tbl_FACTS[[#This Row],[ShipperID]],Πίνακας8[ShipperID],Πίνακας8[ShipperName])</f>
        <v>Speedy Express</v>
      </c>
      <c r="L383" t="str">
        <f>_xlfn.XLOOKUP(tbl_FACTS[[#This Row],[ProductID]],Πίνακας7[ProductID],Πίνακας7[ProductName])</f>
        <v>Mozzarella di Giovanni</v>
      </c>
      <c r="M383">
        <f>_xlfn.XLOOKUP(tbl_FACTS[[#This Row],[ProductID]],Πίνακας7[ProductID],Πίνακας7[CategoryID])</f>
        <v>4</v>
      </c>
      <c r="N383" t="str">
        <f>_xlfn.XLOOKUP(tbl_FACTS[[#This Row],[CategoryID]],Πίνακας4[CategoryID],Πίνακας4[CategoryName])</f>
        <v>Dairy Products</v>
      </c>
      <c r="O383">
        <f>_xlfn.XLOOKUP(tbl_FACTS[[#This Row],[ProductID]],Πίνακας7[ProductID],Πίνακας7[SupplierID])</f>
        <v>14</v>
      </c>
      <c r="P383" t="str">
        <f>_xlfn.XLOOKUP(tbl_FACTS[[#This Row],[SupplierID]],Πίνακας9[SupplierID],Πίνακας9[SupplierName])</f>
        <v>Formaggi Fortini s.r.l.</v>
      </c>
      <c r="Q383" s="21">
        <f>_xlfn.XLOOKUP(tbl_FACTS[[#This Row],[ProductID]],Πίνακας7[ProductID],Πίνακας7[Price])</f>
        <v>35</v>
      </c>
      <c r="R383" s="21">
        <f>tbl_FACTS[[#This Row],[Quantity]]*tbl_FACTS[[#This Row],[Price]]</f>
        <v>840</v>
      </c>
      <c r="S383" s="19">
        <f>IF(COUNTIFS(tbl_FACTS[OrderID],tbl_FACTS[[#This Row],[OrderID]],tbl_FACTS[OrderDetailID],"&lt;"&amp;tbl_FACTS[[#This Row],[OrderDetailID]])=0,1,0)</f>
        <v>0</v>
      </c>
      <c r="T383" s="19">
        <f>YEAR(tbl_FACTS[[#This Row],[OrderDate]])</f>
        <v>1996</v>
      </c>
      <c r="U383" s="22">
        <f>DATE(YEAR(tbl_FACTS[[#This Row],[OrderDate]]),MONTH(tbl_FACTS[[#This Row],[OrderDate]]),1)</f>
        <v>35400</v>
      </c>
      <c r="V383" s="22" t="str">
        <f>IF(tbl_FACTS[[#This Row],[Quantity]]&lt;=10,"0–10",IF(tbl_FACTS[[#This Row],[Quantity]]&lt;=20,"11–20",IF(tbl_FACTS[[#This Row],[Quantity]]&lt;=30,"21–30",IF(tbl_FACTS[[#This Row],[Quantity]]&lt;=40,"31–40",IF(tbl_FACTS[[#This Row],[Quantity]]&lt;=50,"41–50","51+")))))</f>
        <v>21–30</v>
      </c>
    </row>
    <row r="384" spans="1:22">
      <c r="A384">
        <v>383</v>
      </c>
      <c r="B384">
        <v>10391</v>
      </c>
      <c r="C384">
        <v>13</v>
      </c>
      <c r="D384" s="19">
        <v>18</v>
      </c>
      <c r="E384" s="20">
        <f>_xlfn.XLOOKUP(tbl_FACTS[[#This Row],[OrderID]],Πίνακας64[OrderID],Πίνακας64[OrderDate])</f>
        <v>35422</v>
      </c>
      <c r="F384">
        <f>_xlfn.XLOOKUP(tbl_FACTS[[#This Row],[OrderID]],Πίνακας64[OrderID],Πίνακας64[CustomerID])</f>
        <v>17</v>
      </c>
      <c r="G384" t="str">
        <f>_xlfn.XLOOKUP(tbl_FACTS[[#This Row],[CustomerID]],Πίνακας1[CustomerID],Πίνακας1[CustomerName])</f>
        <v>Drachenblut Delikatessend</v>
      </c>
      <c r="H384" t="str">
        <f>_xlfn.XLOOKUP(tbl_FACTS[[#This Row],[CustomerID]],Πίνακας1[CustomerID],Πίνακας1[Country])</f>
        <v>Germany</v>
      </c>
      <c r="I384">
        <f>_xlfn.XLOOKUP(tbl_FACTS[[#This Row],[OrderID]],Πίνακας64[OrderID],Πίνακας64[EmployeeID])</f>
        <v>3</v>
      </c>
      <c r="J384">
        <f>_xlfn.XLOOKUP(tbl_FACTS[[#This Row],[OrderID]],Πίνακας64[OrderID],Πίνακας64[ShipperID])</f>
        <v>3</v>
      </c>
      <c r="K384" t="str">
        <f>_xlfn.XLOOKUP(tbl_FACTS[[#This Row],[ShipperID]],Πίνακας8[ShipperID],Πίνακας8[ShipperName])</f>
        <v>Federal Shipping</v>
      </c>
      <c r="L384" t="str">
        <f>_xlfn.XLOOKUP(tbl_FACTS[[#This Row],[ProductID]],Πίνακας7[ProductID],Πίνακας7[ProductName])</f>
        <v>Konbu</v>
      </c>
      <c r="M384">
        <f>_xlfn.XLOOKUP(tbl_FACTS[[#This Row],[ProductID]],Πίνακας7[ProductID],Πίνακας7[CategoryID])</f>
        <v>8</v>
      </c>
      <c r="N384" t="str">
        <f>_xlfn.XLOOKUP(tbl_FACTS[[#This Row],[CategoryID]],Πίνακας4[CategoryID],Πίνακας4[CategoryName])</f>
        <v>Seafood</v>
      </c>
      <c r="O384">
        <f>_xlfn.XLOOKUP(tbl_FACTS[[#This Row],[ProductID]],Πίνακας7[ProductID],Πίνακας7[SupplierID])</f>
        <v>6</v>
      </c>
      <c r="P384" t="str">
        <f>_xlfn.XLOOKUP(tbl_FACTS[[#This Row],[SupplierID]],Πίνακας9[SupplierID],Πίνακας9[SupplierName])</f>
        <v>Mayumi's</v>
      </c>
      <c r="Q384" s="21">
        <f>_xlfn.XLOOKUP(tbl_FACTS[[#This Row],[ProductID]],Πίνακας7[ProductID],Πίνακας7[Price])</f>
        <v>6</v>
      </c>
      <c r="R384" s="21">
        <f>tbl_FACTS[[#This Row],[Quantity]]*tbl_FACTS[[#This Row],[Price]]</f>
        <v>108</v>
      </c>
      <c r="S384" s="19">
        <f>IF(COUNTIFS(tbl_FACTS[OrderID],tbl_FACTS[[#This Row],[OrderID]],tbl_FACTS[OrderDetailID],"&lt;"&amp;tbl_FACTS[[#This Row],[OrderDetailID]])=0,1,0)</f>
        <v>1</v>
      </c>
      <c r="T384" s="19">
        <f>YEAR(tbl_FACTS[[#This Row],[OrderDate]])</f>
        <v>1996</v>
      </c>
      <c r="U384" s="22">
        <f>DATE(YEAR(tbl_FACTS[[#This Row],[OrderDate]]),MONTH(tbl_FACTS[[#This Row],[OrderDate]]),1)</f>
        <v>35400</v>
      </c>
      <c r="V384" s="22" t="str">
        <f>IF(tbl_FACTS[[#This Row],[Quantity]]&lt;=10,"0–10",IF(tbl_FACTS[[#This Row],[Quantity]]&lt;=20,"11–20",IF(tbl_FACTS[[#This Row],[Quantity]]&lt;=30,"21–30",IF(tbl_FACTS[[#This Row],[Quantity]]&lt;=40,"31–40",IF(tbl_FACTS[[#This Row],[Quantity]]&lt;=50,"41–50","51+")))))</f>
        <v>11–20</v>
      </c>
    </row>
    <row r="385" spans="1:22">
      <c r="A385">
        <v>384</v>
      </c>
      <c r="B385">
        <v>10392</v>
      </c>
      <c r="C385">
        <v>69</v>
      </c>
      <c r="D385" s="19">
        <v>50</v>
      </c>
      <c r="E385" s="20">
        <f>_xlfn.XLOOKUP(tbl_FACTS[[#This Row],[OrderID]],Πίνακας64[OrderID],Πίνακας64[OrderDate])</f>
        <v>35423</v>
      </c>
      <c r="F385">
        <f>_xlfn.XLOOKUP(tbl_FACTS[[#This Row],[OrderID]],Πίνακας64[OrderID],Πίνακας64[CustomerID])</f>
        <v>59</v>
      </c>
      <c r="G385" t="str">
        <f>_xlfn.XLOOKUP(tbl_FACTS[[#This Row],[CustomerID]],Πίνακας1[CustomerID],Πίνακας1[CustomerName])</f>
        <v>Piccolo und mehr</v>
      </c>
      <c r="H385" t="str">
        <f>_xlfn.XLOOKUP(tbl_FACTS[[#This Row],[CustomerID]],Πίνακας1[CustomerID],Πίνακας1[Country])</f>
        <v>Austria</v>
      </c>
      <c r="I385">
        <f>_xlfn.XLOOKUP(tbl_FACTS[[#This Row],[OrderID]],Πίνακας64[OrderID],Πίνακας64[EmployeeID])</f>
        <v>2</v>
      </c>
      <c r="J385">
        <f>_xlfn.XLOOKUP(tbl_FACTS[[#This Row],[OrderID]],Πίνακας64[OrderID],Πίνακας64[ShipperID])</f>
        <v>3</v>
      </c>
      <c r="K385" t="str">
        <f>_xlfn.XLOOKUP(tbl_FACTS[[#This Row],[ShipperID]],Πίνακας8[ShipperID],Πίνακας8[ShipperName])</f>
        <v>Federal Shipping</v>
      </c>
      <c r="L385" t="str">
        <f>_xlfn.XLOOKUP(tbl_FACTS[[#This Row],[ProductID]],Πίνακας7[ProductID],Πίνακας7[ProductName])</f>
        <v>Gudbrandsdalsost</v>
      </c>
      <c r="M385">
        <f>_xlfn.XLOOKUP(tbl_FACTS[[#This Row],[ProductID]],Πίνακας7[ProductID],Πίνακας7[CategoryID])</f>
        <v>4</v>
      </c>
      <c r="N385" t="str">
        <f>_xlfn.XLOOKUP(tbl_FACTS[[#This Row],[CategoryID]],Πίνακας4[CategoryID],Πίνακας4[CategoryName])</f>
        <v>Dairy Products</v>
      </c>
      <c r="O385">
        <f>_xlfn.XLOOKUP(tbl_FACTS[[#This Row],[ProductID]],Πίνακας7[ProductID],Πίνακας7[SupplierID])</f>
        <v>15</v>
      </c>
      <c r="P385" t="str">
        <f>_xlfn.XLOOKUP(tbl_FACTS[[#This Row],[SupplierID]],Πίνακας9[SupplierID],Πίνακας9[SupplierName])</f>
        <v>Norske Meierier</v>
      </c>
      <c r="Q385" s="21">
        <f>_xlfn.XLOOKUP(tbl_FACTS[[#This Row],[ProductID]],Πίνακας7[ProductID],Πίνακας7[Price])</f>
        <v>36</v>
      </c>
      <c r="R385" s="21">
        <f>tbl_FACTS[[#This Row],[Quantity]]*tbl_FACTS[[#This Row],[Price]]</f>
        <v>1800</v>
      </c>
      <c r="S385" s="19">
        <f>IF(COUNTIFS(tbl_FACTS[OrderID],tbl_FACTS[[#This Row],[OrderID]],tbl_FACTS[OrderDetailID],"&lt;"&amp;tbl_FACTS[[#This Row],[OrderDetailID]])=0,1,0)</f>
        <v>1</v>
      </c>
      <c r="T385" s="19">
        <f>YEAR(tbl_FACTS[[#This Row],[OrderDate]])</f>
        <v>1996</v>
      </c>
      <c r="U385" s="22">
        <f>DATE(YEAR(tbl_FACTS[[#This Row],[OrderDate]]),MONTH(tbl_FACTS[[#This Row],[OrderDate]]),1)</f>
        <v>35400</v>
      </c>
      <c r="V385" s="22" t="str">
        <f>IF(tbl_FACTS[[#This Row],[Quantity]]&lt;=10,"0–10",IF(tbl_FACTS[[#This Row],[Quantity]]&lt;=20,"11–20",IF(tbl_FACTS[[#This Row],[Quantity]]&lt;=30,"21–30",IF(tbl_FACTS[[#This Row],[Quantity]]&lt;=40,"31–40",IF(tbl_FACTS[[#This Row],[Quantity]]&lt;=50,"41–50","51+")))))</f>
        <v>41–50</v>
      </c>
    </row>
    <row r="386" spans="1:22">
      <c r="A386">
        <v>385</v>
      </c>
      <c r="B386">
        <v>10393</v>
      </c>
      <c r="C386">
        <v>2</v>
      </c>
      <c r="D386" s="19">
        <v>25</v>
      </c>
      <c r="E386" s="20">
        <f>_xlfn.XLOOKUP(tbl_FACTS[[#This Row],[OrderID]],Πίνακας64[OrderID],Πίνακας64[OrderDate])</f>
        <v>35424</v>
      </c>
      <c r="F386">
        <f>_xlfn.XLOOKUP(tbl_FACTS[[#This Row],[OrderID]],Πίνακας64[OrderID],Πίνακας64[CustomerID])</f>
        <v>71</v>
      </c>
      <c r="G386" t="str">
        <f>_xlfn.XLOOKUP(tbl_FACTS[[#This Row],[CustomerID]],Πίνακας1[CustomerID],Πίνακας1[CustomerName])</f>
        <v>Save-a-lot Markets</v>
      </c>
      <c r="H386" t="str">
        <f>_xlfn.XLOOKUP(tbl_FACTS[[#This Row],[CustomerID]],Πίνακας1[CustomerID],Πίνακας1[Country])</f>
        <v>USA</v>
      </c>
      <c r="I386">
        <f>_xlfn.XLOOKUP(tbl_FACTS[[#This Row],[OrderID]],Πίνακας64[OrderID],Πίνακας64[EmployeeID])</f>
        <v>1</v>
      </c>
      <c r="J386">
        <f>_xlfn.XLOOKUP(tbl_FACTS[[#This Row],[OrderID]],Πίνακας64[OrderID],Πίνακας64[ShipperID])</f>
        <v>3</v>
      </c>
      <c r="K386" t="str">
        <f>_xlfn.XLOOKUP(tbl_FACTS[[#This Row],[ShipperID]],Πίνακας8[ShipperID],Πίνακας8[ShipperName])</f>
        <v>Federal Shipping</v>
      </c>
      <c r="L386" t="str">
        <f>_xlfn.XLOOKUP(tbl_FACTS[[#This Row],[ProductID]],Πίνακας7[ProductID],Πίνακας7[ProductName])</f>
        <v>Chang</v>
      </c>
      <c r="M386">
        <f>_xlfn.XLOOKUP(tbl_FACTS[[#This Row],[ProductID]],Πίνακας7[ProductID],Πίνακας7[CategoryID])</f>
        <v>1</v>
      </c>
      <c r="N386" t="str">
        <f>_xlfn.XLOOKUP(tbl_FACTS[[#This Row],[CategoryID]],Πίνακας4[CategoryID],Πίνακας4[CategoryName])</f>
        <v>Beverages</v>
      </c>
      <c r="O386">
        <f>_xlfn.XLOOKUP(tbl_FACTS[[#This Row],[ProductID]],Πίνακας7[ProductID],Πίνακας7[SupplierID])</f>
        <v>1</v>
      </c>
      <c r="P386" t="str">
        <f>_xlfn.XLOOKUP(tbl_FACTS[[#This Row],[SupplierID]],Πίνακας9[SupplierID],Πίνακας9[SupplierName])</f>
        <v>Exotic Liquid</v>
      </c>
      <c r="Q386" s="21">
        <f>_xlfn.XLOOKUP(tbl_FACTS[[#This Row],[ProductID]],Πίνακας7[ProductID],Πίνακας7[Price])</f>
        <v>19</v>
      </c>
      <c r="R386" s="21">
        <f>tbl_FACTS[[#This Row],[Quantity]]*tbl_FACTS[[#This Row],[Price]]</f>
        <v>475</v>
      </c>
      <c r="S386" s="19">
        <f>IF(COUNTIFS(tbl_FACTS[OrderID],tbl_FACTS[[#This Row],[OrderID]],tbl_FACTS[OrderDetailID],"&lt;"&amp;tbl_FACTS[[#This Row],[OrderDetailID]])=0,1,0)</f>
        <v>1</v>
      </c>
      <c r="T386" s="19">
        <f>YEAR(tbl_FACTS[[#This Row],[OrderDate]])</f>
        <v>1996</v>
      </c>
      <c r="U386" s="22">
        <f>DATE(YEAR(tbl_FACTS[[#This Row],[OrderDate]]),MONTH(tbl_FACTS[[#This Row],[OrderDate]]),1)</f>
        <v>35400</v>
      </c>
      <c r="V386" s="22" t="str">
        <f>IF(tbl_FACTS[[#This Row],[Quantity]]&lt;=10,"0–10",IF(tbl_FACTS[[#This Row],[Quantity]]&lt;=20,"11–20",IF(tbl_FACTS[[#This Row],[Quantity]]&lt;=30,"21–30",IF(tbl_FACTS[[#This Row],[Quantity]]&lt;=40,"31–40",IF(tbl_FACTS[[#This Row],[Quantity]]&lt;=50,"41–50","51+")))))</f>
        <v>21–30</v>
      </c>
    </row>
    <row r="387" spans="1:22">
      <c r="A387">
        <v>386</v>
      </c>
      <c r="B387">
        <v>10393</v>
      </c>
      <c r="C387">
        <v>14</v>
      </c>
      <c r="D387" s="19">
        <v>42</v>
      </c>
      <c r="E387" s="20">
        <f>_xlfn.XLOOKUP(tbl_FACTS[[#This Row],[OrderID]],Πίνακας64[OrderID],Πίνακας64[OrderDate])</f>
        <v>35424</v>
      </c>
      <c r="F387">
        <f>_xlfn.XLOOKUP(tbl_FACTS[[#This Row],[OrderID]],Πίνακας64[OrderID],Πίνακας64[CustomerID])</f>
        <v>71</v>
      </c>
      <c r="G387" t="str">
        <f>_xlfn.XLOOKUP(tbl_FACTS[[#This Row],[CustomerID]],Πίνακας1[CustomerID],Πίνακας1[CustomerName])</f>
        <v>Save-a-lot Markets</v>
      </c>
      <c r="H387" t="str">
        <f>_xlfn.XLOOKUP(tbl_FACTS[[#This Row],[CustomerID]],Πίνακας1[CustomerID],Πίνακας1[Country])</f>
        <v>USA</v>
      </c>
      <c r="I387">
        <f>_xlfn.XLOOKUP(tbl_FACTS[[#This Row],[OrderID]],Πίνακας64[OrderID],Πίνακας64[EmployeeID])</f>
        <v>1</v>
      </c>
      <c r="J387">
        <f>_xlfn.XLOOKUP(tbl_FACTS[[#This Row],[OrderID]],Πίνακας64[OrderID],Πίνακας64[ShipperID])</f>
        <v>3</v>
      </c>
      <c r="K387" t="str">
        <f>_xlfn.XLOOKUP(tbl_FACTS[[#This Row],[ShipperID]],Πίνακας8[ShipperID],Πίνακας8[ShipperName])</f>
        <v>Federal Shipping</v>
      </c>
      <c r="L387" t="str">
        <f>_xlfn.XLOOKUP(tbl_FACTS[[#This Row],[ProductID]],Πίνακας7[ProductID],Πίνακας7[ProductName])</f>
        <v>Tofu</v>
      </c>
      <c r="M387">
        <f>_xlfn.XLOOKUP(tbl_FACTS[[#This Row],[ProductID]],Πίνακας7[ProductID],Πίνακας7[CategoryID])</f>
        <v>7</v>
      </c>
      <c r="N387" t="str">
        <f>_xlfn.XLOOKUP(tbl_FACTS[[#This Row],[CategoryID]],Πίνακας4[CategoryID],Πίνακας4[CategoryName])</f>
        <v>Produce</v>
      </c>
      <c r="O387">
        <f>_xlfn.XLOOKUP(tbl_FACTS[[#This Row],[ProductID]],Πίνακας7[ProductID],Πίνακας7[SupplierID])</f>
        <v>6</v>
      </c>
      <c r="P387" t="str">
        <f>_xlfn.XLOOKUP(tbl_FACTS[[#This Row],[SupplierID]],Πίνακας9[SupplierID],Πίνακας9[SupplierName])</f>
        <v>Mayumi's</v>
      </c>
      <c r="Q387" s="21">
        <f>_xlfn.XLOOKUP(tbl_FACTS[[#This Row],[ProductID]],Πίνακας7[ProductID],Πίνακας7[Price])</f>
        <v>23</v>
      </c>
      <c r="R387" s="21">
        <f>tbl_FACTS[[#This Row],[Quantity]]*tbl_FACTS[[#This Row],[Price]]</f>
        <v>966</v>
      </c>
      <c r="S387" s="19">
        <f>IF(COUNTIFS(tbl_FACTS[OrderID],tbl_FACTS[[#This Row],[OrderID]],tbl_FACTS[OrderDetailID],"&lt;"&amp;tbl_FACTS[[#This Row],[OrderDetailID]])=0,1,0)</f>
        <v>0</v>
      </c>
      <c r="T387" s="19">
        <f>YEAR(tbl_FACTS[[#This Row],[OrderDate]])</f>
        <v>1996</v>
      </c>
      <c r="U387" s="22">
        <f>DATE(YEAR(tbl_FACTS[[#This Row],[OrderDate]]),MONTH(tbl_FACTS[[#This Row],[OrderDate]]),1)</f>
        <v>35400</v>
      </c>
      <c r="V387" s="22" t="str">
        <f>IF(tbl_FACTS[[#This Row],[Quantity]]&lt;=10,"0–10",IF(tbl_FACTS[[#This Row],[Quantity]]&lt;=20,"11–20",IF(tbl_FACTS[[#This Row],[Quantity]]&lt;=30,"21–30",IF(tbl_FACTS[[#This Row],[Quantity]]&lt;=40,"31–40",IF(tbl_FACTS[[#This Row],[Quantity]]&lt;=50,"41–50","51+")))))</f>
        <v>41–50</v>
      </c>
    </row>
    <row r="388" spans="1:22">
      <c r="A388">
        <v>387</v>
      </c>
      <c r="B388">
        <v>10393</v>
      </c>
      <c r="C388">
        <v>25</v>
      </c>
      <c r="D388" s="19">
        <v>7</v>
      </c>
      <c r="E388" s="20">
        <f>_xlfn.XLOOKUP(tbl_FACTS[[#This Row],[OrderID]],Πίνακας64[OrderID],Πίνακας64[OrderDate])</f>
        <v>35424</v>
      </c>
      <c r="F388">
        <f>_xlfn.XLOOKUP(tbl_FACTS[[#This Row],[OrderID]],Πίνακας64[OrderID],Πίνακας64[CustomerID])</f>
        <v>71</v>
      </c>
      <c r="G388" t="str">
        <f>_xlfn.XLOOKUP(tbl_FACTS[[#This Row],[CustomerID]],Πίνακας1[CustomerID],Πίνακας1[CustomerName])</f>
        <v>Save-a-lot Markets</v>
      </c>
      <c r="H388" t="str">
        <f>_xlfn.XLOOKUP(tbl_FACTS[[#This Row],[CustomerID]],Πίνακας1[CustomerID],Πίνακας1[Country])</f>
        <v>USA</v>
      </c>
      <c r="I388">
        <f>_xlfn.XLOOKUP(tbl_FACTS[[#This Row],[OrderID]],Πίνακας64[OrderID],Πίνακας64[EmployeeID])</f>
        <v>1</v>
      </c>
      <c r="J388">
        <f>_xlfn.XLOOKUP(tbl_FACTS[[#This Row],[OrderID]],Πίνακας64[OrderID],Πίνακας64[ShipperID])</f>
        <v>3</v>
      </c>
      <c r="K388" t="str">
        <f>_xlfn.XLOOKUP(tbl_FACTS[[#This Row],[ShipperID]],Πίνακας8[ShipperID],Πίνακας8[ShipperName])</f>
        <v>Federal Shipping</v>
      </c>
      <c r="L388" t="str">
        <f>_xlfn.XLOOKUP(tbl_FACTS[[#This Row],[ProductID]],Πίνακας7[ProductID],Πίνακας7[ProductName])</f>
        <v>NuNuCa Nu├ƒ-Nougat-Creme</v>
      </c>
      <c r="M388">
        <f>_xlfn.XLOOKUP(tbl_FACTS[[#This Row],[ProductID]],Πίνακας7[ProductID],Πίνακας7[CategoryID])</f>
        <v>3</v>
      </c>
      <c r="N388" t="str">
        <f>_xlfn.XLOOKUP(tbl_FACTS[[#This Row],[CategoryID]],Πίνακας4[CategoryID],Πίνακας4[CategoryName])</f>
        <v>Confections</v>
      </c>
      <c r="O388">
        <f>_xlfn.XLOOKUP(tbl_FACTS[[#This Row],[ProductID]],Πίνακας7[ProductID],Πίνακας7[SupplierID])</f>
        <v>11</v>
      </c>
      <c r="P388" t="str">
        <f>_xlfn.XLOOKUP(tbl_FACTS[[#This Row],[SupplierID]],Πίνακας9[SupplierID],Πίνακας9[SupplierName])</f>
        <v>Heli Su├ƒwaren GmbH &amp; Co. KG</v>
      </c>
      <c r="Q388" s="21">
        <f>_xlfn.XLOOKUP(tbl_FACTS[[#This Row],[ProductID]],Πίνακας7[ProductID],Πίνακας7[Price])</f>
        <v>14</v>
      </c>
      <c r="R388" s="21">
        <f>tbl_FACTS[[#This Row],[Quantity]]*tbl_FACTS[[#This Row],[Price]]</f>
        <v>98</v>
      </c>
      <c r="S388" s="19">
        <f>IF(COUNTIFS(tbl_FACTS[OrderID],tbl_FACTS[[#This Row],[OrderID]],tbl_FACTS[OrderDetailID],"&lt;"&amp;tbl_FACTS[[#This Row],[OrderDetailID]])=0,1,0)</f>
        <v>0</v>
      </c>
      <c r="T388" s="19">
        <f>YEAR(tbl_FACTS[[#This Row],[OrderDate]])</f>
        <v>1996</v>
      </c>
      <c r="U388" s="22">
        <f>DATE(YEAR(tbl_FACTS[[#This Row],[OrderDate]]),MONTH(tbl_FACTS[[#This Row],[OrderDate]]),1)</f>
        <v>35400</v>
      </c>
      <c r="V388" s="22" t="str">
        <f>IF(tbl_FACTS[[#This Row],[Quantity]]&lt;=10,"0–10",IF(tbl_FACTS[[#This Row],[Quantity]]&lt;=20,"11–20",IF(tbl_FACTS[[#This Row],[Quantity]]&lt;=30,"21–30",IF(tbl_FACTS[[#This Row],[Quantity]]&lt;=40,"31–40",IF(tbl_FACTS[[#This Row],[Quantity]]&lt;=50,"41–50","51+")))))</f>
        <v>0–10</v>
      </c>
    </row>
    <row r="389" spans="1:22">
      <c r="A389">
        <v>388</v>
      </c>
      <c r="B389">
        <v>10393</v>
      </c>
      <c r="C389">
        <v>26</v>
      </c>
      <c r="D389" s="19">
        <v>70</v>
      </c>
      <c r="E389" s="20">
        <f>_xlfn.XLOOKUP(tbl_FACTS[[#This Row],[OrderID]],Πίνακας64[OrderID],Πίνακας64[OrderDate])</f>
        <v>35424</v>
      </c>
      <c r="F389">
        <f>_xlfn.XLOOKUP(tbl_FACTS[[#This Row],[OrderID]],Πίνακας64[OrderID],Πίνακας64[CustomerID])</f>
        <v>71</v>
      </c>
      <c r="G389" t="str">
        <f>_xlfn.XLOOKUP(tbl_FACTS[[#This Row],[CustomerID]],Πίνακας1[CustomerID],Πίνακας1[CustomerName])</f>
        <v>Save-a-lot Markets</v>
      </c>
      <c r="H389" t="str">
        <f>_xlfn.XLOOKUP(tbl_FACTS[[#This Row],[CustomerID]],Πίνακας1[CustomerID],Πίνακας1[Country])</f>
        <v>USA</v>
      </c>
      <c r="I389">
        <f>_xlfn.XLOOKUP(tbl_FACTS[[#This Row],[OrderID]],Πίνακας64[OrderID],Πίνακας64[EmployeeID])</f>
        <v>1</v>
      </c>
      <c r="J389">
        <f>_xlfn.XLOOKUP(tbl_FACTS[[#This Row],[OrderID]],Πίνακας64[OrderID],Πίνακας64[ShipperID])</f>
        <v>3</v>
      </c>
      <c r="K389" t="str">
        <f>_xlfn.XLOOKUP(tbl_FACTS[[#This Row],[ShipperID]],Πίνακας8[ShipperID],Πίνακας8[ShipperName])</f>
        <v>Federal Shipping</v>
      </c>
      <c r="L389" t="str">
        <f>_xlfn.XLOOKUP(tbl_FACTS[[#This Row],[ProductID]],Πίνακας7[ProductID],Πίνακας7[ProductName])</f>
        <v>Gumbar Gummibarchen</v>
      </c>
      <c r="M389">
        <f>_xlfn.XLOOKUP(tbl_FACTS[[#This Row],[ProductID]],Πίνακας7[ProductID],Πίνακας7[CategoryID])</f>
        <v>3</v>
      </c>
      <c r="N389" t="str">
        <f>_xlfn.XLOOKUP(tbl_FACTS[[#This Row],[CategoryID]],Πίνακας4[CategoryID],Πίνακας4[CategoryName])</f>
        <v>Confections</v>
      </c>
      <c r="O389">
        <f>_xlfn.XLOOKUP(tbl_FACTS[[#This Row],[ProductID]],Πίνακας7[ProductID],Πίνακας7[SupplierID])</f>
        <v>11</v>
      </c>
      <c r="P389" t="str">
        <f>_xlfn.XLOOKUP(tbl_FACTS[[#This Row],[SupplierID]],Πίνακας9[SupplierID],Πίνακας9[SupplierName])</f>
        <v>Heli Su├ƒwaren GmbH &amp; Co. KG</v>
      </c>
      <c r="Q389" s="21">
        <f>_xlfn.XLOOKUP(tbl_FACTS[[#This Row],[ProductID]],Πίνακας7[ProductID],Πίνακας7[Price])</f>
        <v>31</v>
      </c>
      <c r="R389" s="21">
        <f>tbl_FACTS[[#This Row],[Quantity]]*tbl_FACTS[[#This Row],[Price]]</f>
        <v>2170</v>
      </c>
      <c r="S389" s="19">
        <f>IF(COUNTIFS(tbl_FACTS[OrderID],tbl_FACTS[[#This Row],[OrderID]],tbl_FACTS[OrderDetailID],"&lt;"&amp;tbl_FACTS[[#This Row],[OrderDetailID]])=0,1,0)</f>
        <v>0</v>
      </c>
      <c r="T389" s="19">
        <f>YEAR(tbl_FACTS[[#This Row],[OrderDate]])</f>
        <v>1996</v>
      </c>
      <c r="U389" s="22">
        <f>DATE(YEAR(tbl_FACTS[[#This Row],[OrderDate]]),MONTH(tbl_FACTS[[#This Row],[OrderDate]]),1)</f>
        <v>35400</v>
      </c>
      <c r="V389" s="22" t="str">
        <f>IF(tbl_FACTS[[#This Row],[Quantity]]&lt;=10,"0–10",IF(tbl_FACTS[[#This Row],[Quantity]]&lt;=20,"11–20",IF(tbl_FACTS[[#This Row],[Quantity]]&lt;=30,"21–30",IF(tbl_FACTS[[#This Row],[Quantity]]&lt;=40,"31–40",IF(tbl_FACTS[[#This Row],[Quantity]]&lt;=50,"41–50","51+")))))</f>
        <v>51+</v>
      </c>
    </row>
    <row r="390" spans="1:22">
      <c r="A390">
        <v>389</v>
      </c>
      <c r="B390">
        <v>10393</v>
      </c>
      <c r="C390">
        <v>31</v>
      </c>
      <c r="D390" s="19">
        <v>32</v>
      </c>
      <c r="E390" s="20">
        <f>_xlfn.XLOOKUP(tbl_FACTS[[#This Row],[OrderID]],Πίνακας64[OrderID],Πίνακας64[OrderDate])</f>
        <v>35424</v>
      </c>
      <c r="F390">
        <f>_xlfn.XLOOKUP(tbl_FACTS[[#This Row],[OrderID]],Πίνακας64[OrderID],Πίνακας64[CustomerID])</f>
        <v>71</v>
      </c>
      <c r="G390" t="str">
        <f>_xlfn.XLOOKUP(tbl_FACTS[[#This Row],[CustomerID]],Πίνακας1[CustomerID],Πίνακας1[CustomerName])</f>
        <v>Save-a-lot Markets</v>
      </c>
      <c r="H390" t="str">
        <f>_xlfn.XLOOKUP(tbl_FACTS[[#This Row],[CustomerID]],Πίνακας1[CustomerID],Πίνακας1[Country])</f>
        <v>USA</v>
      </c>
      <c r="I390">
        <f>_xlfn.XLOOKUP(tbl_FACTS[[#This Row],[OrderID]],Πίνακας64[OrderID],Πίνακας64[EmployeeID])</f>
        <v>1</v>
      </c>
      <c r="J390">
        <f>_xlfn.XLOOKUP(tbl_FACTS[[#This Row],[OrderID]],Πίνακας64[OrderID],Πίνακας64[ShipperID])</f>
        <v>3</v>
      </c>
      <c r="K390" t="str">
        <f>_xlfn.XLOOKUP(tbl_FACTS[[#This Row],[ShipperID]],Πίνακας8[ShipperID],Πίνακας8[ShipperName])</f>
        <v>Federal Shipping</v>
      </c>
      <c r="L390" t="str">
        <f>_xlfn.XLOOKUP(tbl_FACTS[[#This Row],[ProductID]],Πίνακας7[ProductID],Πίνακας7[ProductName])</f>
        <v>Gorgonzola Telino</v>
      </c>
      <c r="M390">
        <f>_xlfn.XLOOKUP(tbl_FACTS[[#This Row],[ProductID]],Πίνακας7[ProductID],Πίνακας7[CategoryID])</f>
        <v>4</v>
      </c>
      <c r="N390" t="str">
        <f>_xlfn.XLOOKUP(tbl_FACTS[[#This Row],[CategoryID]],Πίνακας4[CategoryID],Πίνακας4[CategoryName])</f>
        <v>Dairy Products</v>
      </c>
      <c r="O390">
        <f>_xlfn.XLOOKUP(tbl_FACTS[[#This Row],[ProductID]],Πίνακας7[ProductID],Πίνακας7[SupplierID])</f>
        <v>14</v>
      </c>
      <c r="P390" t="str">
        <f>_xlfn.XLOOKUP(tbl_FACTS[[#This Row],[SupplierID]],Πίνακας9[SupplierID],Πίνακας9[SupplierName])</f>
        <v>Formaggi Fortini s.r.l.</v>
      </c>
      <c r="Q390" s="21">
        <f>_xlfn.XLOOKUP(tbl_FACTS[[#This Row],[ProductID]],Πίνακας7[ProductID],Πίνακας7[Price])</f>
        <v>13</v>
      </c>
      <c r="R390" s="21">
        <f>tbl_FACTS[[#This Row],[Quantity]]*tbl_FACTS[[#This Row],[Price]]</f>
        <v>416</v>
      </c>
      <c r="S390" s="19">
        <f>IF(COUNTIFS(tbl_FACTS[OrderID],tbl_FACTS[[#This Row],[OrderID]],tbl_FACTS[OrderDetailID],"&lt;"&amp;tbl_FACTS[[#This Row],[OrderDetailID]])=0,1,0)</f>
        <v>0</v>
      </c>
      <c r="T390" s="19">
        <f>YEAR(tbl_FACTS[[#This Row],[OrderDate]])</f>
        <v>1996</v>
      </c>
      <c r="U390" s="22">
        <f>DATE(YEAR(tbl_FACTS[[#This Row],[OrderDate]]),MONTH(tbl_FACTS[[#This Row],[OrderDate]]),1)</f>
        <v>35400</v>
      </c>
      <c r="V390" s="22" t="str">
        <f>IF(tbl_FACTS[[#This Row],[Quantity]]&lt;=10,"0–10",IF(tbl_FACTS[[#This Row],[Quantity]]&lt;=20,"11–20",IF(tbl_FACTS[[#This Row],[Quantity]]&lt;=30,"21–30",IF(tbl_FACTS[[#This Row],[Quantity]]&lt;=40,"31–40",IF(tbl_FACTS[[#This Row],[Quantity]]&lt;=50,"41–50","51+")))))</f>
        <v>31–40</v>
      </c>
    </row>
    <row r="391" spans="1:22">
      <c r="A391">
        <v>390</v>
      </c>
      <c r="B391">
        <v>10394</v>
      </c>
      <c r="C391">
        <v>13</v>
      </c>
      <c r="D391" s="19">
        <v>10</v>
      </c>
      <c r="E391" s="20">
        <f>_xlfn.XLOOKUP(tbl_FACTS[[#This Row],[OrderID]],Πίνακας64[OrderID],Πίνακας64[OrderDate])</f>
        <v>35424</v>
      </c>
      <c r="F391">
        <f>_xlfn.XLOOKUP(tbl_FACTS[[#This Row],[OrderID]],Πίνακας64[OrderID],Πίνακας64[CustomerID])</f>
        <v>36</v>
      </c>
      <c r="G391" t="str">
        <f>_xlfn.XLOOKUP(tbl_FACTS[[#This Row],[CustomerID]],Πίνακας1[CustomerID],Πίνακας1[CustomerName])</f>
        <v>Hungry Coyote Import Store</v>
      </c>
      <c r="H391" t="str">
        <f>_xlfn.XLOOKUP(tbl_FACTS[[#This Row],[CustomerID]],Πίνακας1[CustomerID],Πίνακας1[Country])</f>
        <v>USA</v>
      </c>
      <c r="I391">
        <f>_xlfn.XLOOKUP(tbl_FACTS[[#This Row],[OrderID]],Πίνακας64[OrderID],Πίνακας64[EmployeeID])</f>
        <v>1</v>
      </c>
      <c r="J391">
        <f>_xlfn.XLOOKUP(tbl_FACTS[[#This Row],[OrderID]],Πίνακας64[OrderID],Πίνακας64[ShipperID])</f>
        <v>3</v>
      </c>
      <c r="K391" t="str">
        <f>_xlfn.XLOOKUP(tbl_FACTS[[#This Row],[ShipperID]],Πίνακας8[ShipperID],Πίνακας8[ShipperName])</f>
        <v>Federal Shipping</v>
      </c>
      <c r="L391" t="str">
        <f>_xlfn.XLOOKUP(tbl_FACTS[[#This Row],[ProductID]],Πίνακας7[ProductID],Πίνακας7[ProductName])</f>
        <v>Konbu</v>
      </c>
      <c r="M391">
        <f>_xlfn.XLOOKUP(tbl_FACTS[[#This Row],[ProductID]],Πίνακας7[ProductID],Πίνακας7[CategoryID])</f>
        <v>8</v>
      </c>
      <c r="N391" t="str">
        <f>_xlfn.XLOOKUP(tbl_FACTS[[#This Row],[CategoryID]],Πίνακας4[CategoryID],Πίνακας4[CategoryName])</f>
        <v>Seafood</v>
      </c>
      <c r="O391">
        <f>_xlfn.XLOOKUP(tbl_FACTS[[#This Row],[ProductID]],Πίνακας7[ProductID],Πίνακας7[SupplierID])</f>
        <v>6</v>
      </c>
      <c r="P391" t="str">
        <f>_xlfn.XLOOKUP(tbl_FACTS[[#This Row],[SupplierID]],Πίνακας9[SupplierID],Πίνακας9[SupplierName])</f>
        <v>Mayumi's</v>
      </c>
      <c r="Q391" s="21">
        <f>_xlfn.XLOOKUP(tbl_FACTS[[#This Row],[ProductID]],Πίνακας7[ProductID],Πίνακας7[Price])</f>
        <v>6</v>
      </c>
      <c r="R391" s="21">
        <f>tbl_FACTS[[#This Row],[Quantity]]*tbl_FACTS[[#This Row],[Price]]</f>
        <v>60</v>
      </c>
      <c r="S391" s="19">
        <f>IF(COUNTIFS(tbl_FACTS[OrderID],tbl_FACTS[[#This Row],[OrderID]],tbl_FACTS[OrderDetailID],"&lt;"&amp;tbl_FACTS[[#This Row],[OrderDetailID]])=0,1,0)</f>
        <v>1</v>
      </c>
      <c r="T391" s="19">
        <f>YEAR(tbl_FACTS[[#This Row],[OrderDate]])</f>
        <v>1996</v>
      </c>
      <c r="U391" s="22">
        <f>DATE(YEAR(tbl_FACTS[[#This Row],[OrderDate]]),MONTH(tbl_FACTS[[#This Row],[OrderDate]]),1)</f>
        <v>35400</v>
      </c>
      <c r="V391" s="22" t="str">
        <f>IF(tbl_FACTS[[#This Row],[Quantity]]&lt;=10,"0–10",IF(tbl_FACTS[[#This Row],[Quantity]]&lt;=20,"11–20",IF(tbl_FACTS[[#This Row],[Quantity]]&lt;=30,"21–30",IF(tbl_FACTS[[#This Row],[Quantity]]&lt;=40,"31–40",IF(tbl_FACTS[[#This Row],[Quantity]]&lt;=50,"41–50","51+")))))</f>
        <v>0–10</v>
      </c>
    </row>
    <row r="392" spans="1:22">
      <c r="A392">
        <v>391</v>
      </c>
      <c r="B392">
        <v>10394</v>
      </c>
      <c r="C392">
        <v>62</v>
      </c>
      <c r="D392" s="19">
        <v>10</v>
      </c>
      <c r="E392" s="20">
        <f>_xlfn.XLOOKUP(tbl_FACTS[[#This Row],[OrderID]],Πίνακας64[OrderID],Πίνακας64[OrderDate])</f>
        <v>35424</v>
      </c>
      <c r="F392">
        <f>_xlfn.XLOOKUP(tbl_FACTS[[#This Row],[OrderID]],Πίνακας64[OrderID],Πίνακας64[CustomerID])</f>
        <v>36</v>
      </c>
      <c r="G392" t="str">
        <f>_xlfn.XLOOKUP(tbl_FACTS[[#This Row],[CustomerID]],Πίνακας1[CustomerID],Πίνακας1[CustomerName])</f>
        <v>Hungry Coyote Import Store</v>
      </c>
      <c r="H392" t="str">
        <f>_xlfn.XLOOKUP(tbl_FACTS[[#This Row],[CustomerID]],Πίνακας1[CustomerID],Πίνακας1[Country])</f>
        <v>USA</v>
      </c>
      <c r="I392">
        <f>_xlfn.XLOOKUP(tbl_FACTS[[#This Row],[OrderID]],Πίνακας64[OrderID],Πίνακας64[EmployeeID])</f>
        <v>1</v>
      </c>
      <c r="J392">
        <f>_xlfn.XLOOKUP(tbl_FACTS[[#This Row],[OrderID]],Πίνακας64[OrderID],Πίνακας64[ShipperID])</f>
        <v>3</v>
      </c>
      <c r="K392" t="str">
        <f>_xlfn.XLOOKUP(tbl_FACTS[[#This Row],[ShipperID]],Πίνακας8[ShipperID],Πίνακας8[ShipperName])</f>
        <v>Federal Shipping</v>
      </c>
      <c r="L392" t="str">
        <f>_xlfn.XLOOKUP(tbl_FACTS[[#This Row],[ProductID]],Πίνακας7[ProductID],Πίνακας7[ProductName])</f>
        <v>Tarte au sucre</v>
      </c>
      <c r="M392">
        <f>_xlfn.XLOOKUP(tbl_FACTS[[#This Row],[ProductID]],Πίνακας7[ProductID],Πίνακας7[CategoryID])</f>
        <v>3</v>
      </c>
      <c r="N392" t="str">
        <f>_xlfn.XLOOKUP(tbl_FACTS[[#This Row],[CategoryID]],Πίνακας4[CategoryID],Πίνακας4[CategoryName])</f>
        <v>Confections</v>
      </c>
      <c r="O392">
        <f>_xlfn.XLOOKUP(tbl_FACTS[[#This Row],[ProductID]],Πίνακας7[ProductID],Πίνακας7[SupplierID])</f>
        <v>29</v>
      </c>
      <c r="P392" t="str">
        <f>_xlfn.XLOOKUP(tbl_FACTS[[#This Row],[SupplierID]],Πίνακας9[SupplierID],Πίνακας9[SupplierName])</f>
        <v>Forets d'erables</v>
      </c>
      <c r="Q392" s="21">
        <f>_xlfn.XLOOKUP(tbl_FACTS[[#This Row],[ProductID]],Πίνακας7[ProductID],Πίνακας7[Price])</f>
        <v>49</v>
      </c>
      <c r="R392" s="21">
        <f>tbl_FACTS[[#This Row],[Quantity]]*tbl_FACTS[[#This Row],[Price]]</f>
        <v>490</v>
      </c>
      <c r="S392" s="19">
        <f>IF(COUNTIFS(tbl_FACTS[OrderID],tbl_FACTS[[#This Row],[OrderID]],tbl_FACTS[OrderDetailID],"&lt;"&amp;tbl_FACTS[[#This Row],[OrderDetailID]])=0,1,0)</f>
        <v>0</v>
      </c>
      <c r="T392" s="19">
        <f>YEAR(tbl_FACTS[[#This Row],[OrderDate]])</f>
        <v>1996</v>
      </c>
      <c r="U392" s="22">
        <f>DATE(YEAR(tbl_FACTS[[#This Row],[OrderDate]]),MONTH(tbl_FACTS[[#This Row],[OrderDate]]),1)</f>
        <v>35400</v>
      </c>
      <c r="V392" s="22" t="str">
        <f>IF(tbl_FACTS[[#This Row],[Quantity]]&lt;=10,"0–10",IF(tbl_FACTS[[#This Row],[Quantity]]&lt;=20,"11–20",IF(tbl_FACTS[[#This Row],[Quantity]]&lt;=30,"21–30",IF(tbl_FACTS[[#This Row],[Quantity]]&lt;=40,"31–40",IF(tbl_FACTS[[#This Row],[Quantity]]&lt;=50,"41–50","51+")))))</f>
        <v>0–10</v>
      </c>
    </row>
    <row r="393" spans="1:22">
      <c r="A393">
        <v>392</v>
      </c>
      <c r="B393">
        <v>10395</v>
      </c>
      <c r="C393">
        <v>46</v>
      </c>
      <c r="D393" s="19">
        <v>28</v>
      </c>
      <c r="E393" s="20">
        <f>_xlfn.XLOOKUP(tbl_FACTS[[#This Row],[OrderID]],Πίνακας64[OrderID],Πίνακας64[OrderDate])</f>
        <v>35425</v>
      </c>
      <c r="F393">
        <f>_xlfn.XLOOKUP(tbl_FACTS[[#This Row],[OrderID]],Πίνακας64[OrderID],Πίνακας64[CustomerID])</f>
        <v>35</v>
      </c>
      <c r="G393" t="str">
        <f>_xlfn.XLOOKUP(tbl_FACTS[[#This Row],[CustomerID]],Πίνακας1[CustomerID],Πίνακας1[CustomerName])</f>
        <v>HILARION-Abastos</v>
      </c>
      <c r="H393" t="str">
        <f>_xlfn.XLOOKUP(tbl_FACTS[[#This Row],[CustomerID]],Πίνακας1[CustomerID],Πίνακας1[Country])</f>
        <v>Venezuela</v>
      </c>
      <c r="I393">
        <f>_xlfn.XLOOKUP(tbl_FACTS[[#This Row],[OrderID]],Πίνακας64[OrderID],Πίνακας64[EmployeeID])</f>
        <v>6</v>
      </c>
      <c r="J393">
        <f>_xlfn.XLOOKUP(tbl_FACTS[[#This Row],[OrderID]],Πίνακας64[OrderID],Πίνακας64[ShipperID])</f>
        <v>1</v>
      </c>
      <c r="K393" t="str">
        <f>_xlfn.XLOOKUP(tbl_FACTS[[#This Row],[ShipperID]],Πίνακας8[ShipperID],Πίνακας8[ShipperName])</f>
        <v>Speedy Express</v>
      </c>
      <c r="L393" t="str">
        <f>_xlfn.XLOOKUP(tbl_FACTS[[#This Row],[ProductID]],Πίνακας7[ProductID],Πίνακας7[ProductName])</f>
        <v>Spegesild</v>
      </c>
      <c r="M393">
        <f>_xlfn.XLOOKUP(tbl_FACTS[[#This Row],[ProductID]],Πίνακας7[ProductID],Πίνακας7[CategoryID])</f>
        <v>8</v>
      </c>
      <c r="N393" t="str">
        <f>_xlfn.XLOOKUP(tbl_FACTS[[#This Row],[CategoryID]],Πίνακας4[CategoryID],Πίνακας4[CategoryName])</f>
        <v>Seafood</v>
      </c>
      <c r="O393">
        <f>_xlfn.XLOOKUP(tbl_FACTS[[#This Row],[ProductID]],Πίνακας7[ProductID],Πίνακας7[SupplierID])</f>
        <v>21</v>
      </c>
      <c r="P393" t="str">
        <f>_xlfn.XLOOKUP(tbl_FACTS[[#This Row],[SupplierID]],Πίνακας9[SupplierID],Πίνακας9[SupplierName])</f>
        <v>Lyngbysild</v>
      </c>
      <c r="Q393" s="21">
        <f>_xlfn.XLOOKUP(tbl_FACTS[[#This Row],[ProductID]],Πίνακας7[ProductID],Πίνακας7[Price])</f>
        <v>12</v>
      </c>
      <c r="R393" s="21">
        <f>tbl_FACTS[[#This Row],[Quantity]]*tbl_FACTS[[#This Row],[Price]]</f>
        <v>336</v>
      </c>
      <c r="S393" s="19">
        <f>IF(COUNTIFS(tbl_FACTS[OrderID],tbl_FACTS[[#This Row],[OrderID]],tbl_FACTS[OrderDetailID],"&lt;"&amp;tbl_FACTS[[#This Row],[OrderDetailID]])=0,1,0)</f>
        <v>1</v>
      </c>
      <c r="T393" s="19">
        <f>YEAR(tbl_FACTS[[#This Row],[OrderDate]])</f>
        <v>1996</v>
      </c>
      <c r="U393" s="22">
        <f>DATE(YEAR(tbl_FACTS[[#This Row],[OrderDate]]),MONTH(tbl_FACTS[[#This Row],[OrderDate]]),1)</f>
        <v>35400</v>
      </c>
      <c r="V393" s="22" t="str">
        <f>IF(tbl_FACTS[[#This Row],[Quantity]]&lt;=10,"0–10",IF(tbl_FACTS[[#This Row],[Quantity]]&lt;=20,"11–20",IF(tbl_FACTS[[#This Row],[Quantity]]&lt;=30,"21–30",IF(tbl_FACTS[[#This Row],[Quantity]]&lt;=40,"31–40",IF(tbl_FACTS[[#This Row],[Quantity]]&lt;=50,"41–50","51+")))))</f>
        <v>21–30</v>
      </c>
    </row>
    <row r="394" spans="1:22">
      <c r="A394">
        <v>393</v>
      </c>
      <c r="B394">
        <v>10395</v>
      </c>
      <c r="C394">
        <v>53</v>
      </c>
      <c r="D394" s="19">
        <v>70</v>
      </c>
      <c r="E394" s="20">
        <f>_xlfn.XLOOKUP(tbl_FACTS[[#This Row],[OrderID]],Πίνακας64[OrderID],Πίνακας64[OrderDate])</f>
        <v>35425</v>
      </c>
      <c r="F394">
        <f>_xlfn.XLOOKUP(tbl_FACTS[[#This Row],[OrderID]],Πίνακας64[OrderID],Πίνακας64[CustomerID])</f>
        <v>35</v>
      </c>
      <c r="G394" t="str">
        <f>_xlfn.XLOOKUP(tbl_FACTS[[#This Row],[CustomerID]],Πίνακας1[CustomerID],Πίνακας1[CustomerName])</f>
        <v>HILARION-Abastos</v>
      </c>
      <c r="H394" t="str">
        <f>_xlfn.XLOOKUP(tbl_FACTS[[#This Row],[CustomerID]],Πίνακας1[CustomerID],Πίνακας1[Country])</f>
        <v>Venezuela</v>
      </c>
      <c r="I394">
        <f>_xlfn.XLOOKUP(tbl_FACTS[[#This Row],[OrderID]],Πίνακας64[OrderID],Πίνακας64[EmployeeID])</f>
        <v>6</v>
      </c>
      <c r="J394">
        <f>_xlfn.XLOOKUP(tbl_FACTS[[#This Row],[OrderID]],Πίνακας64[OrderID],Πίνακας64[ShipperID])</f>
        <v>1</v>
      </c>
      <c r="K394" t="str">
        <f>_xlfn.XLOOKUP(tbl_FACTS[[#This Row],[ShipperID]],Πίνακας8[ShipperID],Πίνακας8[ShipperName])</f>
        <v>Speedy Express</v>
      </c>
      <c r="L394" t="str">
        <f>_xlfn.XLOOKUP(tbl_FACTS[[#This Row],[ProductID]],Πίνακας7[ProductID],Πίνακας7[ProductName])</f>
        <v>Perth Pasties</v>
      </c>
      <c r="M394">
        <f>_xlfn.XLOOKUP(tbl_FACTS[[#This Row],[ProductID]],Πίνακας7[ProductID],Πίνακας7[CategoryID])</f>
        <v>6</v>
      </c>
      <c r="N394" t="str">
        <f>_xlfn.XLOOKUP(tbl_FACTS[[#This Row],[CategoryID]],Πίνακας4[CategoryID],Πίνακας4[CategoryName])</f>
        <v>Meat/Poultry</v>
      </c>
      <c r="O394">
        <f>_xlfn.XLOOKUP(tbl_FACTS[[#This Row],[ProductID]],Πίνακας7[ProductID],Πίνακας7[SupplierID])</f>
        <v>24</v>
      </c>
      <c r="P394" t="str">
        <f>_xlfn.XLOOKUP(tbl_FACTS[[#This Row],[SupplierID]],Πίνακας9[SupplierID],Πίνακας9[SupplierName])</f>
        <v>G'day, Mate</v>
      </c>
      <c r="Q394" s="21">
        <f>_xlfn.XLOOKUP(tbl_FACTS[[#This Row],[ProductID]],Πίνακας7[ProductID],Πίνακας7[Price])</f>
        <v>33</v>
      </c>
      <c r="R394" s="21">
        <f>tbl_FACTS[[#This Row],[Quantity]]*tbl_FACTS[[#This Row],[Price]]</f>
        <v>2310</v>
      </c>
      <c r="S394" s="19">
        <f>IF(COUNTIFS(tbl_FACTS[OrderID],tbl_FACTS[[#This Row],[OrderID]],tbl_FACTS[OrderDetailID],"&lt;"&amp;tbl_FACTS[[#This Row],[OrderDetailID]])=0,1,0)</f>
        <v>0</v>
      </c>
      <c r="T394" s="19">
        <f>YEAR(tbl_FACTS[[#This Row],[OrderDate]])</f>
        <v>1996</v>
      </c>
      <c r="U394" s="22">
        <f>DATE(YEAR(tbl_FACTS[[#This Row],[OrderDate]]),MONTH(tbl_FACTS[[#This Row],[OrderDate]]),1)</f>
        <v>35400</v>
      </c>
      <c r="V394" s="22" t="str">
        <f>IF(tbl_FACTS[[#This Row],[Quantity]]&lt;=10,"0–10",IF(tbl_FACTS[[#This Row],[Quantity]]&lt;=20,"11–20",IF(tbl_FACTS[[#This Row],[Quantity]]&lt;=30,"21–30",IF(tbl_FACTS[[#This Row],[Quantity]]&lt;=40,"31–40",IF(tbl_FACTS[[#This Row],[Quantity]]&lt;=50,"41–50","51+")))))</f>
        <v>51+</v>
      </c>
    </row>
    <row r="395" spans="1:22">
      <c r="A395">
        <v>394</v>
      </c>
      <c r="B395">
        <v>10395</v>
      </c>
      <c r="C395">
        <v>69</v>
      </c>
      <c r="D395" s="19">
        <v>8</v>
      </c>
      <c r="E395" s="20">
        <f>_xlfn.XLOOKUP(tbl_FACTS[[#This Row],[OrderID]],Πίνακας64[OrderID],Πίνακας64[OrderDate])</f>
        <v>35425</v>
      </c>
      <c r="F395">
        <f>_xlfn.XLOOKUP(tbl_FACTS[[#This Row],[OrderID]],Πίνακας64[OrderID],Πίνακας64[CustomerID])</f>
        <v>35</v>
      </c>
      <c r="G395" t="str">
        <f>_xlfn.XLOOKUP(tbl_FACTS[[#This Row],[CustomerID]],Πίνακας1[CustomerID],Πίνακας1[CustomerName])</f>
        <v>HILARION-Abastos</v>
      </c>
      <c r="H395" t="str">
        <f>_xlfn.XLOOKUP(tbl_FACTS[[#This Row],[CustomerID]],Πίνακας1[CustomerID],Πίνακας1[Country])</f>
        <v>Venezuela</v>
      </c>
      <c r="I395">
        <f>_xlfn.XLOOKUP(tbl_FACTS[[#This Row],[OrderID]],Πίνακας64[OrderID],Πίνακας64[EmployeeID])</f>
        <v>6</v>
      </c>
      <c r="J395">
        <f>_xlfn.XLOOKUP(tbl_FACTS[[#This Row],[OrderID]],Πίνακας64[OrderID],Πίνακας64[ShipperID])</f>
        <v>1</v>
      </c>
      <c r="K395" t="str">
        <f>_xlfn.XLOOKUP(tbl_FACTS[[#This Row],[ShipperID]],Πίνακας8[ShipperID],Πίνακας8[ShipperName])</f>
        <v>Speedy Express</v>
      </c>
      <c r="L395" t="str">
        <f>_xlfn.XLOOKUP(tbl_FACTS[[#This Row],[ProductID]],Πίνακας7[ProductID],Πίνακας7[ProductName])</f>
        <v>Gudbrandsdalsost</v>
      </c>
      <c r="M395">
        <f>_xlfn.XLOOKUP(tbl_FACTS[[#This Row],[ProductID]],Πίνακας7[ProductID],Πίνακας7[CategoryID])</f>
        <v>4</v>
      </c>
      <c r="N395" t="str">
        <f>_xlfn.XLOOKUP(tbl_FACTS[[#This Row],[CategoryID]],Πίνακας4[CategoryID],Πίνακας4[CategoryName])</f>
        <v>Dairy Products</v>
      </c>
      <c r="O395">
        <f>_xlfn.XLOOKUP(tbl_FACTS[[#This Row],[ProductID]],Πίνακας7[ProductID],Πίνακας7[SupplierID])</f>
        <v>15</v>
      </c>
      <c r="P395" t="str">
        <f>_xlfn.XLOOKUP(tbl_FACTS[[#This Row],[SupplierID]],Πίνακας9[SupplierID],Πίνακας9[SupplierName])</f>
        <v>Norske Meierier</v>
      </c>
      <c r="Q395" s="21">
        <f>_xlfn.XLOOKUP(tbl_FACTS[[#This Row],[ProductID]],Πίνακας7[ProductID],Πίνακας7[Price])</f>
        <v>36</v>
      </c>
      <c r="R395" s="21">
        <f>tbl_FACTS[[#This Row],[Quantity]]*tbl_FACTS[[#This Row],[Price]]</f>
        <v>288</v>
      </c>
      <c r="S395" s="19">
        <f>IF(COUNTIFS(tbl_FACTS[OrderID],tbl_FACTS[[#This Row],[OrderID]],tbl_FACTS[OrderDetailID],"&lt;"&amp;tbl_FACTS[[#This Row],[OrderDetailID]])=0,1,0)</f>
        <v>0</v>
      </c>
      <c r="T395" s="19">
        <f>YEAR(tbl_FACTS[[#This Row],[OrderDate]])</f>
        <v>1996</v>
      </c>
      <c r="U395" s="22">
        <f>DATE(YEAR(tbl_FACTS[[#This Row],[OrderDate]]),MONTH(tbl_FACTS[[#This Row],[OrderDate]]),1)</f>
        <v>35400</v>
      </c>
      <c r="V395" s="22" t="str">
        <f>IF(tbl_FACTS[[#This Row],[Quantity]]&lt;=10,"0–10",IF(tbl_FACTS[[#This Row],[Quantity]]&lt;=20,"11–20",IF(tbl_FACTS[[#This Row],[Quantity]]&lt;=30,"21–30",IF(tbl_FACTS[[#This Row],[Quantity]]&lt;=40,"31–40",IF(tbl_FACTS[[#This Row],[Quantity]]&lt;=50,"41–50","51+")))))</f>
        <v>0–10</v>
      </c>
    </row>
    <row r="396" spans="1:22">
      <c r="A396">
        <v>395</v>
      </c>
      <c r="B396">
        <v>10396</v>
      </c>
      <c r="C396">
        <v>23</v>
      </c>
      <c r="D396" s="19">
        <v>40</v>
      </c>
      <c r="E396" s="20">
        <f>_xlfn.XLOOKUP(tbl_FACTS[[#This Row],[OrderID]],Πίνακας64[OrderID],Πίνακας64[OrderDate])</f>
        <v>35426</v>
      </c>
      <c r="F396">
        <f>_xlfn.XLOOKUP(tbl_FACTS[[#This Row],[OrderID]],Πίνακας64[OrderID],Πίνακας64[CustomerID])</f>
        <v>25</v>
      </c>
      <c r="G396" t="str">
        <f>_xlfn.XLOOKUP(tbl_FACTS[[#This Row],[CustomerID]],Πίνακας1[CustomerID],Πίνακας1[CustomerName])</f>
        <v>Frankenversand</v>
      </c>
      <c r="H396" t="str">
        <f>_xlfn.XLOOKUP(tbl_FACTS[[#This Row],[CustomerID]],Πίνακας1[CustomerID],Πίνακας1[Country])</f>
        <v>Germany</v>
      </c>
      <c r="I396">
        <f>_xlfn.XLOOKUP(tbl_FACTS[[#This Row],[OrderID]],Πίνακας64[OrderID],Πίνακας64[EmployeeID])</f>
        <v>1</v>
      </c>
      <c r="J396">
        <f>_xlfn.XLOOKUP(tbl_FACTS[[#This Row],[OrderID]],Πίνακας64[OrderID],Πίνακας64[ShipperID])</f>
        <v>3</v>
      </c>
      <c r="K396" t="str">
        <f>_xlfn.XLOOKUP(tbl_FACTS[[#This Row],[ShipperID]],Πίνακας8[ShipperID],Πίνακας8[ShipperName])</f>
        <v>Federal Shipping</v>
      </c>
      <c r="L396" t="str">
        <f>_xlfn.XLOOKUP(tbl_FACTS[[#This Row],[ProductID]],Πίνακας7[ProductID],Πίνακας7[ProductName])</f>
        <v>Tunnbrod</v>
      </c>
      <c r="M396">
        <f>_xlfn.XLOOKUP(tbl_FACTS[[#This Row],[ProductID]],Πίνακας7[ProductID],Πίνακας7[CategoryID])</f>
        <v>5</v>
      </c>
      <c r="N396" t="str">
        <f>_xlfn.XLOOKUP(tbl_FACTS[[#This Row],[CategoryID]],Πίνακας4[CategoryID],Πίνακας4[CategoryName])</f>
        <v>Grains/Cereals</v>
      </c>
      <c r="O396">
        <f>_xlfn.XLOOKUP(tbl_FACTS[[#This Row],[ProductID]],Πίνακας7[ProductID],Πίνακας7[SupplierID])</f>
        <v>9</v>
      </c>
      <c r="P396" t="str">
        <f>_xlfn.XLOOKUP(tbl_FACTS[[#This Row],[SupplierID]],Πίνακας9[SupplierID],Πίνακας9[SupplierName])</f>
        <v>PB Knackebrod AB</v>
      </c>
      <c r="Q396" s="21">
        <f>_xlfn.XLOOKUP(tbl_FACTS[[#This Row],[ProductID]],Πίνακας7[ProductID],Πίνακας7[Price])</f>
        <v>9</v>
      </c>
      <c r="R396" s="21">
        <f>tbl_FACTS[[#This Row],[Quantity]]*tbl_FACTS[[#This Row],[Price]]</f>
        <v>360</v>
      </c>
      <c r="S396" s="19">
        <f>IF(COUNTIFS(tbl_FACTS[OrderID],tbl_FACTS[[#This Row],[OrderID]],tbl_FACTS[OrderDetailID],"&lt;"&amp;tbl_FACTS[[#This Row],[OrderDetailID]])=0,1,0)</f>
        <v>1</v>
      </c>
      <c r="T396" s="19">
        <f>YEAR(tbl_FACTS[[#This Row],[OrderDate]])</f>
        <v>1996</v>
      </c>
      <c r="U396" s="22">
        <f>DATE(YEAR(tbl_FACTS[[#This Row],[OrderDate]]),MONTH(tbl_FACTS[[#This Row],[OrderDate]]),1)</f>
        <v>35400</v>
      </c>
      <c r="V396" s="22" t="str">
        <f>IF(tbl_FACTS[[#This Row],[Quantity]]&lt;=10,"0–10",IF(tbl_FACTS[[#This Row],[Quantity]]&lt;=20,"11–20",IF(tbl_FACTS[[#This Row],[Quantity]]&lt;=30,"21–30",IF(tbl_FACTS[[#This Row],[Quantity]]&lt;=40,"31–40",IF(tbl_FACTS[[#This Row],[Quantity]]&lt;=50,"41–50","51+")))))</f>
        <v>31–40</v>
      </c>
    </row>
    <row r="397" spans="1:22">
      <c r="A397">
        <v>396</v>
      </c>
      <c r="B397">
        <v>10396</v>
      </c>
      <c r="C397">
        <v>71</v>
      </c>
      <c r="D397" s="19">
        <v>60</v>
      </c>
      <c r="E397" s="20">
        <f>_xlfn.XLOOKUP(tbl_FACTS[[#This Row],[OrderID]],Πίνακας64[OrderID],Πίνακας64[OrderDate])</f>
        <v>35426</v>
      </c>
      <c r="F397">
        <f>_xlfn.XLOOKUP(tbl_FACTS[[#This Row],[OrderID]],Πίνακας64[OrderID],Πίνακας64[CustomerID])</f>
        <v>25</v>
      </c>
      <c r="G397" t="str">
        <f>_xlfn.XLOOKUP(tbl_FACTS[[#This Row],[CustomerID]],Πίνακας1[CustomerID],Πίνακας1[CustomerName])</f>
        <v>Frankenversand</v>
      </c>
      <c r="H397" t="str">
        <f>_xlfn.XLOOKUP(tbl_FACTS[[#This Row],[CustomerID]],Πίνακας1[CustomerID],Πίνακας1[Country])</f>
        <v>Germany</v>
      </c>
      <c r="I397">
        <f>_xlfn.XLOOKUP(tbl_FACTS[[#This Row],[OrderID]],Πίνακας64[OrderID],Πίνακας64[EmployeeID])</f>
        <v>1</v>
      </c>
      <c r="J397">
        <f>_xlfn.XLOOKUP(tbl_FACTS[[#This Row],[OrderID]],Πίνακας64[OrderID],Πίνακας64[ShipperID])</f>
        <v>3</v>
      </c>
      <c r="K397" t="str">
        <f>_xlfn.XLOOKUP(tbl_FACTS[[#This Row],[ShipperID]],Πίνακας8[ShipperID],Πίνακας8[ShipperName])</f>
        <v>Federal Shipping</v>
      </c>
      <c r="L397" t="str">
        <f>_xlfn.XLOOKUP(tbl_FACTS[[#This Row],[ProductID]],Πίνακας7[ProductID],Πίνακας7[ProductName])</f>
        <v>Fl├©temysost</v>
      </c>
      <c r="M397">
        <f>_xlfn.XLOOKUP(tbl_FACTS[[#This Row],[ProductID]],Πίνακας7[ProductID],Πίνακας7[CategoryID])</f>
        <v>4</v>
      </c>
      <c r="N397" t="str">
        <f>_xlfn.XLOOKUP(tbl_FACTS[[#This Row],[CategoryID]],Πίνακας4[CategoryID],Πίνακας4[CategoryName])</f>
        <v>Dairy Products</v>
      </c>
      <c r="O397">
        <f>_xlfn.XLOOKUP(tbl_FACTS[[#This Row],[ProductID]],Πίνακας7[ProductID],Πίνακας7[SupplierID])</f>
        <v>15</v>
      </c>
      <c r="P397" t="str">
        <f>_xlfn.XLOOKUP(tbl_FACTS[[#This Row],[SupplierID]],Πίνακας9[SupplierID],Πίνακας9[SupplierName])</f>
        <v>Norske Meierier</v>
      </c>
      <c r="Q397" s="21">
        <f>_xlfn.XLOOKUP(tbl_FACTS[[#This Row],[ProductID]],Πίνακας7[ProductID],Πίνακας7[Price])</f>
        <v>22</v>
      </c>
      <c r="R397" s="21">
        <f>tbl_FACTS[[#This Row],[Quantity]]*tbl_FACTS[[#This Row],[Price]]</f>
        <v>1320</v>
      </c>
      <c r="S397" s="19">
        <f>IF(COUNTIFS(tbl_FACTS[OrderID],tbl_FACTS[[#This Row],[OrderID]],tbl_FACTS[OrderDetailID],"&lt;"&amp;tbl_FACTS[[#This Row],[OrderDetailID]])=0,1,0)</f>
        <v>0</v>
      </c>
      <c r="T397" s="19">
        <f>YEAR(tbl_FACTS[[#This Row],[OrderDate]])</f>
        <v>1996</v>
      </c>
      <c r="U397" s="22">
        <f>DATE(YEAR(tbl_FACTS[[#This Row],[OrderDate]]),MONTH(tbl_FACTS[[#This Row],[OrderDate]]),1)</f>
        <v>35400</v>
      </c>
      <c r="V397" s="22" t="str">
        <f>IF(tbl_FACTS[[#This Row],[Quantity]]&lt;=10,"0–10",IF(tbl_FACTS[[#This Row],[Quantity]]&lt;=20,"11–20",IF(tbl_FACTS[[#This Row],[Quantity]]&lt;=30,"21–30",IF(tbl_FACTS[[#This Row],[Quantity]]&lt;=40,"31–40",IF(tbl_FACTS[[#This Row],[Quantity]]&lt;=50,"41–50","51+")))))</f>
        <v>51+</v>
      </c>
    </row>
    <row r="398" spans="1:22">
      <c r="A398">
        <v>397</v>
      </c>
      <c r="B398">
        <v>10396</v>
      </c>
      <c r="C398">
        <v>72</v>
      </c>
      <c r="D398" s="19">
        <v>21</v>
      </c>
      <c r="E398" s="20">
        <f>_xlfn.XLOOKUP(tbl_FACTS[[#This Row],[OrderID]],Πίνακας64[OrderID],Πίνακας64[OrderDate])</f>
        <v>35426</v>
      </c>
      <c r="F398">
        <f>_xlfn.XLOOKUP(tbl_FACTS[[#This Row],[OrderID]],Πίνακας64[OrderID],Πίνακας64[CustomerID])</f>
        <v>25</v>
      </c>
      <c r="G398" t="str">
        <f>_xlfn.XLOOKUP(tbl_FACTS[[#This Row],[CustomerID]],Πίνακας1[CustomerID],Πίνακας1[CustomerName])</f>
        <v>Frankenversand</v>
      </c>
      <c r="H398" t="str">
        <f>_xlfn.XLOOKUP(tbl_FACTS[[#This Row],[CustomerID]],Πίνακας1[CustomerID],Πίνακας1[Country])</f>
        <v>Germany</v>
      </c>
      <c r="I398">
        <f>_xlfn.XLOOKUP(tbl_FACTS[[#This Row],[OrderID]],Πίνακας64[OrderID],Πίνακας64[EmployeeID])</f>
        <v>1</v>
      </c>
      <c r="J398">
        <f>_xlfn.XLOOKUP(tbl_FACTS[[#This Row],[OrderID]],Πίνακας64[OrderID],Πίνακας64[ShipperID])</f>
        <v>3</v>
      </c>
      <c r="K398" t="str">
        <f>_xlfn.XLOOKUP(tbl_FACTS[[#This Row],[ShipperID]],Πίνακας8[ShipperID],Πίνακας8[ShipperName])</f>
        <v>Federal Shipping</v>
      </c>
      <c r="L398" t="str">
        <f>_xlfn.XLOOKUP(tbl_FACTS[[#This Row],[ProductID]],Πίνακας7[ProductID],Πίνακας7[ProductName])</f>
        <v>Mozzarella di Giovanni</v>
      </c>
      <c r="M398">
        <f>_xlfn.XLOOKUP(tbl_FACTS[[#This Row],[ProductID]],Πίνακας7[ProductID],Πίνακας7[CategoryID])</f>
        <v>4</v>
      </c>
      <c r="N398" t="str">
        <f>_xlfn.XLOOKUP(tbl_FACTS[[#This Row],[CategoryID]],Πίνακας4[CategoryID],Πίνακας4[CategoryName])</f>
        <v>Dairy Products</v>
      </c>
      <c r="O398">
        <f>_xlfn.XLOOKUP(tbl_FACTS[[#This Row],[ProductID]],Πίνακας7[ProductID],Πίνακας7[SupplierID])</f>
        <v>14</v>
      </c>
      <c r="P398" t="str">
        <f>_xlfn.XLOOKUP(tbl_FACTS[[#This Row],[SupplierID]],Πίνακας9[SupplierID],Πίνακας9[SupplierName])</f>
        <v>Formaggi Fortini s.r.l.</v>
      </c>
      <c r="Q398" s="21">
        <f>_xlfn.XLOOKUP(tbl_FACTS[[#This Row],[ProductID]],Πίνακας7[ProductID],Πίνακας7[Price])</f>
        <v>35</v>
      </c>
      <c r="R398" s="21">
        <f>tbl_FACTS[[#This Row],[Quantity]]*tbl_FACTS[[#This Row],[Price]]</f>
        <v>735</v>
      </c>
      <c r="S398" s="19">
        <f>IF(COUNTIFS(tbl_FACTS[OrderID],tbl_FACTS[[#This Row],[OrderID]],tbl_FACTS[OrderDetailID],"&lt;"&amp;tbl_FACTS[[#This Row],[OrderDetailID]])=0,1,0)</f>
        <v>0</v>
      </c>
      <c r="T398" s="19">
        <f>YEAR(tbl_FACTS[[#This Row],[OrderDate]])</f>
        <v>1996</v>
      </c>
      <c r="U398" s="22">
        <f>DATE(YEAR(tbl_FACTS[[#This Row],[OrderDate]]),MONTH(tbl_FACTS[[#This Row],[OrderDate]]),1)</f>
        <v>35400</v>
      </c>
      <c r="V398" s="22" t="str">
        <f>IF(tbl_FACTS[[#This Row],[Quantity]]&lt;=10,"0–10",IF(tbl_FACTS[[#This Row],[Quantity]]&lt;=20,"11–20",IF(tbl_FACTS[[#This Row],[Quantity]]&lt;=30,"21–30",IF(tbl_FACTS[[#This Row],[Quantity]]&lt;=40,"31–40",IF(tbl_FACTS[[#This Row],[Quantity]]&lt;=50,"41–50","51+")))))</f>
        <v>21–30</v>
      </c>
    </row>
    <row r="399" spans="1:22">
      <c r="A399">
        <v>398</v>
      </c>
      <c r="B399">
        <v>10397</v>
      </c>
      <c r="C399">
        <v>21</v>
      </c>
      <c r="D399" s="19">
        <v>10</v>
      </c>
      <c r="E399" s="20">
        <f>_xlfn.XLOOKUP(tbl_FACTS[[#This Row],[OrderID]],Πίνακας64[OrderID],Πίνακας64[OrderDate])</f>
        <v>35426</v>
      </c>
      <c r="F399">
        <f>_xlfn.XLOOKUP(tbl_FACTS[[#This Row],[OrderID]],Πίνακας64[OrderID],Πίνακας64[CustomerID])</f>
        <v>60</v>
      </c>
      <c r="G399" t="str">
        <f>_xlfn.XLOOKUP(tbl_FACTS[[#This Row],[CustomerID]],Πίνακας1[CustomerID],Πίνακας1[CustomerName])</f>
        <v>Princesa Isabel Vinhoss</v>
      </c>
      <c r="H399" t="str">
        <f>_xlfn.XLOOKUP(tbl_FACTS[[#This Row],[CustomerID]],Πίνακας1[CustomerID],Πίνακας1[Country])</f>
        <v>Portugal</v>
      </c>
      <c r="I399">
        <f>_xlfn.XLOOKUP(tbl_FACTS[[#This Row],[OrderID]],Πίνακας64[OrderID],Πίνακας64[EmployeeID])</f>
        <v>5</v>
      </c>
      <c r="J399">
        <f>_xlfn.XLOOKUP(tbl_FACTS[[#This Row],[OrderID]],Πίνακας64[OrderID],Πίνακας64[ShipperID])</f>
        <v>1</v>
      </c>
      <c r="K399" t="str">
        <f>_xlfn.XLOOKUP(tbl_FACTS[[#This Row],[ShipperID]],Πίνακας8[ShipperID],Πίνακας8[ShipperName])</f>
        <v>Speedy Express</v>
      </c>
      <c r="L399" t="str">
        <f>_xlfn.XLOOKUP(tbl_FACTS[[#This Row],[ProductID]],Πίνακας7[ProductID],Πίνακας7[ProductName])</f>
        <v>Sir Rodney's Scones</v>
      </c>
      <c r="M399">
        <f>_xlfn.XLOOKUP(tbl_FACTS[[#This Row],[ProductID]],Πίνακας7[ProductID],Πίνακας7[CategoryID])</f>
        <v>3</v>
      </c>
      <c r="N399" t="str">
        <f>_xlfn.XLOOKUP(tbl_FACTS[[#This Row],[CategoryID]],Πίνακας4[CategoryID],Πίνακας4[CategoryName])</f>
        <v>Confections</v>
      </c>
      <c r="O399">
        <f>_xlfn.XLOOKUP(tbl_FACTS[[#This Row],[ProductID]],Πίνακας7[ProductID],Πίνακας7[SupplierID])</f>
        <v>8</v>
      </c>
      <c r="P399" t="str">
        <f>_xlfn.XLOOKUP(tbl_FACTS[[#This Row],[SupplierID]],Πίνακας9[SupplierID],Πίνακας9[SupplierName])</f>
        <v>Specialty Biscuits, Ltd.</v>
      </c>
      <c r="Q399" s="21">
        <f>_xlfn.XLOOKUP(tbl_FACTS[[#This Row],[ProductID]],Πίνακας7[ProductID],Πίνακας7[Price])</f>
        <v>10</v>
      </c>
      <c r="R399" s="21">
        <f>tbl_FACTS[[#This Row],[Quantity]]*tbl_FACTS[[#This Row],[Price]]</f>
        <v>100</v>
      </c>
      <c r="S399" s="19">
        <f>IF(COUNTIFS(tbl_FACTS[OrderID],tbl_FACTS[[#This Row],[OrderID]],tbl_FACTS[OrderDetailID],"&lt;"&amp;tbl_FACTS[[#This Row],[OrderDetailID]])=0,1,0)</f>
        <v>1</v>
      </c>
      <c r="T399" s="19">
        <f>YEAR(tbl_FACTS[[#This Row],[OrderDate]])</f>
        <v>1996</v>
      </c>
      <c r="U399" s="22">
        <f>DATE(YEAR(tbl_FACTS[[#This Row],[OrderDate]]),MONTH(tbl_FACTS[[#This Row],[OrderDate]]),1)</f>
        <v>35400</v>
      </c>
      <c r="V399" s="22" t="str">
        <f>IF(tbl_FACTS[[#This Row],[Quantity]]&lt;=10,"0–10",IF(tbl_FACTS[[#This Row],[Quantity]]&lt;=20,"11–20",IF(tbl_FACTS[[#This Row],[Quantity]]&lt;=30,"21–30",IF(tbl_FACTS[[#This Row],[Quantity]]&lt;=40,"31–40",IF(tbl_FACTS[[#This Row],[Quantity]]&lt;=50,"41–50","51+")))))</f>
        <v>0–10</v>
      </c>
    </row>
    <row r="400" spans="1:22">
      <c r="A400">
        <v>399</v>
      </c>
      <c r="B400">
        <v>10397</v>
      </c>
      <c r="C400">
        <v>51</v>
      </c>
      <c r="D400" s="19">
        <v>18</v>
      </c>
      <c r="E400" s="20">
        <f>_xlfn.XLOOKUP(tbl_FACTS[[#This Row],[OrderID]],Πίνακας64[OrderID],Πίνακας64[OrderDate])</f>
        <v>35426</v>
      </c>
      <c r="F400">
        <f>_xlfn.XLOOKUP(tbl_FACTS[[#This Row],[OrderID]],Πίνακας64[OrderID],Πίνακας64[CustomerID])</f>
        <v>60</v>
      </c>
      <c r="G400" t="str">
        <f>_xlfn.XLOOKUP(tbl_FACTS[[#This Row],[CustomerID]],Πίνακας1[CustomerID],Πίνακας1[CustomerName])</f>
        <v>Princesa Isabel Vinhoss</v>
      </c>
      <c r="H400" t="str">
        <f>_xlfn.XLOOKUP(tbl_FACTS[[#This Row],[CustomerID]],Πίνακας1[CustomerID],Πίνακας1[Country])</f>
        <v>Portugal</v>
      </c>
      <c r="I400">
        <f>_xlfn.XLOOKUP(tbl_FACTS[[#This Row],[OrderID]],Πίνακας64[OrderID],Πίνακας64[EmployeeID])</f>
        <v>5</v>
      </c>
      <c r="J400">
        <f>_xlfn.XLOOKUP(tbl_FACTS[[#This Row],[OrderID]],Πίνακας64[OrderID],Πίνακας64[ShipperID])</f>
        <v>1</v>
      </c>
      <c r="K400" t="str">
        <f>_xlfn.XLOOKUP(tbl_FACTS[[#This Row],[ShipperID]],Πίνακας8[ShipperID],Πίνακας8[ShipperName])</f>
        <v>Speedy Express</v>
      </c>
      <c r="L400" t="str">
        <f>_xlfn.XLOOKUP(tbl_FACTS[[#This Row],[ProductID]],Πίνακας7[ProductID],Πίνακας7[ProductName])</f>
        <v>Manjimup Dried Apples</v>
      </c>
      <c r="M400">
        <f>_xlfn.XLOOKUP(tbl_FACTS[[#This Row],[ProductID]],Πίνακας7[ProductID],Πίνακας7[CategoryID])</f>
        <v>7</v>
      </c>
      <c r="N400" t="str">
        <f>_xlfn.XLOOKUP(tbl_FACTS[[#This Row],[CategoryID]],Πίνακας4[CategoryID],Πίνακας4[CategoryName])</f>
        <v>Produce</v>
      </c>
      <c r="O400">
        <f>_xlfn.XLOOKUP(tbl_FACTS[[#This Row],[ProductID]],Πίνακας7[ProductID],Πίνακας7[SupplierID])</f>
        <v>24</v>
      </c>
      <c r="P400" t="str">
        <f>_xlfn.XLOOKUP(tbl_FACTS[[#This Row],[SupplierID]],Πίνακας9[SupplierID],Πίνακας9[SupplierName])</f>
        <v>G'day, Mate</v>
      </c>
      <c r="Q400" s="21">
        <f>_xlfn.XLOOKUP(tbl_FACTS[[#This Row],[ProductID]],Πίνακας7[ProductID],Πίνακας7[Price])</f>
        <v>53</v>
      </c>
      <c r="R400" s="21">
        <f>tbl_FACTS[[#This Row],[Quantity]]*tbl_FACTS[[#This Row],[Price]]</f>
        <v>954</v>
      </c>
      <c r="S400" s="19">
        <f>IF(COUNTIFS(tbl_FACTS[OrderID],tbl_FACTS[[#This Row],[OrderID]],tbl_FACTS[OrderDetailID],"&lt;"&amp;tbl_FACTS[[#This Row],[OrderDetailID]])=0,1,0)</f>
        <v>0</v>
      </c>
      <c r="T400" s="19">
        <f>YEAR(tbl_FACTS[[#This Row],[OrderDate]])</f>
        <v>1996</v>
      </c>
      <c r="U400" s="22">
        <f>DATE(YEAR(tbl_FACTS[[#This Row],[OrderDate]]),MONTH(tbl_FACTS[[#This Row],[OrderDate]]),1)</f>
        <v>35400</v>
      </c>
      <c r="V400" s="22" t="str">
        <f>IF(tbl_FACTS[[#This Row],[Quantity]]&lt;=10,"0–10",IF(tbl_FACTS[[#This Row],[Quantity]]&lt;=20,"11–20",IF(tbl_FACTS[[#This Row],[Quantity]]&lt;=30,"21–30",IF(tbl_FACTS[[#This Row],[Quantity]]&lt;=40,"31–40",IF(tbl_FACTS[[#This Row],[Quantity]]&lt;=50,"41–50","51+")))))</f>
        <v>11–20</v>
      </c>
    </row>
    <row r="401" spans="1:22">
      <c r="A401">
        <v>400</v>
      </c>
      <c r="B401">
        <v>10398</v>
      </c>
      <c r="C401">
        <v>35</v>
      </c>
      <c r="D401" s="19">
        <v>30</v>
      </c>
      <c r="E401" s="20">
        <f>_xlfn.XLOOKUP(tbl_FACTS[[#This Row],[OrderID]],Πίνακας64[OrderID],Πίνακας64[OrderDate])</f>
        <v>35429</v>
      </c>
      <c r="F401">
        <f>_xlfn.XLOOKUP(tbl_FACTS[[#This Row],[OrderID]],Πίνακας64[OrderID],Πίνακας64[CustomerID])</f>
        <v>71</v>
      </c>
      <c r="G401" t="str">
        <f>_xlfn.XLOOKUP(tbl_FACTS[[#This Row],[CustomerID]],Πίνακας1[CustomerID],Πίνακας1[CustomerName])</f>
        <v>Save-a-lot Markets</v>
      </c>
      <c r="H401" t="str">
        <f>_xlfn.XLOOKUP(tbl_FACTS[[#This Row],[CustomerID]],Πίνακας1[CustomerID],Πίνακας1[Country])</f>
        <v>USA</v>
      </c>
      <c r="I401">
        <f>_xlfn.XLOOKUP(tbl_FACTS[[#This Row],[OrderID]],Πίνακας64[OrderID],Πίνακας64[EmployeeID])</f>
        <v>2</v>
      </c>
      <c r="J401">
        <f>_xlfn.XLOOKUP(tbl_FACTS[[#This Row],[OrderID]],Πίνακας64[OrderID],Πίνακας64[ShipperID])</f>
        <v>3</v>
      </c>
      <c r="K401" t="str">
        <f>_xlfn.XLOOKUP(tbl_FACTS[[#This Row],[ShipperID]],Πίνακας8[ShipperID],Πίνακας8[ShipperName])</f>
        <v>Federal Shipping</v>
      </c>
      <c r="L401" t="str">
        <f>_xlfn.XLOOKUP(tbl_FACTS[[#This Row],[ProductID]],Πίνακας7[ProductID],Πίνακας7[ProductName])</f>
        <v>Steeleye Stout</v>
      </c>
      <c r="M401">
        <f>_xlfn.XLOOKUP(tbl_FACTS[[#This Row],[ProductID]],Πίνακας7[ProductID],Πίνακας7[CategoryID])</f>
        <v>1</v>
      </c>
      <c r="N401" t="str">
        <f>_xlfn.XLOOKUP(tbl_FACTS[[#This Row],[CategoryID]],Πίνακας4[CategoryID],Πίνακας4[CategoryName])</f>
        <v>Beverages</v>
      </c>
      <c r="O401">
        <f>_xlfn.XLOOKUP(tbl_FACTS[[#This Row],[ProductID]],Πίνακας7[ProductID],Πίνακας7[SupplierID])</f>
        <v>16</v>
      </c>
      <c r="P401" t="str">
        <f>_xlfn.XLOOKUP(tbl_FACTS[[#This Row],[SupplierID]],Πίνακας9[SupplierID],Πίνακας9[SupplierName])</f>
        <v>Bigfoot Breweries</v>
      </c>
      <c r="Q401" s="21">
        <f>_xlfn.XLOOKUP(tbl_FACTS[[#This Row],[ProductID]],Πίνακας7[ProductID],Πίνακας7[Price])</f>
        <v>18</v>
      </c>
      <c r="R401" s="21">
        <f>tbl_FACTS[[#This Row],[Quantity]]*tbl_FACTS[[#This Row],[Price]]</f>
        <v>540</v>
      </c>
      <c r="S401" s="19">
        <f>IF(COUNTIFS(tbl_FACTS[OrderID],tbl_FACTS[[#This Row],[OrderID]],tbl_FACTS[OrderDetailID],"&lt;"&amp;tbl_FACTS[[#This Row],[OrderDetailID]])=0,1,0)</f>
        <v>1</v>
      </c>
      <c r="T401" s="19">
        <f>YEAR(tbl_FACTS[[#This Row],[OrderDate]])</f>
        <v>1996</v>
      </c>
      <c r="U401" s="22">
        <f>DATE(YEAR(tbl_FACTS[[#This Row],[OrderDate]]),MONTH(tbl_FACTS[[#This Row],[OrderDate]]),1)</f>
        <v>35400</v>
      </c>
      <c r="V401" s="22" t="str">
        <f>IF(tbl_FACTS[[#This Row],[Quantity]]&lt;=10,"0–10",IF(tbl_FACTS[[#This Row],[Quantity]]&lt;=20,"11–20",IF(tbl_FACTS[[#This Row],[Quantity]]&lt;=30,"21–30",IF(tbl_FACTS[[#This Row],[Quantity]]&lt;=40,"31–40",IF(tbl_FACTS[[#This Row],[Quantity]]&lt;=50,"41–50","51+")))))</f>
        <v>21–30</v>
      </c>
    </row>
    <row r="402" spans="1:22">
      <c r="A402">
        <v>401</v>
      </c>
      <c r="B402">
        <v>10398</v>
      </c>
      <c r="C402">
        <v>55</v>
      </c>
      <c r="D402" s="19">
        <v>120</v>
      </c>
      <c r="E402" s="20">
        <f>_xlfn.XLOOKUP(tbl_FACTS[[#This Row],[OrderID]],Πίνακας64[OrderID],Πίνακας64[OrderDate])</f>
        <v>35429</v>
      </c>
      <c r="F402">
        <f>_xlfn.XLOOKUP(tbl_FACTS[[#This Row],[OrderID]],Πίνακας64[OrderID],Πίνακας64[CustomerID])</f>
        <v>71</v>
      </c>
      <c r="G402" t="str">
        <f>_xlfn.XLOOKUP(tbl_FACTS[[#This Row],[CustomerID]],Πίνακας1[CustomerID],Πίνακας1[CustomerName])</f>
        <v>Save-a-lot Markets</v>
      </c>
      <c r="H402" t="str">
        <f>_xlfn.XLOOKUP(tbl_FACTS[[#This Row],[CustomerID]],Πίνακας1[CustomerID],Πίνακας1[Country])</f>
        <v>USA</v>
      </c>
      <c r="I402">
        <f>_xlfn.XLOOKUP(tbl_FACTS[[#This Row],[OrderID]],Πίνακας64[OrderID],Πίνακας64[EmployeeID])</f>
        <v>2</v>
      </c>
      <c r="J402">
        <f>_xlfn.XLOOKUP(tbl_FACTS[[#This Row],[OrderID]],Πίνακας64[OrderID],Πίνακας64[ShipperID])</f>
        <v>3</v>
      </c>
      <c r="K402" t="str">
        <f>_xlfn.XLOOKUP(tbl_FACTS[[#This Row],[ShipperID]],Πίνακας8[ShipperID],Πίνακας8[ShipperName])</f>
        <v>Federal Shipping</v>
      </c>
      <c r="L402" t="str">
        <f>_xlfn.XLOOKUP(tbl_FACTS[[#This Row],[ProductID]],Πίνακας7[ProductID],Πίνακας7[ProductName])</f>
        <v>Pate chinois</v>
      </c>
      <c r="M402">
        <f>_xlfn.XLOOKUP(tbl_FACTS[[#This Row],[ProductID]],Πίνακας7[ProductID],Πίνακας7[CategoryID])</f>
        <v>6</v>
      </c>
      <c r="N402" t="str">
        <f>_xlfn.XLOOKUP(tbl_FACTS[[#This Row],[CategoryID]],Πίνακας4[CategoryID],Πίνακας4[CategoryName])</f>
        <v>Meat/Poultry</v>
      </c>
      <c r="O402">
        <f>_xlfn.XLOOKUP(tbl_FACTS[[#This Row],[ProductID]],Πίνακας7[ProductID],Πίνακας7[SupplierID])</f>
        <v>25</v>
      </c>
      <c r="P402" t="str">
        <f>_xlfn.XLOOKUP(tbl_FACTS[[#This Row],[SupplierID]],Πίνακας9[SupplierID],Πίνακας9[SupplierName])</f>
        <v>Ma Maison</v>
      </c>
      <c r="Q402" s="21">
        <f>_xlfn.XLOOKUP(tbl_FACTS[[#This Row],[ProductID]],Πίνακας7[ProductID],Πίνακας7[Price])</f>
        <v>24</v>
      </c>
      <c r="R402" s="21">
        <f>tbl_FACTS[[#This Row],[Quantity]]*tbl_FACTS[[#This Row],[Price]]</f>
        <v>2880</v>
      </c>
      <c r="S402" s="19">
        <f>IF(COUNTIFS(tbl_FACTS[OrderID],tbl_FACTS[[#This Row],[OrderID]],tbl_FACTS[OrderDetailID],"&lt;"&amp;tbl_FACTS[[#This Row],[OrderDetailID]])=0,1,0)</f>
        <v>0</v>
      </c>
      <c r="T402" s="19">
        <f>YEAR(tbl_FACTS[[#This Row],[OrderDate]])</f>
        <v>1996</v>
      </c>
      <c r="U402" s="22">
        <f>DATE(YEAR(tbl_FACTS[[#This Row],[OrderDate]]),MONTH(tbl_FACTS[[#This Row],[OrderDate]]),1)</f>
        <v>35400</v>
      </c>
      <c r="V402" s="22" t="str">
        <f>IF(tbl_FACTS[[#This Row],[Quantity]]&lt;=10,"0–10",IF(tbl_FACTS[[#This Row],[Quantity]]&lt;=20,"11–20",IF(tbl_FACTS[[#This Row],[Quantity]]&lt;=30,"21–30",IF(tbl_FACTS[[#This Row],[Quantity]]&lt;=40,"31–40",IF(tbl_FACTS[[#This Row],[Quantity]]&lt;=50,"41–50","51+")))))</f>
        <v>51+</v>
      </c>
    </row>
    <row r="403" spans="1:22">
      <c r="A403">
        <v>402</v>
      </c>
      <c r="B403">
        <v>10399</v>
      </c>
      <c r="C403">
        <v>68</v>
      </c>
      <c r="D403" s="19">
        <v>60</v>
      </c>
      <c r="E403" s="20">
        <f>_xlfn.XLOOKUP(tbl_FACTS[[#This Row],[OrderID]],Πίνακας64[OrderID],Πίνακας64[OrderDate])</f>
        <v>35430</v>
      </c>
      <c r="F403">
        <f>_xlfn.XLOOKUP(tbl_FACTS[[#This Row],[OrderID]],Πίνακας64[OrderID],Πίνακας64[CustomerID])</f>
        <v>83</v>
      </c>
      <c r="G403" t="str">
        <f>_xlfn.XLOOKUP(tbl_FACTS[[#This Row],[CustomerID]],Πίνακας1[CustomerID],Πίνακας1[CustomerName])</f>
        <v>Vaffeljernet</v>
      </c>
      <c r="H403" t="str">
        <f>_xlfn.XLOOKUP(tbl_FACTS[[#This Row],[CustomerID]],Πίνακας1[CustomerID],Πίνακας1[Country])</f>
        <v>Denmark</v>
      </c>
      <c r="I403">
        <f>_xlfn.XLOOKUP(tbl_FACTS[[#This Row],[OrderID]],Πίνακας64[OrderID],Πίνακας64[EmployeeID])</f>
        <v>8</v>
      </c>
      <c r="J403">
        <f>_xlfn.XLOOKUP(tbl_FACTS[[#This Row],[OrderID]],Πίνακας64[OrderID],Πίνακας64[ShipperID])</f>
        <v>3</v>
      </c>
      <c r="K403" t="str">
        <f>_xlfn.XLOOKUP(tbl_FACTS[[#This Row],[ShipperID]],Πίνακας8[ShipperID],Πίνακας8[ShipperName])</f>
        <v>Federal Shipping</v>
      </c>
      <c r="L403" t="str">
        <f>_xlfn.XLOOKUP(tbl_FACTS[[#This Row],[ProductID]],Πίνακας7[ProductID],Πίνακας7[ProductName])</f>
        <v>Scottish Longbreads</v>
      </c>
      <c r="M403">
        <f>_xlfn.XLOOKUP(tbl_FACTS[[#This Row],[ProductID]],Πίνακας7[ProductID],Πίνακας7[CategoryID])</f>
        <v>3</v>
      </c>
      <c r="N403" t="str">
        <f>_xlfn.XLOOKUP(tbl_FACTS[[#This Row],[CategoryID]],Πίνακας4[CategoryID],Πίνακας4[CategoryName])</f>
        <v>Confections</v>
      </c>
      <c r="O403">
        <f>_xlfn.XLOOKUP(tbl_FACTS[[#This Row],[ProductID]],Πίνακας7[ProductID],Πίνακας7[SupplierID])</f>
        <v>8</v>
      </c>
      <c r="P403" t="str">
        <f>_xlfn.XLOOKUP(tbl_FACTS[[#This Row],[SupplierID]],Πίνακας9[SupplierID],Πίνακας9[SupplierName])</f>
        <v>Specialty Biscuits, Ltd.</v>
      </c>
      <c r="Q403" s="21">
        <f>_xlfn.XLOOKUP(tbl_FACTS[[#This Row],[ProductID]],Πίνακας7[ProductID],Πίνακας7[Price])</f>
        <v>13</v>
      </c>
      <c r="R403" s="21">
        <f>tbl_FACTS[[#This Row],[Quantity]]*tbl_FACTS[[#This Row],[Price]]</f>
        <v>780</v>
      </c>
      <c r="S403" s="19">
        <f>IF(COUNTIFS(tbl_FACTS[OrderID],tbl_FACTS[[#This Row],[OrderID]],tbl_FACTS[OrderDetailID],"&lt;"&amp;tbl_FACTS[[#This Row],[OrderDetailID]])=0,1,0)</f>
        <v>1</v>
      </c>
      <c r="T403" s="19">
        <f>YEAR(tbl_FACTS[[#This Row],[OrderDate]])</f>
        <v>1996</v>
      </c>
      <c r="U403" s="22">
        <f>DATE(YEAR(tbl_FACTS[[#This Row],[OrderDate]]),MONTH(tbl_FACTS[[#This Row],[OrderDate]]),1)</f>
        <v>35400</v>
      </c>
      <c r="V403" s="22" t="str">
        <f>IF(tbl_FACTS[[#This Row],[Quantity]]&lt;=10,"0–10",IF(tbl_FACTS[[#This Row],[Quantity]]&lt;=20,"11–20",IF(tbl_FACTS[[#This Row],[Quantity]]&lt;=30,"21–30",IF(tbl_FACTS[[#This Row],[Quantity]]&lt;=40,"31–40",IF(tbl_FACTS[[#This Row],[Quantity]]&lt;=50,"41–50","51+")))))</f>
        <v>51+</v>
      </c>
    </row>
    <row r="404" spans="1:22">
      <c r="A404">
        <v>403</v>
      </c>
      <c r="B404">
        <v>10399</v>
      </c>
      <c r="C404">
        <v>71</v>
      </c>
      <c r="D404" s="19">
        <v>30</v>
      </c>
      <c r="E404" s="20">
        <f>_xlfn.XLOOKUP(tbl_FACTS[[#This Row],[OrderID]],Πίνακας64[OrderID],Πίνακας64[OrderDate])</f>
        <v>35430</v>
      </c>
      <c r="F404">
        <f>_xlfn.XLOOKUP(tbl_FACTS[[#This Row],[OrderID]],Πίνακας64[OrderID],Πίνακας64[CustomerID])</f>
        <v>83</v>
      </c>
      <c r="G404" t="str">
        <f>_xlfn.XLOOKUP(tbl_FACTS[[#This Row],[CustomerID]],Πίνακας1[CustomerID],Πίνακας1[CustomerName])</f>
        <v>Vaffeljernet</v>
      </c>
      <c r="H404" t="str">
        <f>_xlfn.XLOOKUP(tbl_FACTS[[#This Row],[CustomerID]],Πίνακας1[CustomerID],Πίνακας1[Country])</f>
        <v>Denmark</v>
      </c>
      <c r="I404">
        <f>_xlfn.XLOOKUP(tbl_FACTS[[#This Row],[OrderID]],Πίνακας64[OrderID],Πίνακας64[EmployeeID])</f>
        <v>8</v>
      </c>
      <c r="J404">
        <f>_xlfn.XLOOKUP(tbl_FACTS[[#This Row],[OrderID]],Πίνακας64[OrderID],Πίνακας64[ShipperID])</f>
        <v>3</v>
      </c>
      <c r="K404" t="str">
        <f>_xlfn.XLOOKUP(tbl_FACTS[[#This Row],[ShipperID]],Πίνακας8[ShipperID],Πίνακας8[ShipperName])</f>
        <v>Federal Shipping</v>
      </c>
      <c r="L404" t="str">
        <f>_xlfn.XLOOKUP(tbl_FACTS[[#This Row],[ProductID]],Πίνακας7[ProductID],Πίνακας7[ProductName])</f>
        <v>Fl├©temysost</v>
      </c>
      <c r="M404">
        <f>_xlfn.XLOOKUP(tbl_FACTS[[#This Row],[ProductID]],Πίνακας7[ProductID],Πίνακας7[CategoryID])</f>
        <v>4</v>
      </c>
      <c r="N404" t="str">
        <f>_xlfn.XLOOKUP(tbl_FACTS[[#This Row],[CategoryID]],Πίνακας4[CategoryID],Πίνακας4[CategoryName])</f>
        <v>Dairy Products</v>
      </c>
      <c r="O404">
        <f>_xlfn.XLOOKUP(tbl_FACTS[[#This Row],[ProductID]],Πίνακας7[ProductID],Πίνακας7[SupplierID])</f>
        <v>15</v>
      </c>
      <c r="P404" t="str">
        <f>_xlfn.XLOOKUP(tbl_FACTS[[#This Row],[SupplierID]],Πίνακας9[SupplierID],Πίνακας9[SupplierName])</f>
        <v>Norske Meierier</v>
      </c>
      <c r="Q404" s="21">
        <f>_xlfn.XLOOKUP(tbl_FACTS[[#This Row],[ProductID]],Πίνακας7[ProductID],Πίνακας7[Price])</f>
        <v>22</v>
      </c>
      <c r="R404" s="21">
        <f>tbl_FACTS[[#This Row],[Quantity]]*tbl_FACTS[[#This Row],[Price]]</f>
        <v>660</v>
      </c>
      <c r="S404" s="19">
        <f>IF(COUNTIFS(tbl_FACTS[OrderID],tbl_FACTS[[#This Row],[OrderID]],tbl_FACTS[OrderDetailID],"&lt;"&amp;tbl_FACTS[[#This Row],[OrderDetailID]])=0,1,0)</f>
        <v>0</v>
      </c>
      <c r="T404" s="19">
        <f>YEAR(tbl_FACTS[[#This Row],[OrderDate]])</f>
        <v>1996</v>
      </c>
      <c r="U404" s="22">
        <f>DATE(YEAR(tbl_FACTS[[#This Row],[OrderDate]]),MONTH(tbl_FACTS[[#This Row],[OrderDate]]),1)</f>
        <v>35400</v>
      </c>
      <c r="V404" s="22" t="str">
        <f>IF(tbl_FACTS[[#This Row],[Quantity]]&lt;=10,"0–10",IF(tbl_FACTS[[#This Row],[Quantity]]&lt;=20,"11–20",IF(tbl_FACTS[[#This Row],[Quantity]]&lt;=30,"21–30",IF(tbl_FACTS[[#This Row],[Quantity]]&lt;=40,"31–40",IF(tbl_FACTS[[#This Row],[Quantity]]&lt;=50,"41–50","51+")))))</f>
        <v>21–30</v>
      </c>
    </row>
    <row r="405" spans="1:22">
      <c r="A405">
        <v>404</v>
      </c>
      <c r="B405">
        <v>10399</v>
      </c>
      <c r="C405">
        <v>76</v>
      </c>
      <c r="D405" s="19">
        <v>35</v>
      </c>
      <c r="E405" s="20">
        <f>_xlfn.XLOOKUP(tbl_FACTS[[#This Row],[OrderID]],Πίνακας64[OrderID],Πίνακας64[OrderDate])</f>
        <v>35430</v>
      </c>
      <c r="F405">
        <f>_xlfn.XLOOKUP(tbl_FACTS[[#This Row],[OrderID]],Πίνακας64[OrderID],Πίνακας64[CustomerID])</f>
        <v>83</v>
      </c>
      <c r="G405" t="str">
        <f>_xlfn.XLOOKUP(tbl_FACTS[[#This Row],[CustomerID]],Πίνακας1[CustomerID],Πίνακας1[CustomerName])</f>
        <v>Vaffeljernet</v>
      </c>
      <c r="H405" t="str">
        <f>_xlfn.XLOOKUP(tbl_FACTS[[#This Row],[CustomerID]],Πίνακας1[CustomerID],Πίνακας1[Country])</f>
        <v>Denmark</v>
      </c>
      <c r="I405">
        <f>_xlfn.XLOOKUP(tbl_FACTS[[#This Row],[OrderID]],Πίνακας64[OrderID],Πίνακας64[EmployeeID])</f>
        <v>8</v>
      </c>
      <c r="J405">
        <f>_xlfn.XLOOKUP(tbl_FACTS[[#This Row],[OrderID]],Πίνακας64[OrderID],Πίνακας64[ShipperID])</f>
        <v>3</v>
      </c>
      <c r="K405" t="str">
        <f>_xlfn.XLOOKUP(tbl_FACTS[[#This Row],[ShipperID]],Πίνακας8[ShipperID],Πίνακας8[ShipperName])</f>
        <v>Federal Shipping</v>
      </c>
      <c r="L405" t="str">
        <f>_xlfn.XLOOKUP(tbl_FACTS[[#This Row],[ProductID]],Πίνακας7[ProductID],Πίνακας7[ProductName])</f>
        <v>Lakkalikoori</v>
      </c>
      <c r="M405">
        <f>_xlfn.XLOOKUP(tbl_FACTS[[#This Row],[ProductID]],Πίνακας7[ProductID],Πίνακας7[CategoryID])</f>
        <v>1</v>
      </c>
      <c r="N405" t="str">
        <f>_xlfn.XLOOKUP(tbl_FACTS[[#This Row],[CategoryID]],Πίνακας4[CategoryID],Πίνακας4[CategoryName])</f>
        <v>Beverages</v>
      </c>
      <c r="O405">
        <f>_xlfn.XLOOKUP(tbl_FACTS[[#This Row],[ProductID]],Πίνακας7[ProductID],Πίνακας7[SupplierID])</f>
        <v>23</v>
      </c>
      <c r="P405" t="str">
        <f>_xlfn.XLOOKUP(tbl_FACTS[[#This Row],[SupplierID]],Πίνακας9[SupplierID],Πίνακας9[SupplierName])</f>
        <v>Karkki Oy</v>
      </c>
      <c r="Q405" s="21">
        <f>_xlfn.XLOOKUP(tbl_FACTS[[#This Row],[ProductID]],Πίνακας7[ProductID],Πίνακας7[Price])</f>
        <v>18</v>
      </c>
      <c r="R405" s="21">
        <f>tbl_FACTS[[#This Row],[Quantity]]*tbl_FACTS[[#This Row],[Price]]</f>
        <v>630</v>
      </c>
      <c r="S405" s="19">
        <f>IF(COUNTIFS(tbl_FACTS[OrderID],tbl_FACTS[[#This Row],[OrderID]],tbl_FACTS[OrderDetailID],"&lt;"&amp;tbl_FACTS[[#This Row],[OrderDetailID]])=0,1,0)</f>
        <v>0</v>
      </c>
      <c r="T405" s="19">
        <f>YEAR(tbl_FACTS[[#This Row],[OrderDate]])</f>
        <v>1996</v>
      </c>
      <c r="U405" s="22">
        <f>DATE(YEAR(tbl_FACTS[[#This Row],[OrderDate]]),MONTH(tbl_FACTS[[#This Row],[OrderDate]]),1)</f>
        <v>35400</v>
      </c>
      <c r="V405" s="22" t="str">
        <f>IF(tbl_FACTS[[#This Row],[Quantity]]&lt;=10,"0–10",IF(tbl_FACTS[[#This Row],[Quantity]]&lt;=20,"11–20",IF(tbl_FACTS[[#This Row],[Quantity]]&lt;=30,"21–30",IF(tbl_FACTS[[#This Row],[Quantity]]&lt;=40,"31–40",IF(tbl_FACTS[[#This Row],[Quantity]]&lt;=50,"41–50","51+")))))</f>
        <v>31–40</v>
      </c>
    </row>
    <row r="406" spans="1:22">
      <c r="A406">
        <v>405</v>
      </c>
      <c r="B406">
        <v>10399</v>
      </c>
      <c r="C406">
        <v>77</v>
      </c>
      <c r="D406" s="19">
        <v>14</v>
      </c>
      <c r="E406" s="20">
        <f>_xlfn.XLOOKUP(tbl_FACTS[[#This Row],[OrderID]],Πίνακας64[OrderID],Πίνακας64[OrderDate])</f>
        <v>35430</v>
      </c>
      <c r="F406">
        <f>_xlfn.XLOOKUP(tbl_FACTS[[#This Row],[OrderID]],Πίνακας64[OrderID],Πίνακας64[CustomerID])</f>
        <v>83</v>
      </c>
      <c r="G406" t="str">
        <f>_xlfn.XLOOKUP(tbl_FACTS[[#This Row],[CustomerID]],Πίνακας1[CustomerID],Πίνακας1[CustomerName])</f>
        <v>Vaffeljernet</v>
      </c>
      <c r="H406" t="str">
        <f>_xlfn.XLOOKUP(tbl_FACTS[[#This Row],[CustomerID]],Πίνακας1[CustomerID],Πίνακας1[Country])</f>
        <v>Denmark</v>
      </c>
      <c r="I406">
        <f>_xlfn.XLOOKUP(tbl_FACTS[[#This Row],[OrderID]],Πίνακας64[OrderID],Πίνακας64[EmployeeID])</f>
        <v>8</v>
      </c>
      <c r="J406">
        <f>_xlfn.XLOOKUP(tbl_FACTS[[#This Row],[OrderID]],Πίνακας64[OrderID],Πίνακας64[ShipperID])</f>
        <v>3</v>
      </c>
      <c r="K406" t="str">
        <f>_xlfn.XLOOKUP(tbl_FACTS[[#This Row],[ShipperID]],Πίνακας8[ShipperID],Πίνακας8[ShipperName])</f>
        <v>Federal Shipping</v>
      </c>
      <c r="L406" t="str">
        <f>_xlfn.XLOOKUP(tbl_FACTS[[#This Row],[ProductID]],Πίνακας7[ProductID],Πίνακας7[ProductName])</f>
        <v>Original Frankfurter grune So├ƒe</v>
      </c>
      <c r="M406">
        <f>_xlfn.XLOOKUP(tbl_FACTS[[#This Row],[ProductID]],Πίνακας7[ProductID],Πίνακας7[CategoryID])</f>
        <v>2</v>
      </c>
      <c r="N406" t="str">
        <f>_xlfn.XLOOKUP(tbl_FACTS[[#This Row],[CategoryID]],Πίνακας4[CategoryID],Πίνακας4[CategoryName])</f>
        <v>Condiments</v>
      </c>
      <c r="O406">
        <f>_xlfn.XLOOKUP(tbl_FACTS[[#This Row],[ProductID]],Πίνακας7[ProductID],Πίνακας7[SupplierID])</f>
        <v>12</v>
      </c>
      <c r="P406" t="str">
        <f>_xlfn.XLOOKUP(tbl_FACTS[[#This Row],[SupplierID]],Πίνακας9[SupplierID],Πίνακας9[SupplierName])</f>
        <v>Plutzer Lebensmittelgro├ƒmarkte AG</v>
      </c>
      <c r="Q406" s="21">
        <f>_xlfn.XLOOKUP(tbl_FACTS[[#This Row],[ProductID]],Πίνακας7[ProductID],Πίνακας7[Price])</f>
        <v>13</v>
      </c>
      <c r="R406" s="21">
        <f>tbl_FACTS[[#This Row],[Quantity]]*tbl_FACTS[[#This Row],[Price]]</f>
        <v>182</v>
      </c>
      <c r="S406" s="19">
        <f>IF(COUNTIFS(tbl_FACTS[OrderID],tbl_FACTS[[#This Row],[OrderID]],tbl_FACTS[OrderDetailID],"&lt;"&amp;tbl_FACTS[[#This Row],[OrderDetailID]])=0,1,0)</f>
        <v>0</v>
      </c>
      <c r="T406" s="19">
        <f>YEAR(tbl_FACTS[[#This Row],[OrderDate]])</f>
        <v>1996</v>
      </c>
      <c r="U406" s="22">
        <f>DATE(YEAR(tbl_FACTS[[#This Row],[OrderDate]]),MONTH(tbl_FACTS[[#This Row],[OrderDate]]),1)</f>
        <v>35400</v>
      </c>
      <c r="V406" s="22" t="str">
        <f>IF(tbl_FACTS[[#This Row],[Quantity]]&lt;=10,"0–10",IF(tbl_FACTS[[#This Row],[Quantity]]&lt;=20,"11–20",IF(tbl_FACTS[[#This Row],[Quantity]]&lt;=30,"21–30",IF(tbl_FACTS[[#This Row],[Quantity]]&lt;=40,"31–40",IF(tbl_FACTS[[#This Row],[Quantity]]&lt;=50,"41–50","51+")))))</f>
        <v>11–20</v>
      </c>
    </row>
    <row r="407" spans="1:22">
      <c r="A407">
        <v>406</v>
      </c>
      <c r="B407">
        <v>10400</v>
      </c>
      <c r="C407">
        <v>29</v>
      </c>
      <c r="D407" s="19">
        <v>21</v>
      </c>
      <c r="E407" s="20">
        <f>_xlfn.XLOOKUP(tbl_FACTS[[#This Row],[OrderID]],Πίνακας64[OrderID],Πίνακας64[OrderDate])</f>
        <v>35431</v>
      </c>
      <c r="F407">
        <f>_xlfn.XLOOKUP(tbl_FACTS[[#This Row],[OrderID]],Πίνακας64[OrderID],Πίνακας64[CustomerID])</f>
        <v>19</v>
      </c>
      <c r="G407" t="str">
        <f>_xlfn.XLOOKUP(tbl_FACTS[[#This Row],[CustomerID]],Πίνακας1[CustomerID],Πίνακας1[CustomerName])</f>
        <v>Eastern Connection</v>
      </c>
      <c r="H407" t="str">
        <f>_xlfn.XLOOKUP(tbl_FACTS[[#This Row],[CustomerID]],Πίνακας1[CustomerID],Πίνακας1[Country])</f>
        <v>UK</v>
      </c>
      <c r="I407">
        <f>_xlfn.XLOOKUP(tbl_FACTS[[#This Row],[OrderID]],Πίνακας64[OrderID],Πίνακας64[EmployeeID])</f>
        <v>1</v>
      </c>
      <c r="J407">
        <f>_xlfn.XLOOKUP(tbl_FACTS[[#This Row],[OrderID]],Πίνακας64[OrderID],Πίνακας64[ShipperID])</f>
        <v>3</v>
      </c>
      <c r="K407" t="str">
        <f>_xlfn.XLOOKUP(tbl_FACTS[[#This Row],[ShipperID]],Πίνακας8[ShipperID],Πίνακας8[ShipperName])</f>
        <v>Federal Shipping</v>
      </c>
      <c r="L407" t="str">
        <f>_xlfn.XLOOKUP(tbl_FACTS[[#This Row],[ProductID]],Πίνακας7[ProductID],Πίνακας7[ProductName])</f>
        <v>Thuringer Rostbratwurst</v>
      </c>
      <c r="M407">
        <f>_xlfn.XLOOKUP(tbl_FACTS[[#This Row],[ProductID]],Πίνακας7[ProductID],Πίνακας7[CategoryID])</f>
        <v>6</v>
      </c>
      <c r="N407" t="str">
        <f>_xlfn.XLOOKUP(tbl_FACTS[[#This Row],[CategoryID]],Πίνακας4[CategoryID],Πίνακας4[CategoryName])</f>
        <v>Meat/Poultry</v>
      </c>
      <c r="O407">
        <f>_xlfn.XLOOKUP(tbl_FACTS[[#This Row],[ProductID]],Πίνακας7[ProductID],Πίνακας7[SupplierID])</f>
        <v>12</v>
      </c>
      <c r="P407" t="str">
        <f>_xlfn.XLOOKUP(tbl_FACTS[[#This Row],[SupplierID]],Πίνακας9[SupplierID],Πίνακας9[SupplierName])</f>
        <v>Plutzer Lebensmittelgro├ƒmarkte AG</v>
      </c>
      <c r="Q407" s="21">
        <f>_xlfn.XLOOKUP(tbl_FACTS[[#This Row],[ProductID]],Πίνακας7[ProductID],Πίνακας7[Price])</f>
        <v>124</v>
      </c>
      <c r="R407" s="21">
        <f>tbl_FACTS[[#This Row],[Quantity]]*tbl_FACTS[[#This Row],[Price]]</f>
        <v>2604</v>
      </c>
      <c r="S407" s="19">
        <f>IF(COUNTIFS(tbl_FACTS[OrderID],tbl_FACTS[[#This Row],[OrderID]],tbl_FACTS[OrderDetailID],"&lt;"&amp;tbl_FACTS[[#This Row],[OrderDetailID]])=0,1,0)</f>
        <v>1</v>
      </c>
      <c r="T407" s="19">
        <f>YEAR(tbl_FACTS[[#This Row],[OrderDate]])</f>
        <v>1997</v>
      </c>
      <c r="U407" s="22">
        <f>DATE(YEAR(tbl_FACTS[[#This Row],[OrderDate]]),MONTH(tbl_FACTS[[#This Row],[OrderDate]]),1)</f>
        <v>35431</v>
      </c>
      <c r="V407" s="22" t="str">
        <f>IF(tbl_FACTS[[#This Row],[Quantity]]&lt;=10,"0–10",IF(tbl_FACTS[[#This Row],[Quantity]]&lt;=20,"11–20",IF(tbl_FACTS[[#This Row],[Quantity]]&lt;=30,"21–30",IF(tbl_FACTS[[#This Row],[Quantity]]&lt;=40,"31–40",IF(tbl_FACTS[[#This Row],[Quantity]]&lt;=50,"41–50","51+")))))</f>
        <v>21–30</v>
      </c>
    </row>
    <row r="408" spans="1:22">
      <c r="A408">
        <v>407</v>
      </c>
      <c r="B408">
        <v>10400</v>
      </c>
      <c r="C408">
        <v>35</v>
      </c>
      <c r="D408" s="19">
        <v>35</v>
      </c>
      <c r="E408" s="20">
        <f>_xlfn.XLOOKUP(tbl_FACTS[[#This Row],[OrderID]],Πίνακας64[OrderID],Πίνακας64[OrderDate])</f>
        <v>35431</v>
      </c>
      <c r="F408">
        <f>_xlfn.XLOOKUP(tbl_FACTS[[#This Row],[OrderID]],Πίνακας64[OrderID],Πίνακας64[CustomerID])</f>
        <v>19</v>
      </c>
      <c r="G408" t="str">
        <f>_xlfn.XLOOKUP(tbl_FACTS[[#This Row],[CustomerID]],Πίνακας1[CustomerID],Πίνακας1[CustomerName])</f>
        <v>Eastern Connection</v>
      </c>
      <c r="H408" t="str">
        <f>_xlfn.XLOOKUP(tbl_FACTS[[#This Row],[CustomerID]],Πίνακας1[CustomerID],Πίνακας1[Country])</f>
        <v>UK</v>
      </c>
      <c r="I408">
        <f>_xlfn.XLOOKUP(tbl_FACTS[[#This Row],[OrderID]],Πίνακας64[OrderID],Πίνακας64[EmployeeID])</f>
        <v>1</v>
      </c>
      <c r="J408">
        <f>_xlfn.XLOOKUP(tbl_FACTS[[#This Row],[OrderID]],Πίνακας64[OrderID],Πίνακας64[ShipperID])</f>
        <v>3</v>
      </c>
      <c r="K408" t="str">
        <f>_xlfn.XLOOKUP(tbl_FACTS[[#This Row],[ShipperID]],Πίνακας8[ShipperID],Πίνακας8[ShipperName])</f>
        <v>Federal Shipping</v>
      </c>
      <c r="L408" t="str">
        <f>_xlfn.XLOOKUP(tbl_FACTS[[#This Row],[ProductID]],Πίνακας7[ProductID],Πίνακας7[ProductName])</f>
        <v>Steeleye Stout</v>
      </c>
      <c r="M408">
        <f>_xlfn.XLOOKUP(tbl_FACTS[[#This Row],[ProductID]],Πίνακας7[ProductID],Πίνακας7[CategoryID])</f>
        <v>1</v>
      </c>
      <c r="N408" t="str">
        <f>_xlfn.XLOOKUP(tbl_FACTS[[#This Row],[CategoryID]],Πίνακας4[CategoryID],Πίνακας4[CategoryName])</f>
        <v>Beverages</v>
      </c>
      <c r="O408">
        <f>_xlfn.XLOOKUP(tbl_FACTS[[#This Row],[ProductID]],Πίνακας7[ProductID],Πίνακας7[SupplierID])</f>
        <v>16</v>
      </c>
      <c r="P408" t="str">
        <f>_xlfn.XLOOKUP(tbl_FACTS[[#This Row],[SupplierID]],Πίνακας9[SupplierID],Πίνακας9[SupplierName])</f>
        <v>Bigfoot Breweries</v>
      </c>
      <c r="Q408" s="21">
        <f>_xlfn.XLOOKUP(tbl_FACTS[[#This Row],[ProductID]],Πίνακας7[ProductID],Πίνακας7[Price])</f>
        <v>18</v>
      </c>
      <c r="R408" s="21">
        <f>tbl_FACTS[[#This Row],[Quantity]]*tbl_FACTS[[#This Row],[Price]]</f>
        <v>630</v>
      </c>
      <c r="S408" s="19">
        <f>IF(COUNTIFS(tbl_FACTS[OrderID],tbl_FACTS[[#This Row],[OrderID]],tbl_FACTS[OrderDetailID],"&lt;"&amp;tbl_FACTS[[#This Row],[OrderDetailID]])=0,1,0)</f>
        <v>0</v>
      </c>
      <c r="T408" s="19">
        <f>YEAR(tbl_FACTS[[#This Row],[OrderDate]])</f>
        <v>1997</v>
      </c>
      <c r="U408" s="22">
        <f>DATE(YEAR(tbl_FACTS[[#This Row],[OrderDate]]),MONTH(tbl_FACTS[[#This Row],[OrderDate]]),1)</f>
        <v>35431</v>
      </c>
      <c r="V408" s="22" t="str">
        <f>IF(tbl_FACTS[[#This Row],[Quantity]]&lt;=10,"0–10",IF(tbl_FACTS[[#This Row],[Quantity]]&lt;=20,"11–20",IF(tbl_FACTS[[#This Row],[Quantity]]&lt;=30,"21–30",IF(tbl_FACTS[[#This Row],[Quantity]]&lt;=40,"31–40",IF(tbl_FACTS[[#This Row],[Quantity]]&lt;=50,"41–50","51+")))))</f>
        <v>31–40</v>
      </c>
    </row>
    <row r="409" spans="1:22">
      <c r="A409">
        <v>408</v>
      </c>
      <c r="B409">
        <v>10400</v>
      </c>
      <c r="C409">
        <v>49</v>
      </c>
      <c r="D409" s="19">
        <v>30</v>
      </c>
      <c r="E409" s="20">
        <f>_xlfn.XLOOKUP(tbl_FACTS[[#This Row],[OrderID]],Πίνακας64[OrderID],Πίνακας64[OrderDate])</f>
        <v>35431</v>
      </c>
      <c r="F409">
        <f>_xlfn.XLOOKUP(tbl_FACTS[[#This Row],[OrderID]],Πίνακας64[OrderID],Πίνακας64[CustomerID])</f>
        <v>19</v>
      </c>
      <c r="G409" t="str">
        <f>_xlfn.XLOOKUP(tbl_FACTS[[#This Row],[CustomerID]],Πίνακας1[CustomerID],Πίνακας1[CustomerName])</f>
        <v>Eastern Connection</v>
      </c>
      <c r="H409" t="str">
        <f>_xlfn.XLOOKUP(tbl_FACTS[[#This Row],[CustomerID]],Πίνακας1[CustomerID],Πίνακας1[Country])</f>
        <v>UK</v>
      </c>
      <c r="I409">
        <f>_xlfn.XLOOKUP(tbl_FACTS[[#This Row],[OrderID]],Πίνακας64[OrderID],Πίνακας64[EmployeeID])</f>
        <v>1</v>
      </c>
      <c r="J409">
        <f>_xlfn.XLOOKUP(tbl_FACTS[[#This Row],[OrderID]],Πίνακας64[OrderID],Πίνακας64[ShipperID])</f>
        <v>3</v>
      </c>
      <c r="K409" t="str">
        <f>_xlfn.XLOOKUP(tbl_FACTS[[#This Row],[ShipperID]],Πίνακας8[ShipperID],Πίνακας8[ShipperName])</f>
        <v>Federal Shipping</v>
      </c>
      <c r="L409" t="str">
        <f>_xlfn.XLOOKUP(tbl_FACTS[[#This Row],[ProductID]],Πίνακας7[ProductID],Πίνακας7[ProductName])</f>
        <v>Maxilaku</v>
      </c>
      <c r="M409">
        <f>_xlfn.XLOOKUP(tbl_FACTS[[#This Row],[ProductID]],Πίνακας7[ProductID],Πίνακας7[CategoryID])</f>
        <v>3</v>
      </c>
      <c r="N409" t="str">
        <f>_xlfn.XLOOKUP(tbl_FACTS[[#This Row],[CategoryID]],Πίνακας4[CategoryID],Πίνακας4[CategoryName])</f>
        <v>Confections</v>
      </c>
      <c r="O409">
        <f>_xlfn.XLOOKUP(tbl_FACTS[[#This Row],[ProductID]],Πίνακας7[ProductID],Πίνακας7[SupplierID])</f>
        <v>23</v>
      </c>
      <c r="P409" t="str">
        <f>_xlfn.XLOOKUP(tbl_FACTS[[#This Row],[SupplierID]],Πίνακας9[SupplierID],Πίνακας9[SupplierName])</f>
        <v>Karkki Oy</v>
      </c>
      <c r="Q409" s="21">
        <f>_xlfn.XLOOKUP(tbl_FACTS[[#This Row],[ProductID]],Πίνακας7[ProductID],Πίνακας7[Price])</f>
        <v>20</v>
      </c>
      <c r="R409" s="21">
        <f>tbl_FACTS[[#This Row],[Quantity]]*tbl_FACTS[[#This Row],[Price]]</f>
        <v>600</v>
      </c>
      <c r="S409" s="19">
        <f>IF(COUNTIFS(tbl_FACTS[OrderID],tbl_FACTS[[#This Row],[OrderID]],tbl_FACTS[OrderDetailID],"&lt;"&amp;tbl_FACTS[[#This Row],[OrderDetailID]])=0,1,0)</f>
        <v>0</v>
      </c>
      <c r="T409" s="19">
        <f>YEAR(tbl_FACTS[[#This Row],[OrderDate]])</f>
        <v>1997</v>
      </c>
      <c r="U409" s="22">
        <f>DATE(YEAR(tbl_FACTS[[#This Row],[OrderDate]]),MONTH(tbl_FACTS[[#This Row],[OrderDate]]),1)</f>
        <v>35431</v>
      </c>
      <c r="V409" s="22" t="str">
        <f>IF(tbl_FACTS[[#This Row],[Quantity]]&lt;=10,"0–10",IF(tbl_FACTS[[#This Row],[Quantity]]&lt;=20,"11–20",IF(tbl_FACTS[[#This Row],[Quantity]]&lt;=30,"21–30",IF(tbl_FACTS[[#This Row],[Quantity]]&lt;=40,"31–40",IF(tbl_FACTS[[#This Row],[Quantity]]&lt;=50,"41–50","51+")))))</f>
        <v>21–30</v>
      </c>
    </row>
    <row r="410" spans="1:22">
      <c r="A410">
        <v>409</v>
      </c>
      <c r="B410">
        <v>10401</v>
      </c>
      <c r="C410">
        <v>30</v>
      </c>
      <c r="D410" s="19">
        <v>18</v>
      </c>
      <c r="E410" s="20">
        <f>_xlfn.XLOOKUP(tbl_FACTS[[#This Row],[OrderID]],Πίνακας64[OrderID],Πίνακας64[OrderDate])</f>
        <v>35431</v>
      </c>
      <c r="F410">
        <f>_xlfn.XLOOKUP(tbl_FACTS[[#This Row],[OrderID]],Πίνακας64[OrderID],Πίνακας64[CustomerID])</f>
        <v>65</v>
      </c>
      <c r="G410" t="str">
        <f>_xlfn.XLOOKUP(tbl_FACTS[[#This Row],[CustomerID]],Πίνακας1[CustomerID],Πίνακας1[CustomerName])</f>
        <v>Rattlesnake Canyon Grocery</v>
      </c>
      <c r="H410" t="str">
        <f>_xlfn.XLOOKUP(tbl_FACTS[[#This Row],[CustomerID]],Πίνακας1[CustomerID],Πίνακας1[Country])</f>
        <v>USA</v>
      </c>
      <c r="I410">
        <f>_xlfn.XLOOKUP(tbl_FACTS[[#This Row],[OrderID]],Πίνακας64[OrderID],Πίνακας64[EmployeeID])</f>
        <v>1</v>
      </c>
      <c r="J410">
        <f>_xlfn.XLOOKUP(tbl_FACTS[[#This Row],[OrderID]],Πίνακας64[OrderID],Πίνακας64[ShipperID])</f>
        <v>1</v>
      </c>
      <c r="K410" t="str">
        <f>_xlfn.XLOOKUP(tbl_FACTS[[#This Row],[ShipperID]],Πίνακας8[ShipperID],Πίνακας8[ShipperName])</f>
        <v>Speedy Express</v>
      </c>
      <c r="L410" t="str">
        <f>_xlfn.XLOOKUP(tbl_FACTS[[#This Row],[ProductID]],Πίνακας7[ProductID],Πίνακας7[ProductName])</f>
        <v>Nord-Ost Matjeshering</v>
      </c>
      <c r="M410">
        <f>_xlfn.XLOOKUP(tbl_FACTS[[#This Row],[ProductID]],Πίνακας7[ProductID],Πίνακας7[CategoryID])</f>
        <v>8</v>
      </c>
      <c r="N410" t="str">
        <f>_xlfn.XLOOKUP(tbl_FACTS[[#This Row],[CategoryID]],Πίνακας4[CategoryID],Πίνακας4[CategoryName])</f>
        <v>Seafood</v>
      </c>
      <c r="O410">
        <f>_xlfn.XLOOKUP(tbl_FACTS[[#This Row],[ProductID]],Πίνακας7[ProductID],Πίνακας7[SupplierID])</f>
        <v>13</v>
      </c>
      <c r="P410" t="str">
        <f>_xlfn.XLOOKUP(tbl_FACTS[[#This Row],[SupplierID]],Πίνακας9[SupplierID],Πίνακας9[SupplierName])</f>
        <v>Nord-Ost-Fisch Handelsgesellschaft mbH</v>
      </c>
      <c r="Q410" s="21">
        <f>_xlfn.XLOOKUP(tbl_FACTS[[#This Row],[ProductID]],Πίνακας7[ProductID],Πίνακας7[Price])</f>
        <v>26</v>
      </c>
      <c r="R410" s="21">
        <f>tbl_FACTS[[#This Row],[Quantity]]*tbl_FACTS[[#This Row],[Price]]</f>
        <v>468</v>
      </c>
      <c r="S410" s="19">
        <f>IF(COUNTIFS(tbl_FACTS[OrderID],tbl_FACTS[[#This Row],[OrderID]],tbl_FACTS[OrderDetailID],"&lt;"&amp;tbl_FACTS[[#This Row],[OrderDetailID]])=0,1,0)</f>
        <v>1</v>
      </c>
      <c r="T410" s="19">
        <f>YEAR(tbl_FACTS[[#This Row],[OrderDate]])</f>
        <v>1997</v>
      </c>
      <c r="U410" s="22">
        <f>DATE(YEAR(tbl_FACTS[[#This Row],[OrderDate]]),MONTH(tbl_FACTS[[#This Row],[OrderDate]]),1)</f>
        <v>35431</v>
      </c>
      <c r="V410" s="22" t="str">
        <f>IF(tbl_FACTS[[#This Row],[Quantity]]&lt;=10,"0–10",IF(tbl_FACTS[[#This Row],[Quantity]]&lt;=20,"11–20",IF(tbl_FACTS[[#This Row],[Quantity]]&lt;=30,"21–30",IF(tbl_FACTS[[#This Row],[Quantity]]&lt;=40,"31–40",IF(tbl_FACTS[[#This Row],[Quantity]]&lt;=50,"41–50","51+")))))</f>
        <v>11–20</v>
      </c>
    </row>
    <row r="411" spans="1:22">
      <c r="A411">
        <v>410</v>
      </c>
      <c r="B411">
        <v>10401</v>
      </c>
      <c r="C411">
        <v>56</v>
      </c>
      <c r="D411" s="19">
        <v>70</v>
      </c>
      <c r="E411" s="20">
        <f>_xlfn.XLOOKUP(tbl_FACTS[[#This Row],[OrderID]],Πίνακας64[OrderID],Πίνακας64[OrderDate])</f>
        <v>35431</v>
      </c>
      <c r="F411">
        <f>_xlfn.XLOOKUP(tbl_FACTS[[#This Row],[OrderID]],Πίνακας64[OrderID],Πίνακας64[CustomerID])</f>
        <v>65</v>
      </c>
      <c r="G411" t="str">
        <f>_xlfn.XLOOKUP(tbl_FACTS[[#This Row],[CustomerID]],Πίνακας1[CustomerID],Πίνακας1[CustomerName])</f>
        <v>Rattlesnake Canyon Grocery</v>
      </c>
      <c r="H411" t="str">
        <f>_xlfn.XLOOKUP(tbl_FACTS[[#This Row],[CustomerID]],Πίνακας1[CustomerID],Πίνακας1[Country])</f>
        <v>USA</v>
      </c>
      <c r="I411">
        <f>_xlfn.XLOOKUP(tbl_FACTS[[#This Row],[OrderID]],Πίνακας64[OrderID],Πίνακας64[EmployeeID])</f>
        <v>1</v>
      </c>
      <c r="J411">
        <f>_xlfn.XLOOKUP(tbl_FACTS[[#This Row],[OrderID]],Πίνακας64[OrderID],Πίνακας64[ShipperID])</f>
        <v>1</v>
      </c>
      <c r="K411" t="str">
        <f>_xlfn.XLOOKUP(tbl_FACTS[[#This Row],[ShipperID]],Πίνακας8[ShipperID],Πίνακας8[ShipperName])</f>
        <v>Speedy Express</v>
      </c>
      <c r="L411" t="str">
        <f>_xlfn.XLOOKUP(tbl_FACTS[[#This Row],[ProductID]],Πίνακας7[ProductID],Πίνακας7[ProductName])</f>
        <v>Gnocchi di nonna Alice</v>
      </c>
      <c r="M411">
        <f>_xlfn.XLOOKUP(tbl_FACTS[[#This Row],[ProductID]],Πίνακας7[ProductID],Πίνακας7[CategoryID])</f>
        <v>5</v>
      </c>
      <c r="N411" t="str">
        <f>_xlfn.XLOOKUP(tbl_FACTS[[#This Row],[CategoryID]],Πίνακας4[CategoryID],Πίνακας4[CategoryName])</f>
        <v>Grains/Cereals</v>
      </c>
      <c r="O411">
        <f>_xlfn.XLOOKUP(tbl_FACTS[[#This Row],[ProductID]],Πίνακας7[ProductID],Πίνακας7[SupplierID])</f>
        <v>26</v>
      </c>
      <c r="P411" t="str">
        <f>_xlfn.XLOOKUP(tbl_FACTS[[#This Row],[SupplierID]],Πίνακας9[SupplierID],Πίνακας9[SupplierName])</f>
        <v>Pasta Buttini s.r.l.</v>
      </c>
      <c r="Q411" s="21">
        <f>_xlfn.XLOOKUP(tbl_FACTS[[#This Row],[ProductID]],Πίνακας7[ProductID],Πίνακας7[Price])</f>
        <v>38</v>
      </c>
      <c r="R411" s="21">
        <f>tbl_FACTS[[#This Row],[Quantity]]*tbl_FACTS[[#This Row],[Price]]</f>
        <v>2660</v>
      </c>
      <c r="S411" s="19">
        <f>IF(COUNTIFS(tbl_FACTS[OrderID],tbl_FACTS[[#This Row],[OrderID]],tbl_FACTS[OrderDetailID],"&lt;"&amp;tbl_FACTS[[#This Row],[OrderDetailID]])=0,1,0)</f>
        <v>0</v>
      </c>
      <c r="T411" s="19">
        <f>YEAR(tbl_FACTS[[#This Row],[OrderDate]])</f>
        <v>1997</v>
      </c>
      <c r="U411" s="22">
        <f>DATE(YEAR(tbl_FACTS[[#This Row],[OrderDate]]),MONTH(tbl_FACTS[[#This Row],[OrderDate]]),1)</f>
        <v>35431</v>
      </c>
      <c r="V411" s="22" t="str">
        <f>IF(tbl_FACTS[[#This Row],[Quantity]]&lt;=10,"0–10",IF(tbl_FACTS[[#This Row],[Quantity]]&lt;=20,"11–20",IF(tbl_FACTS[[#This Row],[Quantity]]&lt;=30,"21–30",IF(tbl_FACTS[[#This Row],[Quantity]]&lt;=40,"31–40",IF(tbl_FACTS[[#This Row],[Quantity]]&lt;=50,"41–50","51+")))))</f>
        <v>51+</v>
      </c>
    </row>
    <row r="412" spans="1:22">
      <c r="A412">
        <v>411</v>
      </c>
      <c r="B412">
        <v>10401</v>
      </c>
      <c r="C412">
        <v>65</v>
      </c>
      <c r="D412" s="19">
        <v>20</v>
      </c>
      <c r="E412" s="20">
        <f>_xlfn.XLOOKUP(tbl_FACTS[[#This Row],[OrderID]],Πίνακας64[OrderID],Πίνακας64[OrderDate])</f>
        <v>35431</v>
      </c>
      <c r="F412">
        <f>_xlfn.XLOOKUP(tbl_FACTS[[#This Row],[OrderID]],Πίνακας64[OrderID],Πίνακας64[CustomerID])</f>
        <v>65</v>
      </c>
      <c r="G412" t="str">
        <f>_xlfn.XLOOKUP(tbl_FACTS[[#This Row],[CustomerID]],Πίνακας1[CustomerID],Πίνακας1[CustomerName])</f>
        <v>Rattlesnake Canyon Grocery</v>
      </c>
      <c r="H412" t="str">
        <f>_xlfn.XLOOKUP(tbl_FACTS[[#This Row],[CustomerID]],Πίνακας1[CustomerID],Πίνακας1[Country])</f>
        <v>USA</v>
      </c>
      <c r="I412">
        <f>_xlfn.XLOOKUP(tbl_FACTS[[#This Row],[OrderID]],Πίνακας64[OrderID],Πίνακας64[EmployeeID])</f>
        <v>1</v>
      </c>
      <c r="J412">
        <f>_xlfn.XLOOKUP(tbl_FACTS[[#This Row],[OrderID]],Πίνακας64[OrderID],Πίνακας64[ShipperID])</f>
        <v>1</v>
      </c>
      <c r="K412" t="str">
        <f>_xlfn.XLOOKUP(tbl_FACTS[[#This Row],[ShipperID]],Πίνακας8[ShipperID],Πίνακας8[ShipperName])</f>
        <v>Speedy Express</v>
      </c>
      <c r="L412" t="str">
        <f>_xlfn.XLOOKUP(tbl_FACTS[[#This Row],[ProductID]],Πίνακας7[ProductID],Πίνακας7[ProductName])</f>
        <v>Louisiana Fiery Hot Pepper Sauce</v>
      </c>
      <c r="M412">
        <f>_xlfn.XLOOKUP(tbl_FACTS[[#This Row],[ProductID]],Πίνακας7[ProductID],Πίνακας7[CategoryID])</f>
        <v>2</v>
      </c>
      <c r="N412" t="str">
        <f>_xlfn.XLOOKUP(tbl_FACTS[[#This Row],[CategoryID]],Πίνακας4[CategoryID],Πίνακας4[CategoryName])</f>
        <v>Condiments</v>
      </c>
      <c r="O412">
        <f>_xlfn.XLOOKUP(tbl_FACTS[[#This Row],[ProductID]],Πίνακας7[ProductID],Πίνακας7[SupplierID])</f>
        <v>2</v>
      </c>
      <c r="P412" t="str">
        <f>_xlfn.XLOOKUP(tbl_FACTS[[#This Row],[SupplierID]],Πίνακας9[SupplierID],Πίνακας9[SupplierName])</f>
        <v>New Orleans Cajun Delights</v>
      </c>
      <c r="Q412" s="21">
        <f>_xlfn.XLOOKUP(tbl_FACTS[[#This Row],[ProductID]],Πίνακας7[ProductID],Πίνακας7[Price])</f>
        <v>21</v>
      </c>
      <c r="R412" s="21">
        <f>tbl_FACTS[[#This Row],[Quantity]]*tbl_FACTS[[#This Row],[Price]]</f>
        <v>420</v>
      </c>
      <c r="S412" s="19">
        <f>IF(COUNTIFS(tbl_FACTS[OrderID],tbl_FACTS[[#This Row],[OrderID]],tbl_FACTS[OrderDetailID],"&lt;"&amp;tbl_FACTS[[#This Row],[OrderDetailID]])=0,1,0)</f>
        <v>0</v>
      </c>
      <c r="T412" s="19">
        <f>YEAR(tbl_FACTS[[#This Row],[OrderDate]])</f>
        <v>1997</v>
      </c>
      <c r="U412" s="22">
        <f>DATE(YEAR(tbl_FACTS[[#This Row],[OrderDate]]),MONTH(tbl_FACTS[[#This Row],[OrderDate]]),1)</f>
        <v>35431</v>
      </c>
      <c r="V412" s="22" t="str">
        <f>IF(tbl_FACTS[[#This Row],[Quantity]]&lt;=10,"0–10",IF(tbl_FACTS[[#This Row],[Quantity]]&lt;=20,"11–20",IF(tbl_FACTS[[#This Row],[Quantity]]&lt;=30,"21–30",IF(tbl_FACTS[[#This Row],[Quantity]]&lt;=40,"31–40",IF(tbl_FACTS[[#This Row],[Quantity]]&lt;=50,"41–50","51+")))))</f>
        <v>11–20</v>
      </c>
    </row>
    <row r="413" spans="1:22">
      <c r="A413">
        <v>412</v>
      </c>
      <c r="B413">
        <v>10401</v>
      </c>
      <c r="C413">
        <v>71</v>
      </c>
      <c r="D413" s="19">
        <v>60</v>
      </c>
      <c r="E413" s="20">
        <f>_xlfn.XLOOKUP(tbl_FACTS[[#This Row],[OrderID]],Πίνακας64[OrderID],Πίνακας64[OrderDate])</f>
        <v>35431</v>
      </c>
      <c r="F413">
        <f>_xlfn.XLOOKUP(tbl_FACTS[[#This Row],[OrderID]],Πίνακας64[OrderID],Πίνακας64[CustomerID])</f>
        <v>65</v>
      </c>
      <c r="G413" t="str">
        <f>_xlfn.XLOOKUP(tbl_FACTS[[#This Row],[CustomerID]],Πίνακας1[CustomerID],Πίνακας1[CustomerName])</f>
        <v>Rattlesnake Canyon Grocery</v>
      </c>
      <c r="H413" t="str">
        <f>_xlfn.XLOOKUP(tbl_FACTS[[#This Row],[CustomerID]],Πίνακας1[CustomerID],Πίνακας1[Country])</f>
        <v>USA</v>
      </c>
      <c r="I413">
        <f>_xlfn.XLOOKUP(tbl_FACTS[[#This Row],[OrderID]],Πίνακας64[OrderID],Πίνακας64[EmployeeID])</f>
        <v>1</v>
      </c>
      <c r="J413">
        <f>_xlfn.XLOOKUP(tbl_FACTS[[#This Row],[OrderID]],Πίνακας64[OrderID],Πίνακας64[ShipperID])</f>
        <v>1</v>
      </c>
      <c r="K413" t="str">
        <f>_xlfn.XLOOKUP(tbl_FACTS[[#This Row],[ShipperID]],Πίνακας8[ShipperID],Πίνακας8[ShipperName])</f>
        <v>Speedy Express</v>
      </c>
      <c r="L413" t="str">
        <f>_xlfn.XLOOKUP(tbl_FACTS[[#This Row],[ProductID]],Πίνακας7[ProductID],Πίνακας7[ProductName])</f>
        <v>Fl├©temysost</v>
      </c>
      <c r="M413">
        <f>_xlfn.XLOOKUP(tbl_FACTS[[#This Row],[ProductID]],Πίνακας7[ProductID],Πίνακας7[CategoryID])</f>
        <v>4</v>
      </c>
      <c r="N413" t="str">
        <f>_xlfn.XLOOKUP(tbl_FACTS[[#This Row],[CategoryID]],Πίνακας4[CategoryID],Πίνακας4[CategoryName])</f>
        <v>Dairy Products</v>
      </c>
      <c r="O413">
        <f>_xlfn.XLOOKUP(tbl_FACTS[[#This Row],[ProductID]],Πίνακας7[ProductID],Πίνακας7[SupplierID])</f>
        <v>15</v>
      </c>
      <c r="P413" t="str">
        <f>_xlfn.XLOOKUP(tbl_FACTS[[#This Row],[SupplierID]],Πίνακας9[SupplierID],Πίνακας9[SupplierName])</f>
        <v>Norske Meierier</v>
      </c>
      <c r="Q413" s="21">
        <f>_xlfn.XLOOKUP(tbl_FACTS[[#This Row],[ProductID]],Πίνακας7[ProductID],Πίνακας7[Price])</f>
        <v>22</v>
      </c>
      <c r="R413" s="21">
        <f>tbl_FACTS[[#This Row],[Quantity]]*tbl_FACTS[[#This Row],[Price]]</f>
        <v>1320</v>
      </c>
      <c r="S413" s="19">
        <f>IF(COUNTIFS(tbl_FACTS[OrderID],tbl_FACTS[[#This Row],[OrderID]],tbl_FACTS[OrderDetailID],"&lt;"&amp;tbl_FACTS[[#This Row],[OrderDetailID]])=0,1,0)</f>
        <v>0</v>
      </c>
      <c r="T413" s="19">
        <f>YEAR(tbl_FACTS[[#This Row],[OrderDate]])</f>
        <v>1997</v>
      </c>
      <c r="U413" s="22">
        <f>DATE(YEAR(tbl_FACTS[[#This Row],[OrderDate]]),MONTH(tbl_FACTS[[#This Row],[OrderDate]]),1)</f>
        <v>35431</v>
      </c>
      <c r="V413" s="22" t="str">
        <f>IF(tbl_FACTS[[#This Row],[Quantity]]&lt;=10,"0–10",IF(tbl_FACTS[[#This Row],[Quantity]]&lt;=20,"11–20",IF(tbl_FACTS[[#This Row],[Quantity]]&lt;=30,"21–30",IF(tbl_FACTS[[#This Row],[Quantity]]&lt;=40,"31–40",IF(tbl_FACTS[[#This Row],[Quantity]]&lt;=50,"41–50","51+")))))</f>
        <v>51+</v>
      </c>
    </row>
    <row r="414" spans="1:22">
      <c r="A414">
        <v>413</v>
      </c>
      <c r="B414">
        <v>10402</v>
      </c>
      <c r="C414">
        <v>23</v>
      </c>
      <c r="D414" s="19">
        <v>60</v>
      </c>
      <c r="E414" s="20">
        <f>_xlfn.XLOOKUP(tbl_FACTS[[#This Row],[OrderID]],Πίνακας64[OrderID],Πίνακας64[OrderDate])</f>
        <v>35432</v>
      </c>
      <c r="F414">
        <f>_xlfn.XLOOKUP(tbl_FACTS[[#This Row],[OrderID]],Πίνακας64[OrderID],Πίνακας64[CustomerID])</f>
        <v>20</v>
      </c>
      <c r="G414" t="str">
        <f>_xlfn.XLOOKUP(tbl_FACTS[[#This Row],[CustomerID]],Πίνακας1[CustomerID],Πίνακας1[CustomerName])</f>
        <v>Ernst Handel</v>
      </c>
      <c r="H414" t="str">
        <f>_xlfn.XLOOKUP(tbl_FACTS[[#This Row],[CustomerID]],Πίνακας1[CustomerID],Πίνακας1[Country])</f>
        <v>Austria</v>
      </c>
      <c r="I414">
        <f>_xlfn.XLOOKUP(tbl_FACTS[[#This Row],[OrderID]],Πίνακας64[OrderID],Πίνακας64[EmployeeID])</f>
        <v>8</v>
      </c>
      <c r="J414">
        <f>_xlfn.XLOOKUP(tbl_FACTS[[#This Row],[OrderID]],Πίνακας64[OrderID],Πίνακας64[ShipperID])</f>
        <v>2</v>
      </c>
      <c r="K414" t="str">
        <f>_xlfn.XLOOKUP(tbl_FACTS[[#This Row],[ShipperID]],Πίνακας8[ShipperID],Πίνακας8[ShipperName])</f>
        <v>United Package</v>
      </c>
      <c r="L414" t="str">
        <f>_xlfn.XLOOKUP(tbl_FACTS[[#This Row],[ProductID]],Πίνακας7[ProductID],Πίνακας7[ProductName])</f>
        <v>Tunnbrod</v>
      </c>
      <c r="M414">
        <f>_xlfn.XLOOKUP(tbl_FACTS[[#This Row],[ProductID]],Πίνακας7[ProductID],Πίνακας7[CategoryID])</f>
        <v>5</v>
      </c>
      <c r="N414" t="str">
        <f>_xlfn.XLOOKUP(tbl_FACTS[[#This Row],[CategoryID]],Πίνακας4[CategoryID],Πίνακας4[CategoryName])</f>
        <v>Grains/Cereals</v>
      </c>
      <c r="O414">
        <f>_xlfn.XLOOKUP(tbl_FACTS[[#This Row],[ProductID]],Πίνακας7[ProductID],Πίνακας7[SupplierID])</f>
        <v>9</v>
      </c>
      <c r="P414" t="str">
        <f>_xlfn.XLOOKUP(tbl_FACTS[[#This Row],[SupplierID]],Πίνακας9[SupplierID],Πίνακας9[SupplierName])</f>
        <v>PB Knackebrod AB</v>
      </c>
      <c r="Q414" s="21">
        <f>_xlfn.XLOOKUP(tbl_FACTS[[#This Row],[ProductID]],Πίνακας7[ProductID],Πίνακας7[Price])</f>
        <v>9</v>
      </c>
      <c r="R414" s="21">
        <f>tbl_FACTS[[#This Row],[Quantity]]*tbl_FACTS[[#This Row],[Price]]</f>
        <v>540</v>
      </c>
      <c r="S414" s="19">
        <f>IF(COUNTIFS(tbl_FACTS[OrderID],tbl_FACTS[[#This Row],[OrderID]],tbl_FACTS[OrderDetailID],"&lt;"&amp;tbl_FACTS[[#This Row],[OrderDetailID]])=0,1,0)</f>
        <v>1</v>
      </c>
      <c r="T414" s="19">
        <f>YEAR(tbl_FACTS[[#This Row],[OrderDate]])</f>
        <v>1997</v>
      </c>
      <c r="U414" s="22">
        <f>DATE(YEAR(tbl_FACTS[[#This Row],[OrderDate]]),MONTH(tbl_FACTS[[#This Row],[OrderDate]]),1)</f>
        <v>35431</v>
      </c>
      <c r="V414" s="22" t="str">
        <f>IF(tbl_FACTS[[#This Row],[Quantity]]&lt;=10,"0–10",IF(tbl_FACTS[[#This Row],[Quantity]]&lt;=20,"11–20",IF(tbl_FACTS[[#This Row],[Quantity]]&lt;=30,"21–30",IF(tbl_FACTS[[#This Row],[Quantity]]&lt;=40,"31–40",IF(tbl_FACTS[[#This Row],[Quantity]]&lt;=50,"41–50","51+")))))</f>
        <v>51+</v>
      </c>
    </row>
    <row r="415" spans="1:22">
      <c r="A415">
        <v>414</v>
      </c>
      <c r="B415">
        <v>10402</v>
      </c>
      <c r="C415">
        <v>63</v>
      </c>
      <c r="D415" s="19">
        <v>65</v>
      </c>
      <c r="E415" s="20">
        <f>_xlfn.XLOOKUP(tbl_FACTS[[#This Row],[OrderID]],Πίνακας64[OrderID],Πίνακας64[OrderDate])</f>
        <v>35432</v>
      </c>
      <c r="F415">
        <f>_xlfn.XLOOKUP(tbl_FACTS[[#This Row],[OrderID]],Πίνακας64[OrderID],Πίνακας64[CustomerID])</f>
        <v>20</v>
      </c>
      <c r="G415" t="str">
        <f>_xlfn.XLOOKUP(tbl_FACTS[[#This Row],[CustomerID]],Πίνακας1[CustomerID],Πίνακας1[CustomerName])</f>
        <v>Ernst Handel</v>
      </c>
      <c r="H415" t="str">
        <f>_xlfn.XLOOKUP(tbl_FACTS[[#This Row],[CustomerID]],Πίνακας1[CustomerID],Πίνακας1[Country])</f>
        <v>Austria</v>
      </c>
      <c r="I415">
        <f>_xlfn.XLOOKUP(tbl_FACTS[[#This Row],[OrderID]],Πίνακας64[OrderID],Πίνακας64[EmployeeID])</f>
        <v>8</v>
      </c>
      <c r="J415">
        <f>_xlfn.XLOOKUP(tbl_FACTS[[#This Row],[OrderID]],Πίνακας64[OrderID],Πίνακας64[ShipperID])</f>
        <v>2</v>
      </c>
      <c r="K415" t="str">
        <f>_xlfn.XLOOKUP(tbl_FACTS[[#This Row],[ShipperID]],Πίνακας8[ShipperID],Πίνακας8[ShipperName])</f>
        <v>United Package</v>
      </c>
      <c r="L415" t="str">
        <f>_xlfn.XLOOKUP(tbl_FACTS[[#This Row],[ProductID]],Πίνακας7[ProductID],Πίνακας7[ProductName])</f>
        <v>Vegie-spread</v>
      </c>
      <c r="M415">
        <f>_xlfn.XLOOKUP(tbl_FACTS[[#This Row],[ProductID]],Πίνακας7[ProductID],Πίνακας7[CategoryID])</f>
        <v>2</v>
      </c>
      <c r="N415" t="str">
        <f>_xlfn.XLOOKUP(tbl_FACTS[[#This Row],[CategoryID]],Πίνακας4[CategoryID],Πίνακας4[CategoryName])</f>
        <v>Condiments</v>
      </c>
      <c r="O415">
        <f>_xlfn.XLOOKUP(tbl_FACTS[[#This Row],[ProductID]],Πίνακας7[ProductID],Πίνακας7[SupplierID])</f>
        <v>7</v>
      </c>
      <c r="P415" t="str">
        <f>_xlfn.XLOOKUP(tbl_FACTS[[#This Row],[SupplierID]],Πίνακας9[SupplierID],Πίνακας9[SupplierName])</f>
        <v>Pavlova, Ltd.</v>
      </c>
      <c r="Q415" s="21">
        <f>_xlfn.XLOOKUP(tbl_FACTS[[#This Row],[ProductID]],Πίνακας7[ProductID],Πίνακας7[Price])</f>
        <v>44</v>
      </c>
      <c r="R415" s="21">
        <f>tbl_FACTS[[#This Row],[Quantity]]*tbl_FACTS[[#This Row],[Price]]</f>
        <v>2860</v>
      </c>
      <c r="S415" s="19">
        <f>IF(COUNTIFS(tbl_FACTS[OrderID],tbl_FACTS[[#This Row],[OrderID]],tbl_FACTS[OrderDetailID],"&lt;"&amp;tbl_FACTS[[#This Row],[OrderDetailID]])=0,1,0)</f>
        <v>0</v>
      </c>
      <c r="T415" s="19">
        <f>YEAR(tbl_FACTS[[#This Row],[OrderDate]])</f>
        <v>1997</v>
      </c>
      <c r="U415" s="22">
        <f>DATE(YEAR(tbl_FACTS[[#This Row],[OrderDate]]),MONTH(tbl_FACTS[[#This Row],[OrderDate]]),1)</f>
        <v>35431</v>
      </c>
      <c r="V415" s="22" t="str">
        <f>IF(tbl_FACTS[[#This Row],[Quantity]]&lt;=10,"0–10",IF(tbl_FACTS[[#This Row],[Quantity]]&lt;=20,"11–20",IF(tbl_FACTS[[#This Row],[Quantity]]&lt;=30,"21–30",IF(tbl_FACTS[[#This Row],[Quantity]]&lt;=40,"31–40",IF(tbl_FACTS[[#This Row],[Quantity]]&lt;=50,"41–50","51+")))))</f>
        <v>51+</v>
      </c>
    </row>
    <row r="416" spans="1:22">
      <c r="A416">
        <v>415</v>
      </c>
      <c r="B416">
        <v>10403</v>
      </c>
      <c r="C416">
        <v>16</v>
      </c>
      <c r="D416" s="19">
        <v>21</v>
      </c>
      <c r="E416" s="20">
        <f>_xlfn.XLOOKUP(tbl_FACTS[[#This Row],[OrderID]],Πίνακας64[OrderID],Πίνακας64[OrderDate])</f>
        <v>35433</v>
      </c>
      <c r="F416">
        <f>_xlfn.XLOOKUP(tbl_FACTS[[#This Row],[OrderID]],Πίνακας64[OrderID],Πίνακας64[CustomerID])</f>
        <v>20</v>
      </c>
      <c r="G416" t="str">
        <f>_xlfn.XLOOKUP(tbl_FACTS[[#This Row],[CustomerID]],Πίνακας1[CustomerID],Πίνακας1[CustomerName])</f>
        <v>Ernst Handel</v>
      </c>
      <c r="H416" t="str">
        <f>_xlfn.XLOOKUP(tbl_FACTS[[#This Row],[CustomerID]],Πίνακας1[CustomerID],Πίνακας1[Country])</f>
        <v>Austria</v>
      </c>
      <c r="I416">
        <f>_xlfn.XLOOKUP(tbl_FACTS[[#This Row],[OrderID]],Πίνακας64[OrderID],Πίνακας64[EmployeeID])</f>
        <v>4</v>
      </c>
      <c r="J416">
        <f>_xlfn.XLOOKUP(tbl_FACTS[[#This Row],[OrderID]],Πίνακας64[OrderID],Πίνακας64[ShipperID])</f>
        <v>3</v>
      </c>
      <c r="K416" t="str">
        <f>_xlfn.XLOOKUP(tbl_FACTS[[#This Row],[ShipperID]],Πίνακας8[ShipperID],Πίνακας8[ShipperName])</f>
        <v>Federal Shipping</v>
      </c>
      <c r="L416" t="str">
        <f>_xlfn.XLOOKUP(tbl_FACTS[[#This Row],[ProductID]],Πίνακας7[ProductID],Πίνακας7[ProductName])</f>
        <v>Pavlova</v>
      </c>
      <c r="M416">
        <f>_xlfn.XLOOKUP(tbl_FACTS[[#This Row],[ProductID]],Πίνακας7[ProductID],Πίνακας7[CategoryID])</f>
        <v>3</v>
      </c>
      <c r="N416" t="str">
        <f>_xlfn.XLOOKUP(tbl_FACTS[[#This Row],[CategoryID]],Πίνακας4[CategoryID],Πίνακας4[CategoryName])</f>
        <v>Confections</v>
      </c>
      <c r="O416">
        <f>_xlfn.XLOOKUP(tbl_FACTS[[#This Row],[ProductID]],Πίνακας7[ProductID],Πίνακας7[SupplierID])</f>
        <v>7</v>
      </c>
      <c r="P416" t="str">
        <f>_xlfn.XLOOKUP(tbl_FACTS[[#This Row],[SupplierID]],Πίνακας9[SupplierID],Πίνακας9[SupplierName])</f>
        <v>Pavlova, Ltd.</v>
      </c>
      <c r="Q416" s="21">
        <f>_xlfn.XLOOKUP(tbl_FACTS[[#This Row],[ProductID]],Πίνακας7[ProductID],Πίνακας7[Price])</f>
        <v>17</v>
      </c>
      <c r="R416" s="21">
        <f>tbl_FACTS[[#This Row],[Quantity]]*tbl_FACTS[[#This Row],[Price]]</f>
        <v>357</v>
      </c>
      <c r="S416" s="19">
        <f>IF(COUNTIFS(tbl_FACTS[OrderID],tbl_FACTS[[#This Row],[OrderID]],tbl_FACTS[OrderDetailID],"&lt;"&amp;tbl_FACTS[[#This Row],[OrderDetailID]])=0,1,0)</f>
        <v>1</v>
      </c>
      <c r="T416" s="19">
        <f>YEAR(tbl_FACTS[[#This Row],[OrderDate]])</f>
        <v>1997</v>
      </c>
      <c r="U416" s="22">
        <f>DATE(YEAR(tbl_FACTS[[#This Row],[OrderDate]]),MONTH(tbl_FACTS[[#This Row],[OrderDate]]),1)</f>
        <v>35431</v>
      </c>
      <c r="V416" s="22" t="str">
        <f>IF(tbl_FACTS[[#This Row],[Quantity]]&lt;=10,"0–10",IF(tbl_FACTS[[#This Row],[Quantity]]&lt;=20,"11–20",IF(tbl_FACTS[[#This Row],[Quantity]]&lt;=30,"21–30",IF(tbl_FACTS[[#This Row],[Quantity]]&lt;=40,"31–40",IF(tbl_FACTS[[#This Row],[Quantity]]&lt;=50,"41–50","51+")))))</f>
        <v>21–30</v>
      </c>
    </row>
    <row r="417" spans="1:22">
      <c r="A417">
        <v>416</v>
      </c>
      <c r="B417">
        <v>10403</v>
      </c>
      <c r="C417">
        <v>48</v>
      </c>
      <c r="D417" s="19">
        <v>70</v>
      </c>
      <c r="E417" s="20">
        <f>_xlfn.XLOOKUP(tbl_FACTS[[#This Row],[OrderID]],Πίνακας64[OrderID],Πίνακας64[OrderDate])</f>
        <v>35433</v>
      </c>
      <c r="F417">
        <f>_xlfn.XLOOKUP(tbl_FACTS[[#This Row],[OrderID]],Πίνακας64[OrderID],Πίνακας64[CustomerID])</f>
        <v>20</v>
      </c>
      <c r="G417" t="str">
        <f>_xlfn.XLOOKUP(tbl_FACTS[[#This Row],[CustomerID]],Πίνακας1[CustomerID],Πίνακας1[CustomerName])</f>
        <v>Ernst Handel</v>
      </c>
      <c r="H417" t="str">
        <f>_xlfn.XLOOKUP(tbl_FACTS[[#This Row],[CustomerID]],Πίνακας1[CustomerID],Πίνακας1[Country])</f>
        <v>Austria</v>
      </c>
      <c r="I417">
        <f>_xlfn.XLOOKUP(tbl_FACTS[[#This Row],[OrderID]],Πίνακας64[OrderID],Πίνακας64[EmployeeID])</f>
        <v>4</v>
      </c>
      <c r="J417">
        <f>_xlfn.XLOOKUP(tbl_FACTS[[#This Row],[OrderID]],Πίνακας64[OrderID],Πίνακας64[ShipperID])</f>
        <v>3</v>
      </c>
      <c r="K417" t="str">
        <f>_xlfn.XLOOKUP(tbl_FACTS[[#This Row],[ShipperID]],Πίνακας8[ShipperID],Πίνακας8[ShipperName])</f>
        <v>Federal Shipping</v>
      </c>
      <c r="L417" t="str">
        <f>_xlfn.XLOOKUP(tbl_FACTS[[#This Row],[ProductID]],Πίνακας7[ProductID],Πίνακας7[ProductName])</f>
        <v>Chocolade</v>
      </c>
      <c r="M417">
        <f>_xlfn.XLOOKUP(tbl_FACTS[[#This Row],[ProductID]],Πίνακας7[ProductID],Πίνακας7[CategoryID])</f>
        <v>3</v>
      </c>
      <c r="N417" t="str">
        <f>_xlfn.XLOOKUP(tbl_FACTS[[#This Row],[CategoryID]],Πίνακας4[CategoryID],Πίνακας4[CategoryName])</f>
        <v>Confections</v>
      </c>
      <c r="O417">
        <f>_xlfn.XLOOKUP(tbl_FACTS[[#This Row],[ProductID]],Πίνακας7[ProductID],Πίνακας7[SupplierID])</f>
        <v>22</v>
      </c>
      <c r="P417" t="str">
        <f>_xlfn.XLOOKUP(tbl_FACTS[[#This Row],[SupplierID]],Πίνακας9[SupplierID],Πίνακας9[SupplierName])</f>
        <v>Zaanse Snoepfabriek</v>
      </c>
      <c r="Q417" s="21">
        <f>_xlfn.XLOOKUP(tbl_FACTS[[#This Row],[ProductID]],Πίνακας7[ProductID],Πίνακας7[Price])</f>
        <v>13</v>
      </c>
      <c r="R417" s="21">
        <f>tbl_FACTS[[#This Row],[Quantity]]*tbl_FACTS[[#This Row],[Price]]</f>
        <v>910</v>
      </c>
      <c r="S417" s="19">
        <f>IF(COUNTIFS(tbl_FACTS[OrderID],tbl_FACTS[[#This Row],[OrderID]],tbl_FACTS[OrderDetailID],"&lt;"&amp;tbl_FACTS[[#This Row],[OrderDetailID]])=0,1,0)</f>
        <v>0</v>
      </c>
      <c r="T417" s="19">
        <f>YEAR(tbl_FACTS[[#This Row],[OrderDate]])</f>
        <v>1997</v>
      </c>
      <c r="U417" s="22">
        <f>DATE(YEAR(tbl_FACTS[[#This Row],[OrderDate]]),MONTH(tbl_FACTS[[#This Row],[OrderDate]]),1)</f>
        <v>35431</v>
      </c>
      <c r="V417" s="22" t="str">
        <f>IF(tbl_FACTS[[#This Row],[Quantity]]&lt;=10,"0–10",IF(tbl_FACTS[[#This Row],[Quantity]]&lt;=20,"11–20",IF(tbl_FACTS[[#This Row],[Quantity]]&lt;=30,"21–30",IF(tbl_FACTS[[#This Row],[Quantity]]&lt;=40,"31–40",IF(tbl_FACTS[[#This Row],[Quantity]]&lt;=50,"41–50","51+")))))</f>
        <v>51+</v>
      </c>
    </row>
    <row r="418" spans="1:22">
      <c r="A418">
        <v>417</v>
      </c>
      <c r="B418">
        <v>10404</v>
      </c>
      <c r="C418">
        <v>26</v>
      </c>
      <c r="D418" s="19">
        <v>30</v>
      </c>
      <c r="E418" s="20">
        <f>_xlfn.XLOOKUP(tbl_FACTS[[#This Row],[OrderID]],Πίνακας64[OrderID],Πίνακας64[OrderDate])</f>
        <v>35433</v>
      </c>
      <c r="F418">
        <f>_xlfn.XLOOKUP(tbl_FACTS[[#This Row],[OrderID]],Πίνακας64[OrderID],Πίνακας64[CustomerID])</f>
        <v>49</v>
      </c>
      <c r="G418" t="str">
        <f>_xlfn.XLOOKUP(tbl_FACTS[[#This Row],[CustomerID]],Πίνακας1[CustomerID],Πίνακας1[CustomerName])</f>
        <v>Magazzini Alimentari Riuniti</v>
      </c>
      <c r="H418" t="str">
        <f>_xlfn.XLOOKUP(tbl_FACTS[[#This Row],[CustomerID]],Πίνακας1[CustomerID],Πίνακας1[Country])</f>
        <v>Italy</v>
      </c>
      <c r="I418">
        <f>_xlfn.XLOOKUP(tbl_FACTS[[#This Row],[OrderID]],Πίνακας64[OrderID],Πίνακας64[EmployeeID])</f>
        <v>2</v>
      </c>
      <c r="J418">
        <f>_xlfn.XLOOKUP(tbl_FACTS[[#This Row],[OrderID]],Πίνακας64[OrderID],Πίνακας64[ShipperID])</f>
        <v>1</v>
      </c>
      <c r="K418" t="str">
        <f>_xlfn.XLOOKUP(tbl_FACTS[[#This Row],[ShipperID]],Πίνακας8[ShipperID],Πίνακας8[ShipperName])</f>
        <v>Speedy Express</v>
      </c>
      <c r="L418" t="str">
        <f>_xlfn.XLOOKUP(tbl_FACTS[[#This Row],[ProductID]],Πίνακας7[ProductID],Πίνακας7[ProductName])</f>
        <v>Gumbar Gummibarchen</v>
      </c>
      <c r="M418">
        <f>_xlfn.XLOOKUP(tbl_FACTS[[#This Row],[ProductID]],Πίνακας7[ProductID],Πίνακας7[CategoryID])</f>
        <v>3</v>
      </c>
      <c r="N418" t="str">
        <f>_xlfn.XLOOKUP(tbl_FACTS[[#This Row],[CategoryID]],Πίνακας4[CategoryID],Πίνακας4[CategoryName])</f>
        <v>Confections</v>
      </c>
      <c r="O418">
        <f>_xlfn.XLOOKUP(tbl_FACTS[[#This Row],[ProductID]],Πίνακας7[ProductID],Πίνακας7[SupplierID])</f>
        <v>11</v>
      </c>
      <c r="P418" t="str">
        <f>_xlfn.XLOOKUP(tbl_FACTS[[#This Row],[SupplierID]],Πίνακας9[SupplierID],Πίνακας9[SupplierName])</f>
        <v>Heli Su├ƒwaren GmbH &amp; Co. KG</v>
      </c>
      <c r="Q418" s="21">
        <f>_xlfn.XLOOKUP(tbl_FACTS[[#This Row],[ProductID]],Πίνακας7[ProductID],Πίνακας7[Price])</f>
        <v>31</v>
      </c>
      <c r="R418" s="21">
        <f>tbl_FACTS[[#This Row],[Quantity]]*tbl_FACTS[[#This Row],[Price]]</f>
        <v>930</v>
      </c>
      <c r="S418" s="19">
        <f>IF(COUNTIFS(tbl_FACTS[OrderID],tbl_FACTS[[#This Row],[OrderID]],tbl_FACTS[OrderDetailID],"&lt;"&amp;tbl_FACTS[[#This Row],[OrderDetailID]])=0,1,0)</f>
        <v>1</v>
      </c>
      <c r="T418" s="19">
        <f>YEAR(tbl_FACTS[[#This Row],[OrderDate]])</f>
        <v>1997</v>
      </c>
      <c r="U418" s="22">
        <f>DATE(YEAR(tbl_FACTS[[#This Row],[OrderDate]]),MONTH(tbl_FACTS[[#This Row],[OrderDate]]),1)</f>
        <v>35431</v>
      </c>
      <c r="V418" s="22" t="str">
        <f>IF(tbl_FACTS[[#This Row],[Quantity]]&lt;=10,"0–10",IF(tbl_FACTS[[#This Row],[Quantity]]&lt;=20,"11–20",IF(tbl_FACTS[[#This Row],[Quantity]]&lt;=30,"21–30",IF(tbl_FACTS[[#This Row],[Quantity]]&lt;=40,"31–40",IF(tbl_FACTS[[#This Row],[Quantity]]&lt;=50,"41–50","51+")))))</f>
        <v>21–30</v>
      </c>
    </row>
    <row r="419" spans="1:22">
      <c r="A419">
        <v>418</v>
      </c>
      <c r="B419">
        <v>10404</v>
      </c>
      <c r="C419">
        <v>42</v>
      </c>
      <c r="D419" s="19">
        <v>40</v>
      </c>
      <c r="E419" s="20">
        <f>_xlfn.XLOOKUP(tbl_FACTS[[#This Row],[OrderID]],Πίνακας64[OrderID],Πίνακας64[OrderDate])</f>
        <v>35433</v>
      </c>
      <c r="F419">
        <f>_xlfn.XLOOKUP(tbl_FACTS[[#This Row],[OrderID]],Πίνακας64[OrderID],Πίνακας64[CustomerID])</f>
        <v>49</v>
      </c>
      <c r="G419" t="str">
        <f>_xlfn.XLOOKUP(tbl_FACTS[[#This Row],[CustomerID]],Πίνακας1[CustomerID],Πίνακας1[CustomerName])</f>
        <v>Magazzini Alimentari Riuniti</v>
      </c>
      <c r="H419" t="str">
        <f>_xlfn.XLOOKUP(tbl_FACTS[[#This Row],[CustomerID]],Πίνακας1[CustomerID],Πίνακας1[Country])</f>
        <v>Italy</v>
      </c>
      <c r="I419">
        <f>_xlfn.XLOOKUP(tbl_FACTS[[#This Row],[OrderID]],Πίνακας64[OrderID],Πίνακας64[EmployeeID])</f>
        <v>2</v>
      </c>
      <c r="J419">
        <f>_xlfn.XLOOKUP(tbl_FACTS[[#This Row],[OrderID]],Πίνακας64[OrderID],Πίνακας64[ShipperID])</f>
        <v>1</v>
      </c>
      <c r="K419" t="str">
        <f>_xlfn.XLOOKUP(tbl_FACTS[[#This Row],[ShipperID]],Πίνακας8[ShipperID],Πίνακας8[ShipperName])</f>
        <v>Speedy Express</v>
      </c>
      <c r="L419" t="str">
        <f>_xlfn.XLOOKUP(tbl_FACTS[[#This Row],[ProductID]],Πίνακας7[ProductID],Πίνακας7[ProductName])</f>
        <v>Singaporean Hokkien Fried Mee</v>
      </c>
      <c r="M419">
        <f>_xlfn.XLOOKUP(tbl_FACTS[[#This Row],[ProductID]],Πίνακας7[ProductID],Πίνακας7[CategoryID])</f>
        <v>5</v>
      </c>
      <c r="N419" t="str">
        <f>_xlfn.XLOOKUP(tbl_FACTS[[#This Row],[CategoryID]],Πίνακας4[CategoryID],Πίνακας4[CategoryName])</f>
        <v>Grains/Cereals</v>
      </c>
      <c r="O419">
        <f>_xlfn.XLOOKUP(tbl_FACTS[[#This Row],[ProductID]],Πίνακας7[ProductID],Πίνακας7[SupplierID])</f>
        <v>20</v>
      </c>
      <c r="P419" t="str">
        <f>_xlfn.XLOOKUP(tbl_FACTS[[#This Row],[SupplierID]],Πίνακας9[SupplierID],Πίνακας9[SupplierName])</f>
        <v>Leka Trading</v>
      </c>
      <c r="Q419" s="21">
        <f>_xlfn.XLOOKUP(tbl_FACTS[[#This Row],[ProductID]],Πίνακας7[ProductID],Πίνακας7[Price])</f>
        <v>14</v>
      </c>
      <c r="R419" s="21">
        <f>tbl_FACTS[[#This Row],[Quantity]]*tbl_FACTS[[#This Row],[Price]]</f>
        <v>560</v>
      </c>
      <c r="S419" s="19">
        <f>IF(COUNTIFS(tbl_FACTS[OrderID],tbl_FACTS[[#This Row],[OrderID]],tbl_FACTS[OrderDetailID],"&lt;"&amp;tbl_FACTS[[#This Row],[OrderDetailID]])=0,1,0)</f>
        <v>0</v>
      </c>
      <c r="T419" s="19">
        <f>YEAR(tbl_FACTS[[#This Row],[OrderDate]])</f>
        <v>1997</v>
      </c>
      <c r="U419" s="22">
        <f>DATE(YEAR(tbl_FACTS[[#This Row],[OrderDate]]),MONTH(tbl_FACTS[[#This Row],[OrderDate]]),1)</f>
        <v>35431</v>
      </c>
      <c r="V419" s="22" t="str">
        <f>IF(tbl_FACTS[[#This Row],[Quantity]]&lt;=10,"0–10",IF(tbl_FACTS[[#This Row],[Quantity]]&lt;=20,"11–20",IF(tbl_FACTS[[#This Row],[Quantity]]&lt;=30,"21–30",IF(tbl_FACTS[[#This Row],[Quantity]]&lt;=40,"31–40",IF(tbl_FACTS[[#This Row],[Quantity]]&lt;=50,"41–50","51+")))))</f>
        <v>31–40</v>
      </c>
    </row>
    <row r="420" spans="1:22">
      <c r="A420">
        <v>419</v>
      </c>
      <c r="B420">
        <v>10404</v>
      </c>
      <c r="C420">
        <v>49</v>
      </c>
      <c r="D420" s="19">
        <v>30</v>
      </c>
      <c r="E420" s="20">
        <f>_xlfn.XLOOKUP(tbl_FACTS[[#This Row],[OrderID]],Πίνακας64[OrderID],Πίνακας64[OrderDate])</f>
        <v>35433</v>
      </c>
      <c r="F420">
        <f>_xlfn.XLOOKUP(tbl_FACTS[[#This Row],[OrderID]],Πίνακας64[OrderID],Πίνακας64[CustomerID])</f>
        <v>49</v>
      </c>
      <c r="G420" t="str">
        <f>_xlfn.XLOOKUP(tbl_FACTS[[#This Row],[CustomerID]],Πίνακας1[CustomerID],Πίνακας1[CustomerName])</f>
        <v>Magazzini Alimentari Riuniti</v>
      </c>
      <c r="H420" t="str">
        <f>_xlfn.XLOOKUP(tbl_FACTS[[#This Row],[CustomerID]],Πίνακας1[CustomerID],Πίνακας1[Country])</f>
        <v>Italy</v>
      </c>
      <c r="I420">
        <f>_xlfn.XLOOKUP(tbl_FACTS[[#This Row],[OrderID]],Πίνακας64[OrderID],Πίνακας64[EmployeeID])</f>
        <v>2</v>
      </c>
      <c r="J420">
        <f>_xlfn.XLOOKUP(tbl_FACTS[[#This Row],[OrderID]],Πίνακας64[OrderID],Πίνακας64[ShipperID])</f>
        <v>1</v>
      </c>
      <c r="K420" t="str">
        <f>_xlfn.XLOOKUP(tbl_FACTS[[#This Row],[ShipperID]],Πίνακας8[ShipperID],Πίνακας8[ShipperName])</f>
        <v>Speedy Express</v>
      </c>
      <c r="L420" t="str">
        <f>_xlfn.XLOOKUP(tbl_FACTS[[#This Row],[ProductID]],Πίνακας7[ProductID],Πίνακας7[ProductName])</f>
        <v>Maxilaku</v>
      </c>
      <c r="M420">
        <f>_xlfn.XLOOKUP(tbl_FACTS[[#This Row],[ProductID]],Πίνακας7[ProductID],Πίνακας7[CategoryID])</f>
        <v>3</v>
      </c>
      <c r="N420" t="str">
        <f>_xlfn.XLOOKUP(tbl_FACTS[[#This Row],[CategoryID]],Πίνακας4[CategoryID],Πίνακας4[CategoryName])</f>
        <v>Confections</v>
      </c>
      <c r="O420">
        <f>_xlfn.XLOOKUP(tbl_FACTS[[#This Row],[ProductID]],Πίνακας7[ProductID],Πίνακας7[SupplierID])</f>
        <v>23</v>
      </c>
      <c r="P420" t="str">
        <f>_xlfn.XLOOKUP(tbl_FACTS[[#This Row],[SupplierID]],Πίνακας9[SupplierID],Πίνακας9[SupplierName])</f>
        <v>Karkki Oy</v>
      </c>
      <c r="Q420" s="21">
        <f>_xlfn.XLOOKUP(tbl_FACTS[[#This Row],[ProductID]],Πίνακας7[ProductID],Πίνακας7[Price])</f>
        <v>20</v>
      </c>
      <c r="R420" s="21">
        <f>tbl_FACTS[[#This Row],[Quantity]]*tbl_FACTS[[#This Row],[Price]]</f>
        <v>600</v>
      </c>
      <c r="S420" s="19">
        <f>IF(COUNTIFS(tbl_FACTS[OrderID],tbl_FACTS[[#This Row],[OrderID]],tbl_FACTS[OrderDetailID],"&lt;"&amp;tbl_FACTS[[#This Row],[OrderDetailID]])=0,1,0)</f>
        <v>0</v>
      </c>
      <c r="T420" s="19">
        <f>YEAR(tbl_FACTS[[#This Row],[OrderDate]])</f>
        <v>1997</v>
      </c>
      <c r="U420" s="22">
        <f>DATE(YEAR(tbl_FACTS[[#This Row],[OrderDate]]),MONTH(tbl_FACTS[[#This Row],[OrderDate]]),1)</f>
        <v>35431</v>
      </c>
      <c r="V420" s="22" t="str">
        <f>IF(tbl_FACTS[[#This Row],[Quantity]]&lt;=10,"0–10",IF(tbl_FACTS[[#This Row],[Quantity]]&lt;=20,"11–20",IF(tbl_FACTS[[#This Row],[Quantity]]&lt;=30,"21–30",IF(tbl_FACTS[[#This Row],[Quantity]]&lt;=40,"31–40",IF(tbl_FACTS[[#This Row],[Quantity]]&lt;=50,"41–50","51+")))))</f>
        <v>21–30</v>
      </c>
    </row>
    <row r="421" spans="1:22">
      <c r="A421">
        <v>420</v>
      </c>
      <c r="B421">
        <v>10405</v>
      </c>
      <c r="C421">
        <v>3</v>
      </c>
      <c r="D421" s="19">
        <v>50</v>
      </c>
      <c r="E421" s="20">
        <f>_xlfn.XLOOKUP(tbl_FACTS[[#This Row],[OrderID]],Πίνακας64[OrderID],Πίνακας64[OrderDate])</f>
        <v>35436</v>
      </c>
      <c r="F421">
        <f>_xlfn.XLOOKUP(tbl_FACTS[[#This Row],[OrderID]],Πίνακας64[OrderID],Πίνακας64[CustomerID])</f>
        <v>47</v>
      </c>
      <c r="G421" t="str">
        <f>_xlfn.XLOOKUP(tbl_FACTS[[#This Row],[CustomerID]],Πίνακας1[CustomerID],Πίνακας1[CustomerName])</f>
        <v>LINO-Delicateses</v>
      </c>
      <c r="H421" t="str">
        <f>_xlfn.XLOOKUP(tbl_FACTS[[#This Row],[CustomerID]],Πίνακας1[CustomerID],Πίνακας1[Country])</f>
        <v>Venezuela</v>
      </c>
      <c r="I421">
        <f>_xlfn.XLOOKUP(tbl_FACTS[[#This Row],[OrderID]],Πίνακας64[OrderID],Πίνακας64[EmployeeID])</f>
        <v>1</v>
      </c>
      <c r="J421">
        <f>_xlfn.XLOOKUP(tbl_FACTS[[#This Row],[OrderID]],Πίνακας64[OrderID],Πίνακας64[ShipperID])</f>
        <v>1</v>
      </c>
      <c r="K421" t="str">
        <f>_xlfn.XLOOKUP(tbl_FACTS[[#This Row],[ShipperID]],Πίνακας8[ShipperID],Πίνακας8[ShipperName])</f>
        <v>Speedy Express</v>
      </c>
      <c r="L421" t="str">
        <f>_xlfn.XLOOKUP(tbl_FACTS[[#This Row],[ProductID]],Πίνακας7[ProductID],Πίνακας7[ProductName])</f>
        <v>Aniseed Syrup</v>
      </c>
      <c r="M421">
        <f>_xlfn.XLOOKUP(tbl_FACTS[[#This Row],[ProductID]],Πίνακας7[ProductID],Πίνακας7[CategoryID])</f>
        <v>2</v>
      </c>
      <c r="N421" t="str">
        <f>_xlfn.XLOOKUP(tbl_FACTS[[#This Row],[CategoryID]],Πίνακας4[CategoryID],Πίνακας4[CategoryName])</f>
        <v>Condiments</v>
      </c>
      <c r="O421">
        <f>_xlfn.XLOOKUP(tbl_FACTS[[#This Row],[ProductID]],Πίνακας7[ProductID],Πίνακας7[SupplierID])</f>
        <v>1</v>
      </c>
      <c r="P421" t="str">
        <f>_xlfn.XLOOKUP(tbl_FACTS[[#This Row],[SupplierID]],Πίνακας9[SupplierID],Πίνακας9[SupplierName])</f>
        <v>Exotic Liquid</v>
      </c>
      <c r="Q421" s="21">
        <f>_xlfn.XLOOKUP(tbl_FACTS[[#This Row],[ProductID]],Πίνακας7[ProductID],Πίνακας7[Price])</f>
        <v>10</v>
      </c>
      <c r="R421" s="21">
        <f>tbl_FACTS[[#This Row],[Quantity]]*tbl_FACTS[[#This Row],[Price]]</f>
        <v>500</v>
      </c>
      <c r="S421" s="19">
        <f>IF(COUNTIFS(tbl_FACTS[OrderID],tbl_FACTS[[#This Row],[OrderID]],tbl_FACTS[OrderDetailID],"&lt;"&amp;tbl_FACTS[[#This Row],[OrderDetailID]])=0,1,0)</f>
        <v>1</v>
      </c>
      <c r="T421" s="19">
        <f>YEAR(tbl_FACTS[[#This Row],[OrderDate]])</f>
        <v>1997</v>
      </c>
      <c r="U421" s="22">
        <f>DATE(YEAR(tbl_FACTS[[#This Row],[OrderDate]]),MONTH(tbl_FACTS[[#This Row],[OrderDate]]),1)</f>
        <v>35431</v>
      </c>
      <c r="V421" s="22" t="str">
        <f>IF(tbl_FACTS[[#This Row],[Quantity]]&lt;=10,"0–10",IF(tbl_FACTS[[#This Row],[Quantity]]&lt;=20,"11–20",IF(tbl_FACTS[[#This Row],[Quantity]]&lt;=30,"21–30",IF(tbl_FACTS[[#This Row],[Quantity]]&lt;=40,"31–40",IF(tbl_FACTS[[#This Row],[Quantity]]&lt;=50,"41–50","51+")))))</f>
        <v>41–50</v>
      </c>
    </row>
    <row r="422" spans="1:22">
      <c r="A422">
        <v>421</v>
      </c>
      <c r="B422">
        <v>10406</v>
      </c>
      <c r="C422">
        <v>1</v>
      </c>
      <c r="D422" s="19">
        <v>10</v>
      </c>
      <c r="E422" s="20">
        <f>_xlfn.XLOOKUP(tbl_FACTS[[#This Row],[OrderID]],Πίνακας64[OrderID],Πίνακας64[OrderDate])</f>
        <v>35437</v>
      </c>
      <c r="F422">
        <f>_xlfn.XLOOKUP(tbl_FACTS[[#This Row],[OrderID]],Πίνακας64[OrderID],Πίνακας64[CustomerID])</f>
        <v>62</v>
      </c>
      <c r="G422" t="str">
        <f>_xlfn.XLOOKUP(tbl_FACTS[[#This Row],[CustomerID]],Πίνακας1[CustomerID],Πίνακας1[CustomerName])</f>
        <v>Queen Cozinha</v>
      </c>
      <c r="H422" t="str">
        <f>_xlfn.XLOOKUP(tbl_FACTS[[#This Row],[CustomerID]],Πίνακας1[CustomerID],Πίνακας1[Country])</f>
        <v>Brazil</v>
      </c>
      <c r="I422">
        <f>_xlfn.XLOOKUP(tbl_FACTS[[#This Row],[OrderID]],Πίνακας64[OrderID],Πίνακας64[EmployeeID])</f>
        <v>7</v>
      </c>
      <c r="J422">
        <f>_xlfn.XLOOKUP(tbl_FACTS[[#This Row],[OrderID]],Πίνακας64[OrderID],Πίνακας64[ShipperID])</f>
        <v>1</v>
      </c>
      <c r="K422" t="str">
        <f>_xlfn.XLOOKUP(tbl_FACTS[[#This Row],[ShipperID]],Πίνακας8[ShipperID],Πίνακας8[ShipperName])</f>
        <v>Speedy Express</v>
      </c>
      <c r="L422" t="str">
        <f>_xlfn.XLOOKUP(tbl_FACTS[[#This Row],[ProductID]],Πίνακας7[ProductID],Πίνακας7[ProductName])</f>
        <v>Chais</v>
      </c>
      <c r="M422">
        <f>_xlfn.XLOOKUP(tbl_FACTS[[#This Row],[ProductID]],Πίνακας7[ProductID],Πίνακας7[CategoryID])</f>
        <v>1</v>
      </c>
      <c r="N422" t="str">
        <f>_xlfn.XLOOKUP(tbl_FACTS[[#This Row],[CategoryID]],Πίνακας4[CategoryID],Πίνακας4[CategoryName])</f>
        <v>Beverages</v>
      </c>
      <c r="O422">
        <f>_xlfn.XLOOKUP(tbl_FACTS[[#This Row],[ProductID]],Πίνακας7[ProductID],Πίνακας7[SupplierID])</f>
        <v>1</v>
      </c>
      <c r="P422" t="str">
        <f>_xlfn.XLOOKUP(tbl_FACTS[[#This Row],[SupplierID]],Πίνακας9[SupplierID],Πίνακας9[SupplierName])</f>
        <v>Exotic Liquid</v>
      </c>
      <c r="Q422" s="21">
        <f>_xlfn.XLOOKUP(tbl_FACTS[[#This Row],[ProductID]],Πίνακας7[ProductID],Πίνακας7[Price])</f>
        <v>18</v>
      </c>
      <c r="R422" s="21">
        <f>tbl_FACTS[[#This Row],[Quantity]]*tbl_FACTS[[#This Row],[Price]]</f>
        <v>180</v>
      </c>
      <c r="S422" s="19">
        <f>IF(COUNTIFS(tbl_FACTS[OrderID],tbl_FACTS[[#This Row],[OrderID]],tbl_FACTS[OrderDetailID],"&lt;"&amp;tbl_FACTS[[#This Row],[OrderDetailID]])=0,1,0)</f>
        <v>1</v>
      </c>
      <c r="T422" s="19">
        <f>YEAR(tbl_FACTS[[#This Row],[OrderDate]])</f>
        <v>1997</v>
      </c>
      <c r="U422" s="22">
        <f>DATE(YEAR(tbl_FACTS[[#This Row],[OrderDate]]),MONTH(tbl_FACTS[[#This Row],[OrderDate]]),1)</f>
        <v>35431</v>
      </c>
      <c r="V422" s="22" t="str">
        <f>IF(tbl_FACTS[[#This Row],[Quantity]]&lt;=10,"0–10",IF(tbl_FACTS[[#This Row],[Quantity]]&lt;=20,"11–20",IF(tbl_FACTS[[#This Row],[Quantity]]&lt;=30,"21–30",IF(tbl_FACTS[[#This Row],[Quantity]]&lt;=40,"31–40",IF(tbl_FACTS[[#This Row],[Quantity]]&lt;=50,"41–50","51+")))))</f>
        <v>0–10</v>
      </c>
    </row>
    <row r="423" spans="1:22">
      <c r="A423">
        <v>422</v>
      </c>
      <c r="B423">
        <v>10406</v>
      </c>
      <c r="C423">
        <v>21</v>
      </c>
      <c r="D423" s="19">
        <v>30</v>
      </c>
      <c r="E423" s="20">
        <f>_xlfn.XLOOKUP(tbl_FACTS[[#This Row],[OrderID]],Πίνακας64[OrderID],Πίνακας64[OrderDate])</f>
        <v>35437</v>
      </c>
      <c r="F423">
        <f>_xlfn.XLOOKUP(tbl_FACTS[[#This Row],[OrderID]],Πίνακας64[OrderID],Πίνακας64[CustomerID])</f>
        <v>62</v>
      </c>
      <c r="G423" t="str">
        <f>_xlfn.XLOOKUP(tbl_FACTS[[#This Row],[CustomerID]],Πίνακας1[CustomerID],Πίνακας1[CustomerName])</f>
        <v>Queen Cozinha</v>
      </c>
      <c r="H423" t="str">
        <f>_xlfn.XLOOKUP(tbl_FACTS[[#This Row],[CustomerID]],Πίνακας1[CustomerID],Πίνακας1[Country])</f>
        <v>Brazil</v>
      </c>
      <c r="I423">
        <f>_xlfn.XLOOKUP(tbl_FACTS[[#This Row],[OrderID]],Πίνακας64[OrderID],Πίνακας64[EmployeeID])</f>
        <v>7</v>
      </c>
      <c r="J423">
        <f>_xlfn.XLOOKUP(tbl_FACTS[[#This Row],[OrderID]],Πίνακας64[OrderID],Πίνακας64[ShipperID])</f>
        <v>1</v>
      </c>
      <c r="K423" t="str">
        <f>_xlfn.XLOOKUP(tbl_FACTS[[#This Row],[ShipperID]],Πίνακας8[ShipperID],Πίνακας8[ShipperName])</f>
        <v>Speedy Express</v>
      </c>
      <c r="L423" t="str">
        <f>_xlfn.XLOOKUP(tbl_FACTS[[#This Row],[ProductID]],Πίνακας7[ProductID],Πίνακας7[ProductName])</f>
        <v>Sir Rodney's Scones</v>
      </c>
      <c r="M423">
        <f>_xlfn.XLOOKUP(tbl_FACTS[[#This Row],[ProductID]],Πίνακας7[ProductID],Πίνακας7[CategoryID])</f>
        <v>3</v>
      </c>
      <c r="N423" t="str">
        <f>_xlfn.XLOOKUP(tbl_FACTS[[#This Row],[CategoryID]],Πίνακας4[CategoryID],Πίνακας4[CategoryName])</f>
        <v>Confections</v>
      </c>
      <c r="O423">
        <f>_xlfn.XLOOKUP(tbl_FACTS[[#This Row],[ProductID]],Πίνακας7[ProductID],Πίνακας7[SupplierID])</f>
        <v>8</v>
      </c>
      <c r="P423" t="str">
        <f>_xlfn.XLOOKUP(tbl_FACTS[[#This Row],[SupplierID]],Πίνακας9[SupplierID],Πίνακας9[SupplierName])</f>
        <v>Specialty Biscuits, Ltd.</v>
      </c>
      <c r="Q423" s="21">
        <f>_xlfn.XLOOKUP(tbl_FACTS[[#This Row],[ProductID]],Πίνακας7[ProductID],Πίνακας7[Price])</f>
        <v>10</v>
      </c>
      <c r="R423" s="21">
        <f>tbl_FACTS[[#This Row],[Quantity]]*tbl_FACTS[[#This Row],[Price]]</f>
        <v>300</v>
      </c>
      <c r="S423" s="19">
        <f>IF(COUNTIFS(tbl_FACTS[OrderID],tbl_FACTS[[#This Row],[OrderID]],tbl_FACTS[OrderDetailID],"&lt;"&amp;tbl_FACTS[[#This Row],[OrderDetailID]])=0,1,0)</f>
        <v>0</v>
      </c>
      <c r="T423" s="19">
        <f>YEAR(tbl_FACTS[[#This Row],[OrderDate]])</f>
        <v>1997</v>
      </c>
      <c r="U423" s="22">
        <f>DATE(YEAR(tbl_FACTS[[#This Row],[OrderDate]]),MONTH(tbl_FACTS[[#This Row],[OrderDate]]),1)</f>
        <v>35431</v>
      </c>
      <c r="V423" s="22" t="str">
        <f>IF(tbl_FACTS[[#This Row],[Quantity]]&lt;=10,"0–10",IF(tbl_FACTS[[#This Row],[Quantity]]&lt;=20,"11–20",IF(tbl_FACTS[[#This Row],[Quantity]]&lt;=30,"21–30",IF(tbl_FACTS[[#This Row],[Quantity]]&lt;=40,"31–40",IF(tbl_FACTS[[#This Row],[Quantity]]&lt;=50,"41–50","51+")))))</f>
        <v>21–30</v>
      </c>
    </row>
    <row r="424" spans="1:22">
      <c r="A424">
        <v>423</v>
      </c>
      <c r="B424">
        <v>10406</v>
      </c>
      <c r="C424">
        <v>28</v>
      </c>
      <c r="D424" s="19">
        <v>42</v>
      </c>
      <c r="E424" s="20">
        <f>_xlfn.XLOOKUP(tbl_FACTS[[#This Row],[OrderID]],Πίνακας64[OrderID],Πίνακας64[OrderDate])</f>
        <v>35437</v>
      </c>
      <c r="F424">
        <f>_xlfn.XLOOKUP(tbl_FACTS[[#This Row],[OrderID]],Πίνακας64[OrderID],Πίνακας64[CustomerID])</f>
        <v>62</v>
      </c>
      <c r="G424" t="str">
        <f>_xlfn.XLOOKUP(tbl_FACTS[[#This Row],[CustomerID]],Πίνακας1[CustomerID],Πίνακας1[CustomerName])</f>
        <v>Queen Cozinha</v>
      </c>
      <c r="H424" t="str">
        <f>_xlfn.XLOOKUP(tbl_FACTS[[#This Row],[CustomerID]],Πίνακας1[CustomerID],Πίνακας1[Country])</f>
        <v>Brazil</v>
      </c>
      <c r="I424">
        <f>_xlfn.XLOOKUP(tbl_FACTS[[#This Row],[OrderID]],Πίνακας64[OrderID],Πίνακας64[EmployeeID])</f>
        <v>7</v>
      </c>
      <c r="J424">
        <f>_xlfn.XLOOKUP(tbl_FACTS[[#This Row],[OrderID]],Πίνακας64[OrderID],Πίνακας64[ShipperID])</f>
        <v>1</v>
      </c>
      <c r="K424" t="str">
        <f>_xlfn.XLOOKUP(tbl_FACTS[[#This Row],[ShipperID]],Πίνακας8[ShipperID],Πίνακας8[ShipperName])</f>
        <v>Speedy Express</v>
      </c>
      <c r="L424" t="str">
        <f>_xlfn.XLOOKUP(tbl_FACTS[[#This Row],[ProductID]],Πίνακας7[ProductID],Πίνακας7[ProductName])</f>
        <v>Rossle Sauerkraut</v>
      </c>
      <c r="M424">
        <f>_xlfn.XLOOKUP(tbl_FACTS[[#This Row],[ProductID]],Πίνακας7[ProductID],Πίνακας7[CategoryID])</f>
        <v>7</v>
      </c>
      <c r="N424" t="str">
        <f>_xlfn.XLOOKUP(tbl_FACTS[[#This Row],[CategoryID]],Πίνακας4[CategoryID],Πίνακας4[CategoryName])</f>
        <v>Produce</v>
      </c>
      <c r="O424">
        <f>_xlfn.XLOOKUP(tbl_FACTS[[#This Row],[ProductID]],Πίνακας7[ProductID],Πίνακας7[SupplierID])</f>
        <v>12</v>
      </c>
      <c r="P424" t="str">
        <f>_xlfn.XLOOKUP(tbl_FACTS[[#This Row],[SupplierID]],Πίνακας9[SupplierID],Πίνακας9[SupplierName])</f>
        <v>Plutzer Lebensmittelgro├ƒmarkte AG</v>
      </c>
      <c r="Q424" s="21">
        <f>_xlfn.XLOOKUP(tbl_FACTS[[#This Row],[ProductID]],Πίνακας7[ProductID],Πίνακας7[Price])</f>
        <v>46</v>
      </c>
      <c r="R424" s="21">
        <f>tbl_FACTS[[#This Row],[Quantity]]*tbl_FACTS[[#This Row],[Price]]</f>
        <v>1932</v>
      </c>
      <c r="S424" s="19">
        <f>IF(COUNTIFS(tbl_FACTS[OrderID],tbl_FACTS[[#This Row],[OrderID]],tbl_FACTS[OrderDetailID],"&lt;"&amp;tbl_FACTS[[#This Row],[OrderDetailID]])=0,1,0)</f>
        <v>0</v>
      </c>
      <c r="T424" s="19">
        <f>YEAR(tbl_FACTS[[#This Row],[OrderDate]])</f>
        <v>1997</v>
      </c>
      <c r="U424" s="22">
        <f>DATE(YEAR(tbl_FACTS[[#This Row],[OrderDate]]),MONTH(tbl_FACTS[[#This Row],[OrderDate]]),1)</f>
        <v>35431</v>
      </c>
      <c r="V424" s="22" t="str">
        <f>IF(tbl_FACTS[[#This Row],[Quantity]]&lt;=10,"0–10",IF(tbl_FACTS[[#This Row],[Quantity]]&lt;=20,"11–20",IF(tbl_FACTS[[#This Row],[Quantity]]&lt;=30,"21–30",IF(tbl_FACTS[[#This Row],[Quantity]]&lt;=40,"31–40",IF(tbl_FACTS[[#This Row],[Quantity]]&lt;=50,"41–50","51+")))))</f>
        <v>41–50</v>
      </c>
    </row>
    <row r="425" spans="1:22">
      <c r="A425">
        <v>424</v>
      </c>
      <c r="B425">
        <v>10406</v>
      </c>
      <c r="C425">
        <v>36</v>
      </c>
      <c r="D425" s="19">
        <v>5</v>
      </c>
      <c r="E425" s="20">
        <f>_xlfn.XLOOKUP(tbl_FACTS[[#This Row],[OrderID]],Πίνακας64[OrderID],Πίνακας64[OrderDate])</f>
        <v>35437</v>
      </c>
      <c r="F425">
        <f>_xlfn.XLOOKUP(tbl_FACTS[[#This Row],[OrderID]],Πίνακας64[OrderID],Πίνακας64[CustomerID])</f>
        <v>62</v>
      </c>
      <c r="G425" t="str">
        <f>_xlfn.XLOOKUP(tbl_FACTS[[#This Row],[CustomerID]],Πίνακας1[CustomerID],Πίνακας1[CustomerName])</f>
        <v>Queen Cozinha</v>
      </c>
      <c r="H425" t="str">
        <f>_xlfn.XLOOKUP(tbl_FACTS[[#This Row],[CustomerID]],Πίνακας1[CustomerID],Πίνακας1[Country])</f>
        <v>Brazil</v>
      </c>
      <c r="I425">
        <f>_xlfn.XLOOKUP(tbl_FACTS[[#This Row],[OrderID]],Πίνακας64[OrderID],Πίνακας64[EmployeeID])</f>
        <v>7</v>
      </c>
      <c r="J425">
        <f>_xlfn.XLOOKUP(tbl_FACTS[[#This Row],[OrderID]],Πίνακας64[OrderID],Πίνακας64[ShipperID])</f>
        <v>1</v>
      </c>
      <c r="K425" t="str">
        <f>_xlfn.XLOOKUP(tbl_FACTS[[#This Row],[ShipperID]],Πίνακας8[ShipperID],Πίνακας8[ShipperName])</f>
        <v>Speedy Express</v>
      </c>
      <c r="L425" t="str">
        <f>_xlfn.XLOOKUP(tbl_FACTS[[#This Row],[ProductID]],Πίνακας7[ProductID],Πίνακας7[ProductName])</f>
        <v>Inlagd Sill</v>
      </c>
      <c r="M425">
        <f>_xlfn.XLOOKUP(tbl_FACTS[[#This Row],[ProductID]],Πίνακας7[ProductID],Πίνακας7[CategoryID])</f>
        <v>8</v>
      </c>
      <c r="N425" t="str">
        <f>_xlfn.XLOOKUP(tbl_FACTS[[#This Row],[CategoryID]],Πίνακας4[CategoryID],Πίνακας4[CategoryName])</f>
        <v>Seafood</v>
      </c>
      <c r="O425">
        <f>_xlfn.XLOOKUP(tbl_FACTS[[#This Row],[ProductID]],Πίνακας7[ProductID],Πίνακας7[SupplierID])</f>
        <v>17</v>
      </c>
      <c r="P425" t="str">
        <f>_xlfn.XLOOKUP(tbl_FACTS[[#This Row],[SupplierID]],Πίνακας9[SupplierID],Πίνακας9[SupplierName])</f>
        <v>Svensk Sjofoda AB</v>
      </c>
      <c r="Q425" s="21">
        <f>_xlfn.XLOOKUP(tbl_FACTS[[#This Row],[ProductID]],Πίνακας7[ProductID],Πίνακας7[Price])</f>
        <v>19</v>
      </c>
      <c r="R425" s="21">
        <f>tbl_FACTS[[#This Row],[Quantity]]*tbl_FACTS[[#This Row],[Price]]</f>
        <v>95</v>
      </c>
      <c r="S425" s="19">
        <f>IF(COUNTIFS(tbl_FACTS[OrderID],tbl_FACTS[[#This Row],[OrderID]],tbl_FACTS[OrderDetailID],"&lt;"&amp;tbl_FACTS[[#This Row],[OrderDetailID]])=0,1,0)</f>
        <v>0</v>
      </c>
      <c r="T425" s="19">
        <f>YEAR(tbl_FACTS[[#This Row],[OrderDate]])</f>
        <v>1997</v>
      </c>
      <c r="U425" s="22">
        <f>DATE(YEAR(tbl_FACTS[[#This Row],[OrderDate]]),MONTH(tbl_FACTS[[#This Row],[OrderDate]]),1)</f>
        <v>35431</v>
      </c>
      <c r="V425" s="22" t="str">
        <f>IF(tbl_FACTS[[#This Row],[Quantity]]&lt;=10,"0–10",IF(tbl_FACTS[[#This Row],[Quantity]]&lt;=20,"11–20",IF(tbl_FACTS[[#This Row],[Quantity]]&lt;=30,"21–30",IF(tbl_FACTS[[#This Row],[Quantity]]&lt;=40,"31–40",IF(tbl_FACTS[[#This Row],[Quantity]]&lt;=50,"41–50","51+")))))</f>
        <v>0–10</v>
      </c>
    </row>
    <row r="426" spans="1:22">
      <c r="A426">
        <v>425</v>
      </c>
      <c r="B426">
        <v>10406</v>
      </c>
      <c r="C426">
        <v>40</v>
      </c>
      <c r="D426" s="19">
        <v>2</v>
      </c>
      <c r="E426" s="20">
        <f>_xlfn.XLOOKUP(tbl_FACTS[[#This Row],[OrderID]],Πίνακας64[OrderID],Πίνακας64[OrderDate])</f>
        <v>35437</v>
      </c>
      <c r="F426">
        <f>_xlfn.XLOOKUP(tbl_FACTS[[#This Row],[OrderID]],Πίνακας64[OrderID],Πίνακας64[CustomerID])</f>
        <v>62</v>
      </c>
      <c r="G426" t="str">
        <f>_xlfn.XLOOKUP(tbl_FACTS[[#This Row],[CustomerID]],Πίνακας1[CustomerID],Πίνακας1[CustomerName])</f>
        <v>Queen Cozinha</v>
      </c>
      <c r="H426" t="str">
        <f>_xlfn.XLOOKUP(tbl_FACTS[[#This Row],[CustomerID]],Πίνακας1[CustomerID],Πίνακας1[Country])</f>
        <v>Brazil</v>
      </c>
      <c r="I426">
        <f>_xlfn.XLOOKUP(tbl_FACTS[[#This Row],[OrderID]],Πίνακας64[OrderID],Πίνακας64[EmployeeID])</f>
        <v>7</v>
      </c>
      <c r="J426">
        <f>_xlfn.XLOOKUP(tbl_FACTS[[#This Row],[OrderID]],Πίνακας64[OrderID],Πίνακας64[ShipperID])</f>
        <v>1</v>
      </c>
      <c r="K426" t="str">
        <f>_xlfn.XLOOKUP(tbl_FACTS[[#This Row],[ShipperID]],Πίνακας8[ShipperID],Πίνακας8[ShipperName])</f>
        <v>Speedy Express</v>
      </c>
      <c r="L426" t="str">
        <f>_xlfn.XLOOKUP(tbl_FACTS[[#This Row],[ProductID]],Πίνακας7[ProductID],Πίνακας7[ProductName])</f>
        <v>Boston Crab Meat</v>
      </c>
      <c r="M426">
        <f>_xlfn.XLOOKUP(tbl_FACTS[[#This Row],[ProductID]],Πίνακας7[ProductID],Πίνακας7[CategoryID])</f>
        <v>8</v>
      </c>
      <c r="N426" t="str">
        <f>_xlfn.XLOOKUP(tbl_FACTS[[#This Row],[CategoryID]],Πίνακας4[CategoryID],Πίνακας4[CategoryName])</f>
        <v>Seafood</v>
      </c>
      <c r="O426">
        <f>_xlfn.XLOOKUP(tbl_FACTS[[#This Row],[ProductID]],Πίνακας7[ProductID],Πίνακας7[SupplierID])</f>
        <v>19</v>
      </c>
      <c r="P426" t="str">
        <f>_xlfn.XLOOKUP(tbl_FACTS[[#This Row],[SupplierID]],Πίνακας9[SupplierID],Πίνακας9[SupplierName])</f>
        <v>New England Seafood Cannery</v>
      </c>
      <c r="Q426" s="21">
        <f>_xlfn.XLOOKUP(tbl_FACTS[[#This Row],[ProductID]],Πίνακας7[ProductID],Πίνακας7[Price])</f>
        <v>18</v>
      </c>
      <c r="R426" s="21">
        <f>tbl_FACTS[[#This Row],[Quantity]]*tbl_FACTS[[#This Row],[Price]]</f>
        <v>36</v>
      </c>
      <c r="S426" s="19">
        <f>IF(COUNTIFS(tbl_FACTS[OrderID],tbl_FACTS[[#This Row],[OrderID]],tbl_FACTS[OrderDetailID],"&lt;"&amp;tbl_FACTS[[#This Row],[OrderDetailID]])=0,1,0)</f>
        <v>0</v>
      </c>
      <c r="T426" s="19">
        <f>YEAR(tbl_FACTS[[#This Row],[OrderDate]])</f>
        <v>1997</v>
      </c>
      <c r="U426" s="22">
        <f>DATE(YEAR(tbl_FACTS[[#This Row],[OrderDate]]),MONTH(tbl_FACTS[[#This Row],[OrderDate]]),1)</f>
        <v>35431</v>
      </c>
      <c r="V426" s="22" t="str">
        <f>IF(tbl_FACTS[[#This Row],[Quantity]]&lt;=10,"0–10",IF(tbl_FACTS[[#This Row],[Quantity]]&lt;=20,"11–20",IF(tbl_FACTS[[#This Row],[Quantity]]&lt;=30,"21–30",IF(tbl_FACTS[[#This Row],[Quantity]]&lt;=40,"31–40",IF(tbl_FACTS[[#This Row],[Quantity]]&lt;=50,"41–50","51+")))))</f>
        <v>0–10</v>
      </c>
    </row>
    <row r="427" spans="1:22">
      <c r="A427">
        <v>426</v>
      </c>
      <c r="B427">
        <v>10407</v>
      </c>
      <c r="C427">
        <v>11</v>
      </c>
      <c r="D427" s="19">
        <v>30</v>
      </c>
      <c r="E427" s="20">
        <f>_xlfn.XLOOKUP(tbl_FACTS[[#This Row],[OrderID]],Πίνακας64[OrderID],Πίνακας64[OrderDate])</f>
        <v>35437</v>
      </c>
      <c r="F427">
        <f>_xlfn.XLOOKUP(tbl_FACTS[[#This Row],[OrderID]],Πίνακας64[OrderID],Πίνακας64[CustomerID])</f>
        <v>56</v>
      </c>
      <c r="G427" t="str">
        <f>_xlfn.XLOOKUP(tbl_FACTS[[#This Row],[CustomerID]],Πίνακας1[CustomerID],Πίνακας1[CustomerName])</f>
        <v>Ottilies Kaseladen</v>
      </c>
      <c r="H427" t="str">
        <f>_xlfn.XLOOKUP(tbl_FACTS[[#This Row],[CustomerID]],Πίνακας1[CustomerID],Πίνακας1[Country])</f>
        <v>Germany</v>
      </c>
      <c r="I427">
        <f>_xlfn.XLOOKUP(tbl_FACTS[[#This Row],[OrderID]],Πίνακας64[OrderID],Πίνακας64[EmployeeID])</f>
        <v>2</v>
      </c>
      <c r="J427">
        <f>_xlfn.XLOOKUP(tbl_FACTS[[#This Row],[OrderID]],Πίνακας64[OrderID],Πίνακας64[ShipperID])</f>
        <v>2</v>
      </c>
      <c r="K427" t="str">
        <f>_xlfn.XLOOKUP(tbl_FACTS[[#This Row],[ShipperID]],Πίνακας8[ShipperID],Πίνακας8[ShipperName])</f>
        <v>United Package</v>
      </c>
      <c r="L427" t="str">
        <f>_xlfn.XLOOKUP(tbl_FACTS[[#This Row],[ProductID]],Πίνακας7[ProductID],Πίνακας7[ProductName])</f>
        <v>Queso Cabrales</v>
      </c>
      <c r="M427">
        <f>_xlfn.XLOOKUP(tbl_FACTS[[#This Row],[ProductID]],Πίνακας7[ProductID],Πίνακας7[CategoryID])</f>
        <v>4</v>
      </c>
      <c r="N427" t="str">
        <f>_xlfn.XLOOKUP(tbl_FACTS[[#This Row],[CategoryID]],Πίνακας4[CategoryID],Πίνακας4[CategoryName])</f>
        <v>Dairy Products</v>
      </c>
      <c r="O427">
        <f>_xlfn.XLOOKUP(tbl_FACTS[[#This Row],[ProductID]],Πίνακας7[ProductID],Πίνακας7[SupplierID])</f>
        <v>5</v>
      </c>
      <c r="P427" t="str">
        <f>_xlfn.XLOOKUP(tbl_FACTS[[#This Row],[SupplierID]],Πίνακας9[SupplierID],Πίνακας9[SupplierName])</f>
        <v>Cooperativa de Quesos 'Las Cabras'</v>
      </c>
      <c r="Q427" s="21">
        <f>_xlfn.XLOOKUP(tbl_FACTS[[#This Row],[ProductID]],Πίνακας7[ProductID],Πίνακας7[Price])</f>
        <v>21</v>
      </c>
      <c r="R427" s="21">
        <f>tbl_FACTS[[#This Row],[Quantity]]*tbl_FACTS[[#This Row],[Price]]</f>
        <v>630</v>
      </c>
      <c r="S427" s="19">
        <f>IF(COUNTIFS(tbl_FACTS[OrderID],tbl_FACTS[[#This Row],[OrderID]],tbl_FACTS[OrderDetailID],"&lt;"&amp;tbl_FACTS[[#This Row],[OrderDetailID]])=0,1,0)</f>
        <v>1</v>
      </c>
      <c r="T427" s="19">
        <f>YEAR(tbl_FACTS[[#This Row],[OrderDate]])</f>
        <v>1997</v>
      </c>
      <c r="U427" s="22">
        <f>DATE(YEAR(tbl_FACTS[[#This Row],[OrderDate]]),MONTH(tbl_FACTS[[#This Row],[OrderDate]]),1)</f>
        <v>35431</v>
      </c>
      <c r="V427" s="22" t="str">
        <f>IF(tbl_FACTS[[#This Row],[Quantity]]&lt;=10,"0–10",IF(tbl_FACTS[[#This Row],[Quantity]]&lt;=20,"11–20",IF(tbl_FACTS[[#This Row],[Quantity]]&lt;=30,"21–30",IF(tbl_FACTS[[#This Row],[Quantity]]&lt;=40,"31–40",IF(tbl_FACTS[[#This Row],[Quantity]]&lt;=50,"41–50","51+")))))</f>
        <v>21–30</v>
      </c>
    </row>
    <row r="428" spans="1:22">
      <c r="A428">
        <v>427</v>
      </c>
      <c r="B428">
        <v>10407</v>
      </c>
      <c r="C428">
        <v>69</v>
      </c>
      <c r="D428" s="19">
        <v>15</v>
      </c>
      <c r="E428" s="20">
        <f>_xlfn.XLOOKUP(tbl_FACTS[[#This Row],[OrderID]],Πίνακας64[OrderID],Πίνακας64[OrderDate])</f>
        <v>35437</v>
      </c>
      <c r="F428">
        <f>_xlfn.XLOOKUP(tbl_FACTS[[#This Row],[OrderID]],Πίνακας64[OrderID],Πίνακας64[CustomerID])</f>
        <v>56</v>
      </c>
      <c r="G428" t="str">
        <f>_xlfn.XLOOKUP(tbl_FACTS[[#This Row],[CustomerID]],Πίνακας1[CustomerID],Πίνακας1[CustomerName])</f>
        <v>Ottilies Kaseladen</v>
      </c>
      <c r="H428" t="str">
        <f>_xlfn.XLOOKUP(tbl_FACTS[[#This Row],[CustomerID]],Πίνακας1[CustomerID],Πίνακας1[Country])</f>
        <v>Germany</v>
      </c>
      <c r="I428">
        <f>_xlfn.XLOOKUP(tbl_FACTS[[#This Row],[OrderID]],Πίνακας64[OrderID],Πίνακας64[EmployeeID])</f>
        <v>2</v>
      </c>
      <c r="J428">
        <f>_xlfn.XLOOKUP(tbl_FACTS[[#This Row],[OrderID]],Πίνακας64[OrderID],Πίνακας64[ShipperID])</f>
        <v>2</v>
      </c>
      <c r="K428" t="str">
        <f>_xlfn.XLOOKUP(tbl_FACTS[[#This Row],[ShipperID]],Πίνακας8[ShipperID],Πίνακας8[ShipperName])</f>
        <v>United Package</v>
      </c>
      <c r="L428" t="str">
        <f>_xlfn.XLOOKUP(tbl_FACTS[[#This Row],[ProductID]],Πίνακας7[ProductID],Πίνακας7[ProductName])</f>
        <v>Gudbrandsdalsost</v>
      </c>
      <c r="M428">
        <f>_xlfn.XLOOKUP(tbl_FACTS[[#This Row],[ProductID]],Πίνακας7[ProductID],Πίνακας7[CategoryID])</f>
        <v>4</v>
      </c>
      <c r="N428" t="str">
        <f>_xlfn.XLOOKUP(tbl_FACTS[[#This Row],[CategoryID]],Πίνακας4[CategoryID],Πίνακας4[CategoryName])</f>
        <v>Dairy Products</v>
      </c>
      <c r="O428">
        <f>_xlfn.XLOOKUP(tbl_FACTS[[#This Row],[ProductID]],Πίνακας7[ProductID],Πίνακας7[SupplierID])</f>
        <v>15</v>
      </c>
      <c r="P428" t="str">
        <f>_xlfn.XLOOKUP(tbl_FACTS[[#This Row],[SupplierID]],Πίνακας9[SupplierID],Πίνακας9[SupplierName])</f>
        <v>Norske Meierier</v>
      </c>
      <c r="Q428" s="21">
        <f>_xlfn.XLOOKUP(tbl_FACTS[[#This Row],[ProductID]],Πίνακας7[ProductID],Πίνακας7[Price])</f>
        <v>36</v>
      </c>
      <c r="R428" s="21">
        <f>tbl_FACTS[[#This Row],[Quantity]]*tbl_FACTS[[#This Row],[Price]]</f>
        <v>540</v>
      </c>
      <c r="S428" s="19">
        <f>IF(COUNTIFS(tbl_FACTS[OrderID],tbl_FACTS[[#This Row],[OrderID]],tbl_FACTS[OrderDetailID],"&lt;"&amp;tbl_FACTS[[#This Row],[OrderDetailID]])=0,1,0)</f>
        <v>0</v>
      </c>
      <c r="T428" s="19">
        <f>YEAR(tbl_FACTS[[#This Row],[OrderDate]])</f>
        <v>1997</v>
      </c>
      <c r="U428" s="22">
        <f>DATE(YEAR(tbl_FACTS[[#This Row],[OrderDate]]),MONTH(tbl_FACTS[[#This Row],[OrderDate]]),1)</f>
        <v>35431</v>
      </c>
      <c r="V428" s="22" t="str">
        <f>IF(tbl_FACTS[[#This Row],[Quantity]]&lt;=10,"0–10",IF(tbl_FACTS[[#This Row],[Quantity]]&lt;=20,"11–20",IF(tbl_FACTS[[#This Row],[Quantity]]&lt;=30,"21–30",IF(tbl_FACTS[[#This Row],[Quantity]]&lt;=40,"31–40",IF(tbl_FACTS[[#This Row],[Quantity]]&lt;=50,"41–50","51+")))))</f>
        <v>11–20</v>
      </c>
    </row>
    <row r="429" spans="1:22">
      <c r="A429">
        <v>428</v>
      </c>
      <c r="B429">
        <v>10407</v>
      </c>
      <c r="C429">
        <v>71</v>
      </c>
      <c r="D429" s="19">
        <v>15</v>
      </c>
      <c r="E429" s="20">
        <f>_xlfn.XLOOKUP(tbl_FACTS[[#This Row],[OrderID]],Πίνακας64[OrderID],Πίνακας64[OrderDate])</f>
        <v>35437</v>
      </c>
      <c r="F429">
        <f>_xlfn.XLOOKUP(tbl_FACTS[[#This Row],[OrderID]],Πίνακας64[OrderID],Πίνακας64[CustomerID])</f>
        <v>56</v>
      </c>
      <c r="G429" t="str">
        <f>_xlfn.XLOOKUP(tbl_FACTS[[#This Row],[CustomerID]],Πίνακας1[CustomerID],Πίνακας1[CustomerName])</f>
        <v>Ottilies Kaseladen</v>
      </c>
      <c r="H429" t="str">
        <f>_xlfn.XLOOKUP(tbl_FACTS[[#This Row],[CustomerID]],Πίνακας1[CustomerID],Πίνακας1[Country])</f>
        <v>Germany</v>
      </c>
      <c r="I429">
        <f>_xlfn.XLOOKUP(tbl_FACTS[[#This Row],[OrderID]],Πίνακας64[OrderID],Πίνακας64[EmployeeID])</f>
        <v>2</v>
      </c>
      <c r="J429">
        <f>_xlfn.XLOOKUP(tbl_FACTS[[#This Row],[OrderID]],Πίνακας64[OrderID],Πίνακας64[ShipperID])</f>
        <v>2</v>
      </c>
      <c r="K429" t="str">
        <f>_xlfn.XLOOKUP(tbl_FACTS[[#This Row],[ShipperID]],Πίνακας8[ShipperID],Πίνακας8[ShipperName])</f>
        <v>United Package</v>
      </c>
      <c r="L429" t="str">
        <f>_xlfn.XLOOKUP(tbl_FACTS[[#This Row],[ProductID]],Πίνακας7[ProductID],Πίνακας7[ProductName])</f>
        <v>Fl├©temysost</v>
      </c>
      <c r="M429">
        <f>_xlfn.XLOOKUP(tbl_FACTS[[#This Row],[ProductID]],Πίνακας7[ProductID],Πίνακας7[CategoryID])</f>
        <v>4</v>
      </c>
      <c r="N429" t="str">
        <f>_xlfn.XLOOKUP(tbl_FACTS[[#This Row],[CategoryID]],Πίνακας4[CategoryID],Πίνακας4[CategoryName])</f>
        <v>Dairy Products</v>
      </c>
      <c r="O429">
        <f>_xlfn.XLOOKUP(tbl_FACTS[[#This Row],[ProductID]],Πίνακας7[ProductID],Πίνακας7[SupplierID])</f>
        <v>15</v>
      </c>
      <c r="P429" t="str">
        <f>_xlfn.XLOOKUP(tbl_FACTS[[#This Row],[SupplierID]],Πίνακας9[SupplierID],Πίνακας9[SupplierName])</f>
        <v>Norske Meierier</v>
      </c>
      <c r="Q429" s="21">
        <f>_xlfn.XLOOKUP(tbl_FACTS[[#This Row],[ProductID]],Πίνακας7[ProductID],Πίνακας7[Price])</f>
        <v>22</v>
      </c>
      <c r="R429" s="21">
        <f>tbl_FACTS[[#This Row],[Quantity]]*tbl_FACTS[[#This Row],[Price]]</f>
        <v>330</v>
      </c>
      <c r="S429" s="19">
        <f>IF(COUNTIFS(tbl_FACTS[OrderID],tbl_FACTS[[#This Row],[OrderID]],tbl_FACTS[OrderDetailID],"&lt;"&amp;tbl_FACTS[[#This Row],[OrderDetailID]])=0,1,0)</f>
        <v>0</v>
      </c>
      <c r="T429" s="19">
        <f>YEAR(tbl_FACTS[[#This Row],[OrderDate]])</f>
        <v>1997</v>
      </c>
      <c r="U429" s="22">
        <f>DATE(YEAR(tbl_FACTS[[#This Row],[OrderDate]]),MONTH(tbl_FACTS[[#This Row],[OrderDate]]),1)</f>
        <v>35431</v>
      </c>
      <c r="V429" s="22" t="str">
        <f>IF(tbl_FACTS[[#This Row],[Quantity]]&lt;=10,"0–10",IF(tbl_FACTS[[#This Row],[Quantity]]&lt;=20,"11–20",IF(tbl_FACTS[[#This Row],[Quantity]]&lt;=30,"21–30",IF(tbl_FACTS[[#This Row],[Quantity]]&lt;=40,"31–40",IF(tbl_FACTS[[#This Row],[Quantity]]&lt;=50,"41–50","51+")))))</f>
        <v>11–20</v>
      </c>
    </row>
    <row r="430" spans="1:22">
      <c r="A430">
        <v>429</v>
      </c>
      <c r="B430">
        <v>10408</v>
      </c>
      <c r="C430">
        <v>37</v>
      </c>
      <c r="D430" s="19">
        <v>10</v>
      </c>
      <c r="E430" s="20">
        <f>_xlfn.XLOOKUP(tbl_FACTS[[#This Row],[OrderID]],Πίνακας64[OrderID],Πίνακας64[OrderDate])</f>
        <v>35438</v>
      </c>
      <c r="F430">
        <f>_xlfn.XLOOKUP(tbl_FACTS[[#This Row],[OrderID]],Πίνακας64[OrderID],Πίνακας64[CustomerID])</f>
        <v>23</v>
      </c>
      <c r="G430" t="str">
        <f>_xlfn.XLOOKUP(tbl_FACTS[[#This Row],[CustomerID]],Πίνακας1[CustomerID],Πίνακας1[CustomerName])</f>
        <v>Folies gourmandes</v>
      </c>
      <c r="H430" t="str">
        <f>_xlfn.XLOOKUP(tbl_FACTS[[#This Row],[CustomerID]],Πίνακας1[CustomerID],Πίνακας1[Country])</f>
        <v>France</v>
      </c>
      <c r="I430">
        <f>_xlfn.XLOOKUP(tbl_FACTS[[#This Row],[OrderID]],Πίνακας64[OrderID],Πίνακας64[EmployeeID])</f>
        <v>8</v>
      </c>
      <c r="J430">
        <f>_xlfn.XLOOKUP(tbl_FACTS[[#This Row],[OrderID]],Πίνακας64[OrderID],Πίνακας64[ShipperID])</f>
        <v>1</v>
      </c>
      <c r="K430" t="str">
        <f>_xlfn.XLOOKUP(tbl_FACTS[[#This Row],[ShipperID]],Πίνακας8[ShipperID],Πίνακας8[ShipperName])</f>
        <v>Speedy Express</v>
      </c>
      <c r="L430" t="str">
        <f>_xlfn.XLOOKUP(tbl_FACTS[[#This Row],[ProductID]],Πίνακας7[ProductID],Πίνακας7[ProductName])</f>
        <v>Gravad lax</v>
      </c>
      <c r="M430">
        <f>_xlfn.XLOOKUP(tbl_FACTS[[#This Row],[ProductID]],Πίνακας7[ProductID],Πίνακας7[CategoryID])</f>
        <v>8</v>
      </c>
      <c r="N430" t="str">
        <f>_xlfn.XLOOKUP(tbl_FACTS[[#This Row],[CategoryID]],Πίνακας4[CategoryID],Πίνακας4[CategoryName])</f>
        <v>Seafood</v>
      </c>
      <c r="O430">
        <f>_xlfn.XLOOKUP(tbl_FACTS[[#This Row],[ProductID]],Πίνακας7[ProductID],Πίνακας7[SupplierID])</f>
        <v>17</v>
      </c>
      <c r="P430" t="str">
        <f>_xlfn.XLOOKUP(tbl_FACTS[[#This Row],[SupplierID]],Πίνακας9[SupplierID],Πίνακας9[SupplierName])</f>
        <v>Svensk Sjofoda AB</v>
      </c>
      <c r="Q430" s="21">
        <f>_xlfn.XLOOKUP(tbl_FACTS[[#This Row],[ProductID]],Πίνακας7[ProductID],Πίνακας7[Price])</f>
        <v>26</v>
      </c>
      <c r="R430" s="21">
        <f>tbl_FACTS[[#This Row],[Quantity]]*tbl_FACTS[[#This Row],[Price]]</f>
        <v>260</v>
      </c>
      <c r="S430" s="19">
        <f>IF(COUNTIFS(tbl_FACTS[OrderID],tbl_FACTS[[#This Row],[OrderID]],tbl_FACTS[OrderDetailID],"&lt;"&amp;tbl_FACTS[[#This Row],[OrderDetailID]])=0,1,0)</f>
        <v>1</v>
      </c>
      <c r="T430" s="19">
        <f>YEAR(tbl_FACTS[[#This Row],[OrderDate]])</f>
        <v>1997</v>
      </c>
      <c r="U430" s="22">
        <f>DATE(YEAR(tbl_FACTS[[#This Row],[OrderDate]]),MONTH(tbl_FACTS[[#This Row],[OrderDate]]),1)</f>
        <v>35431</v>
      </c>
      <c r="V430" s="22" t="str">
        <f>IF(tbl_FACTS[[#This Row],[Quantity]]&lt;=10,"0–10",IF(tbl_FACTS[[#This Row],[Quantity]]&lt;=20,"11–20",IF(tbl_FACTS[[#This Row],[Quantity]]&lt;=30,"21–30",IF(tbl_FACTS[[#This Row],[Quantity]]&lt;=40,"31–40",IF(tbl_FACTS[[#This Row],[Quantity]]&lt;=50,"41–50","51+")))))</f>
        <v>0–10</v>
      </c>
    </row>
    <row r="431" spans="1:22">
      <c r="A431">
        <v>430</v>
      </c>
      <c r="B431">
        <v>10408</v>
      </c>
      <c r="C431">
        <v>54</v>
      </c>
      <c r="D431" s="19">
        <v>6</v>
      </c>
      <c r="E431" s="20">
        <f>_xlfn.XLOOKUP(tbl_FACTS[[#This Row],[OrderID]],Πίνακας64[OrderID],Πίνακας64[OrderDate])</f>
        <v>35438</v>
      </c>
      <c r="F431">
        <f>_xlfn.XLOOKUP(tbl_FACTS[[#This Row],[OrderID]],Πίνακας64[OrderID],Πίνακας64[CustomerID])</f>
        <v>23</v>
      </c>
      <c r="G431" t="str">
        <f>_xlfn.XLOOKUP(tbl_FACTS[[#This Row],[CustomerID]],Πίνακας1[CustomerID],Πίνακας1[CustomerName])</f>
        <v>Folies gourmandes</v>
      </c>
      <c r="H431" t="str">
        <f>_xlfn.XLOOKUP(tbl_FACTS[[#This Row],[CustomerID]],Πίνακας1[CustomerID],Πίνακας1[Country])</f>
        <v>France</v>
      </c>
      <c r="I431">
        <f>_xlfn.XLOOKUP(tbl_FACTS[[#This Row],[OrderID]],Πίνακας64[OrderID],Πίνακας64[EmployeeID])</f>
        <v>8</v>
      </c>
      <c r="J431">
        <f>_xlfn.XLOOKUP(tbl_FACTS[[#This Row],[OrderID]],Πίνακας64[OrderID],Πίνακας64[ShipperID])</f>
        <v>1</v>
      </c>
      <c r="K431" t="str">
        <f>_xlfn.XLOOKUP(tbl_FACTS[[#This Row],[ShipperID]],Πίνακας8[ShipperID],Πίνακας8[ShipperName])</f>
        <v>Speedy Express</v>
      </c>
      <c r="L431" t="str">
        <f>_xlfn.XLOOKUP(tbl_FACTS[[#This Row],[ProductID]],Πίνακας7[ProductID],Πίνακας7[ProductName])</f>
        <v>Tourtiere</v>
      </c>
      <c r="M431">
        <f>_xlfn.XLOOKUP(tbl_FACTS[[#This Row],[ProductID]],Πίνακας7[ProductID],Πίνακας7[CategoryID])</f>
        <v>6</v>
      </c>
      <c r="N431" t="str">
        <f>_xlfn.XLOOKUP(tbl_FACTS[[#This Row],[CategoryID]],Πίνακας4[CategoryID],Πίνακας4[CategoryName])</f>
        <v>Meat/Poultry</v>
      </c>
      <c r="O431">
        <f>_xlfn.XLOOKUP(tbl_FACTS[[#This Row],[ProductID]],Πίνακας7[ProductID],Πίνακας7[SupplierID])</f>
        <v>25</v>
      </c>
      <c r="P431" t="str">
        <f>_xlfn.XLOOKUP(tbl_FACTS[[#This Row],[SupplierID]],Πίνακας9[SupplierID],Πίνακας9[SupplierName])</f>
        <v>Ma Maison</v>
      </c>
      <c r="Q431" s="21">
        <f>_xlfn.XLOOKUP(tbl_FACTS[[#This Row],[ProductID]],Πίνακας7[ProductID],Πίνακας7[Price])</f>
        <v>7</v>
      </c>
      <c r="R431" s="21">
        <f>tbl_FACTS[[#This Row],[Quantity]]*tbl_FACTS[[#This Row],[Price]]</f>
        <v>42</v>
      </c>
      <c r="S431" s="19">
        <f>IF(COUNTIFS(tbl_FACTS[OrderID],tbl_FACTS[[#This Row],[OrderID]],tbl_FACTS[OrderDetailID],"&lt;"&amp;tbl_FACTS[[#This Row],[OrderDetailID]])=0,1,0)</f>
        <v>0</v>
      </c>
      <c r="T431" s="19">
        <f>YEAR(tbl_FACTS[[#This Row],[OrderDate]])</f>
        <v>1997</v>
      </c>
      <c r="U431" s="22">
        <f>DATE(YEAR(tbl_FACTS[[#This Row],[OrderDate]]),MONTH(tbl_FACTS[[#This Row],[OrderDate]]),1)</f>
        <v>35431</v>
      </c>
      <c r="V431" s="22" t="str">
        <f>IF(tbl_FACTS[[#This Row],[Quantity]]&lt;=10,"0–10",IF(tbl_FACTS[[#This Row],[Quantity]]&lt;=20,"11–20",IF(tbl_FACTS[[#This Row],[Quantity]]&lt;=30,"21–30",IF(tbl_FACTS[[#This Row],[Quantity]]&lt;=40,"31–40",IF(tbl_FACTS[[#This Row],[Quantity]]&lt;=50,"41–50","51+")))))</f>
        <v>0–10</v>
      </c>
    </row>
    <row r="432" spans="1:22">
      <c r="A432">
        <v>431</v>
      </c>
      <c r="B432">
        <v>10408</v>
      </c>
      <c r="C432">
        <v>62</v>
      </c>
      <c r="D432" s="19">
        <v>35</v>
      </c>
      <c r="E432" s="20">
        <f>_xlfn.XLOOKUP(tbl_FACTS[[#This Row],[OrderID]],Πίνακας64[OrderID],Πίνακας64[OrderDate])</f>
        <v>35438</v>
      </c>
      <c r="F432">
        <f>_xlfn.XLOOKUP(tbl_FACTS[[#This Row],[OrderID]],Πίνακας64[OrderID],Πίνακας64[CustomerID])</f>
        <v>23</v>
      </c>
      <c r="G432" t="str">
        <f>_xlfn.XLOOKUP(tbl_FACTS[[#This Row],[CustomerID]],Πίνακας1[CustomerID],Πίνακας1[CustomerName])</f>
        <v>Folies gourmandes</v>
      </c>
      <c r="H432" t="str">
        <f>_xlfn.XLOOKUP(tbl_FACTS[[#This Row],[CustomerID]],Πίνακας1[CustomerID],Πίνακας1[Country])</f>
        <v>France</v>
      </c>
      <c r="I432">
        <f>_xlfn.XLOOKUP(tbl_FACTS[[#This Row],[OrderID]],Πίνακας64[OrderID],Πίνακας64[EmployeeID])</f>
        <v>8</v>
      </c>
      <c r="J432">
        <f>_xlfn.XLOOKUP(tbl_FACTS[[#This Row],[OrderID]],Πίνακας64[OrderID],Πίνακας64[ShipperID])</f>
        <v>1</v>
      </c>
      <c r="K432" t="str">
        <f>_xlfn.XLOOKUP(tbl_FACTS[[#This Row],[ShipperID]],Πίνακας8[ShipperID],Πίνακας8[ShipperName])</f>
        <v>Speedy Express</v>
      </c>
      <c r="L432" t="str">
        <f>_xlfn.XLOOKUP(tbl_FACTS[[#This Row],[ProductID]],Πίνακας7[ProductID],Πίνακας7[ProductName])</f>
        <v>Tarte au sucre</v>
      </c>
      <c r="M432">
        <f>_xlfn.XLOOKUP(tbl_FACTS[[#This Row],[ProductID]],Πίνακας7[ProductID],Πίνακας7[CategoryID])</f>
        <v>3</v>
      </c>
      <c r="N432" t="str">
        <f>_xlfn.XLOOKUP(tbl_FACTS[[#This Row],[CategoryID]],Πίνακας4[CategoryID],Πίνακας4[CategoryName])</f>
        <v>Confections</v>
      </c>
      <c r="O432">
        <f>_xlfn.XLOOKUP(tbl_FACTS[[#This Row],[ProductID]],Πίνακας7[ProductID],Πίνακας7[SupplierID])</f>
        <v>29</v>
      </c>
      <c r="P432" t="str">
        <f>_xlfn.XLOOKUP(tbl_FACTS[[#This Row],[SupplierID]],Πίνακας9[SupplierID],Πίνακας9[SupplierName])</f>
        <v>Forets d'erables</v>
      </c>
      <c r="Q432" s="21">
        <f>_xlfn.XLOOKUP(tbl_FACTS[[#This Row],[ProductID]],Πίνακας7[ProductID],Πίνακας7[Price])</f>
        <v>49</v>
      </c>
      <c r="R432" s="21">
        <f>tbl_FACTS[[#This Row],[Quantity]]*tbl_FACTS[[#This Row],[Price]]</f>
        <v>1715</v>
      </c>
      <c r="S432" s="19">
        <f>IF(COUNTIFS(tbl_FACTS[OrderID],tbl_FACTS[[#This Row],[OrderID]],tbl_FACTS[OrderDetailID],"&lt;"&amp;tbl_FACTS[[#This Row],[OrderDetailID]])=0,1,0)</f>
        <v>0</v>
      </c>
      <c r="T432" s="19">
        <f>YEAR(tbl_FACTS[[#This Row],[OrderDate]])</f>
        <v>1997</v>
      </c>
      <c r="U432" s="22">
        <f>DATE(YEAR(tbl_FACTS[[#This Row],[OrderDate]]),MONTH(tbl_FACTS[[#This Row],[OrderDate]]),1)</f>
        <v>35431</v>
      </c>
      <c r="V432" s="22" t="str">
        <f>IF(tbl_FACTS[[#This Row],[Quantity]]&lt;=10,"0–10",IF(tbl_FACTS[[#This Row],[Quantity]]&lt;=20,"11–20",IF(tbl_FACTS[[#This Row],[Quantity]]&lt;=30,"21–30",IF(tbl_FACTS[[#This Row],[Quantity]]&lt;=40,"31–40",IF(tbl_FACTS[[#This Row],[Quantity]]&lt;=50,"41–50","51+")))))</f>
        <v>31–40</v>
      </c>
    </row>
    <row r="433" spans="1:22">
      <c r="A433">
        <v>432</v>
      </c>
      <c r="B433">
        <v>10409</v>
      </c>
      <c r="C433">
        <v>14</v>
      </c>
      <c r="D433" s="19">
        <v>12</v>
      </c>
      <c r="E433" s="20">
        <f>_xlfn.XLOOKUP(tbl_FACTS[[#This Row],[OrderID]],Πίνακας64[OrderID],Πίνακας64[OrderDate])</f>
        <v>35439</v>
      </c>
      <c r="F433">
        <f>_xlfn.XLOOKUP(tbl_FACTS[[#This Row],[OrderID]],Πίνακας64[OrderID],Πίνακας64[CustomerID])</f>
        <v>54</v>
      </c>
      <c r="G433" t="str">
        <f>_xlfn.XLOOKUP(tbl_FACTS[[#This Row],[CustomerID]],Πίνακας1[CustomerID],Πίνακας1[CustomerName])</f>
        <v>Oceano Atlantico Ltda.</v>
      </c>
      <c r="H433" t="str">
        <f>_xlfn.XLOOKUP(tbl_FACTS[[#This Row],[CustomerID]],Πίνακας1[CustomerID],Πίνακας1[Country])</f>
        <v>Argentina</v>
      </c>
      <c r="I433">
        <f>_xlfn.XLOOKUP(tbl_FACTS[[#This Row],[OrderID]],Πίνακας64[OrderID],Πίνακας64[EmployeeID])</f>
        <v>3</v>
      </c>
      <c r="J433">
        <f>_xlfn.XLOOKUP(tbl_FACTS[[#This Row],[OrderID]],Πίνακας64[OrderID],Πίνακας64[ShipperID])</f>
        <v>1</v>
      </c>
      <c r="K433" t="str">
        <f>_xlfn.XLOOKUP(tbl_FACTS[[#This Row],[ShipperID]],Πίνακας8[ShipperID],Πίνακας8[ShipperName])</f>
        <v>Speedy Express</v>
      </c>
      <c r="L433" t="str">
        <f>_xlfn.XLOOKUP(tbl_FACTS[[#This Row],[ProductID]],Πίνακας7[ProductID],Πίνακας7[ProductName])</f>
        <v>Tofu</v>
      </c>
      <c r="M433">
        <f>_xlfn.XLOOKUP(tbl_FACTS[[#This Row],[ProductID]],Πίνακας7[ProductID],Πίνακας7[CategoryID])</f>
        <v>7</v>
      </c>
      <c r="N433" t="str">
        <f>_xlfn.XLOOKUP(tbl_FACTS[[#This Row],[CategoryID]],Πίνακας4[CategoryID],Πίνακας4[CategoryName])</f>
        <v>Produce</v>
      </c>
      <c r="O433">
        <f>_xlfn.XLOOKUP(tbl_FACTS[[#This Row],[ProductID]],Πίνακας7[ProductID],Πίνακας7[SupplierID])</f>
        <v>6</v>
      </c>
      <c r="P433" t="str">
        <f>_xlfn.XLOOKUP(tbl_FACTS[[#This Row],[SupplierID]],Πίνακας9[SupplierID],Πίνακας9[SupplierName])</f>
        <v>Mayumi's</v>
      </c>
      <c r="Q433" s="21">
        <f>_xlfn.XLOOKUP(tbl_FACTS[[#This Row],[ProductID]],Πίνακας7[ProductID],Πίνακας7[Price])</f>
        <v>23</v>
      </c>
      <c r="R433" s="21">
        <f>tbl_FACTS[[#This Row],[Quantity]]*tbl_FACTS[[#This Row],[Price]]</f>
        <v>276</v>
      </c>
      <c r="S433" s="19">
        <f>IF(COUNTIFS(tbl_FACTS[OrderID],tbl_FACTS[[#This Row],[OrderID]],tbl_FACTS[OrderDetailID],"&lt;"&amp;tbl_FACTS[[#This Row],[OrderDetailID]])=0,1,0)</f>
        <v>1</v>
      </c>
      <c r="T433" s="19">
        <f>YEAR(tbl_FACTS[[#This Row],[OrderDate]])</f>
        <v>1997</v>
      </c>
      <c r="U433" s="22">
        <f>DATE(YEAR(tbl_FACTS[[#This Row],[OrderDate]]),MONTH(tbl_FACTS[[#This Row],[OrderDate]]),1)</f>
        <v>35431</v>
      </c>
      <c r="V433" s="22" t="str">
        <f>IF(tbl_FACTS[[#This Row],[Quantity]]&lt;=10,"0–10",IF(tbl_FACTS[[#This Row],[Quantity]]&lt;=20,"11–20",IF(tbl_FACTS[[#This Row],[Quantity]]&lt;=30,"21–30",IF(tbl_FACTS[[#This Row],[Quantity]]&lt;=40,"31–40",IF(tbl_FACTS[[#This Row],[Quantity]]&lt;=50,"41–50","51+")))))</f>
        <v>11–20</v>
      </c>
    </row>
    <row r="434" spans="1:22">
      <c r="A434">
        <v>433</v>
      </c>
      <c r="B434">
        <v>10409</v>
      </c>
      <c r="C434">
        <v>21</v>
      </c>
      <c r="D434" s="19">
        <v>12</v>
      </c>
      <c r="E434" s="20">
        <f>_xlfn.XLOOKUP(tbl_FACTS[[#This Row],[OrderID]],Πίνακας64[OrderID],Πίνακας64[OrderDate])</f>
        <v>35439</v>
      </c>
      <c r="F434">
        <f>_xlfn.XLOOKUP(tbl_FACTS[[#This Row],[OrderID]],Πίνακας64[OrderID],Πίνακας64[CustomerID])</f>
        <v>54</v>
      </c>
      <c r="G434" t="str">
        <f>_xlfn.XLOOKUP(tbl_FACTS[[#This Row],[CustomerID]],Πίνακας1[CustomerID],Πίνακας1[CustomerName])</f>
        <v>Oceano Atlantico Ltda.</v>
      </c>
      <c r="H434" t="str">
        <f>_xlfn.XLOOKUP(tbl_FACTS[[#This Row],[CustomerID]],Πίνακας1[CustomerID],Πίνακας1[Country])</f>
        <v>Argentina</v>
      </c>
      <c r="I434">
        <f>_xlfn.XLOOKUP(tbl_FACTS[[#This Row],[OrderID]],Πίνακας64[OrderID],Πίνακας64[EmployeeID])</f>
        <v>3</v>
      </c>
      <c r="J434">
        <f>_xlfn.XLOOKUP(tbl_FACTS[[#This Row],[OrderID]],Πίνακας64[OrderID],Πίνακας64[ShipperID])</f>
        <v>1</v>
      </c>
      <c r="K434" t="str">
        <f>_xlfn.XLOOKUP(tbl_FACTS[[#This Row],[ShipperID]],Πίνακας8[ShipperID],Πίνακας8[ShipperName])</f>
        <v>Speedy Express</v>
      </c>
      <c r="L434" t="str">
        <f>_xlfn.XLOOKUP(tbl_FACTS[[#This Row],[ProductID]],Πίνακας7[ProductID],Πίνακας7[ProductName])</f>
        <v>Sir Rodney's Scones</v>
      </c>
      <c r="M434">
        <f>_xlfn.XLOOKUP(tbl_FACTS[[#This Row],[ProductID]],Πίνακας7[ProductID],Πίνακας7[CategoryID])</f>
        <v>3</v>
      </c>
      <c r="N434" t="str">
        <f>_xlfn.XLOOKUP(tbl_FACTS[[#This Row],[CategoryID]],Πίνακας4[CategoryID],Πίνακας4[CategoryName])</f>
        <v>Confections</v>
      </c>
      <c r="O434">
        <f>_xlfn.XLOOKUP(tbl_FACTS[[#This Row],[ProductID]],Πίνακας7[ProductID],Πίνακας7[SupplierID])</f>
        <v>8</v>
      </c>
      <c r="P434" t="str">
        <f>_xlfn.XLOOKUP(tbl_FACTS[[#This Row],[SupplierID]],Πίνακας9[SupplierID],Πίνακας9[SupplierName])</f>
        <v>Specialty Biscuits, Ltd.</v>
      </c>
      <c r="Q434" s="21">
        <f>_xlfn.XLOOKUP(tbl_FACTS[[#This Row],[ProductID]],Πίνακας7[ProductID],Πίνακας7[Price])</f>
        <v>10</v>
      </c>
      <c r="R434" s="21">
        <f>tbl_FACTS[[#This Row],[Quantity]]*tbl_FACTS[[#This Row],[Price]]</f>
        <v>120</v>
      </c>
      <c r="S434" s="19">
        <f>IF(COUNTIFS(tbl_FACTS[OrderID],tbl_FACTS[[#This Row],[OrderID]],tbl_FACTS[OrderDetailID],"&lt;"&amp;tbl_FACTS[[#This Row],[OrderDetailID]])=0,1,0)</f>
        <v>0</v>
      </c>
      <c r="T434" s="19">
        <f>YEAR(tbl_FACTS[[#This Row],[OrderDate]])</f>
        <v>1997</v>
      </c>
      <c r="U434" s="22">
        <f>DATE(YEAR(tbl_FACTS[[#This Row],[OrderDate]]),MONTH(tbl_FACTS[[#This Row],[OrderDate]]),1)</f>
        <v>35431</v>
      </c>
      <c r="V434" s="22" t="str">
        <f>IF(tbl_FACTS[[#This Row],[Quantity]]&lt;=10,"0–10",IF(tbl_FACTS[[#This Row],[Quantity]]&lt;=20,"11–20",IF(tbl_FACTS[[#This Row],[Quantity]]&lt;=30,"21–30",IF(tbl_FACTS[[#This Row],[Quantity]]&lt;=40,"31–40",IF(tbl_FACTS[[#This Row],[Quantity]]&lt;=50,"41–50","51+")))))</f>
        <v>11–20</v>
      </c>
    </row>
    <row r="435" spans="1:22">
      <c r="A435">
        <v>434</v>
      </c>
      <c r="B435">
        <v>10410</v>
      </c>
      <c r="C435">
        <v>33</v>
      </c>
      <c r="D435" s="19">
        <v>49</v>
      </c>
      <c r="E435" s="20">
        <f>_xlfn.XLOOKUP(tbl_FACTS[[#This Row],[OrderID]],Πίνακας64[OrderID],Πίνακας64[OrderDate])</f>
        <v>35440</v>
      </c>
      <c r="F435">
        <f>_xlfn.XLOOKUP(tbl_FACTS[[#This Row],[OrderID]],Πίνακας64[OrderID],Πίνακας64[CustomerID])</f>
        <v>10</v>
      </c>
      <c r="G435" t="str">
        <f>_xlfn.XLOOKUP(tbl_FACTS[[#This Row],[CustomerID]],Πίνακας1[CustomerID],Πίνακας1[CustomerName])</f>
        <v>Bottom-Dollar Marketse</v>
      </c>
      <c r="H435" t="str">
        <f>_xlfn.XLOOKUP(tbl_FACTS[[#This Row],[CustomerID]],Πίνακας1[CustomerID],Πίνακας1[Country])</f>
        <v>Canada</v>
      </c>
      <c r="I435">
        <f>_xlfn.XLOOKUP(tbl_FACTS[[#This Row],[OrderID]],Πίνακας64[OrderID],Πίνακας64[EmployeeID])</f>
        <v>3</v>
      </c>
      <c r="J435">
        <f>_xlfn.XLOOKUP(tbl_FACTS[[#This Row],[OrderID]],Πίνακας64[OrderID],Πίνακας64[ShipperID])</f>
        <v>3</v>
      </c>
      <c r="K435" t="str">
        <f>_xlfn.XLOOKUP(tbl_FACTS[[#This Row],[ShipperID]],Πίνακας8[ShipperID],Πίνακας8[ShipperName])</f>
        <v>Federal Shipping</v>
      </c>
      <c r="L435" t="str">
        <f>_xlfn.XLOOKUP(tbl_FACTS[[#This Row],[ProductID]],Πίνακας7[ProductID],Πίνακας7[ProductName])</f>
        <v>Geitost</v>
      </c>
      <c r="M435">
        <f>_xlfn.XLOOKUP(tbl_FACTS[[#This Row],[ProductID]],Πίνακας7[ProductID],Πίνακας7[CategoryID])</f>
        <v>4</v>
      </c>
      <c r="N435" t="str">
        <f>_xlfn.XLOOKUP(tbl_FACTS[[#This Row],[CategoryID]],Πίνακας4[CategoryID],Πίνακας4[CategoryName])</f>
        <v>Dairy Products</v>
      </c>
      <c r="O435">
        <f>_xlfn.XLOOKUP(tbl_FACTS[[#This Row],[ProductID]],Πίνακας7[ProductID],Πίνακας7[SupplierID])</f>
        <v>15</v>
      </c>
      <c r="P435" t="str">
        <f>_xlfn.XLOOKUP(tbl_FACTS[[#This Row],[SupplierID]],Πίνακας9[SupplierID],Πίνακας9[SupplierName])</f>
        <v>Norske Meierier</v>
      </c>
      <c r="Q435" s="21">
        <f>_xlfn.XLOOKUP(tbl_FACTS[[#This Row],[ProductID]],Πίνακας7[ProductID],Πίνακας7[Price])</f>
        <v>3</v>
      </c>
      <c r="R435" s="21">
        <f>tbl_FACTS[[#This Row],[Quantity]]*tbl_FACTS[[#This Row],[Price]]</f>
        <v>147</v>
      </c>
      <c r="S435" s="19">
        <f>IF(COUNTIFS(tbl_FACTS[OrderID],tbl_FACTS[[#This Row],[OrderID]],tbl_FACTS[OrderDetailID],"&lt;"&amp;tbl_FACTS[[#This Row],[OrderDetailID]])=0,1,0)</f>
        <v>1</v>
      </c>
      <c r="T435" s="19">
        <f>YEAR(tbl_FACTS[[#This Row],[OrderDate]])</f>
        <v>1997</v>
      </c>
      <c r="U435" s="22">
        <f>DATE(YEAR(tbl_FACTS[[#This Row],[OrderDate]]),MONTH(tbl_FACTS[[#This Row],[OrderDate]]),1)</f>
        <v>35431</v>
      </c>
      <c r="V435" s="22" t="str">
        <f>IF(tbl_FACTS[[#This Row],[Quantity]]&lt;=10,"0–10",IF(tbl_FACTS[[#This Row],[Quantity]]&lt;=20,"11–20",IF(tbl_FACTS[[#This Row],[Quantity]]&lt;=30,"21–30",IF(tbl_FACTS[[#This Row],[Quantity]]&lt;=40,"31–40",IF(tbl_FACTS[[#This Row],[Quantity]]&lt;=50,"41–50","51+")))))</f>
        <v>41–50</v>
      </c>
    </row>
    <row r="436" spans="1:22">
      <c r="A436">
        <v>435</v>
      </c>
      <c r="B436">
        <v>10410</v>
      </c>
      <c r="C436">
        <v>59</v>
      </c>
      <c r="D436" s="19">
        <v>16</v>
      </c>
      <c r="E436" s="20">
        <f>_xlfn.XLOOKUP(tbl_FACTS[[#This Row],[OrderID]],Πίνακας64[OrderID],Πίνακας64[OrderDate])</f>
        <v>35440</v>
      </c>
      <c r="F436">
        <f>_xlfn.XLOOKUP(tbl_FACTS[[#This Row],[OrderID]],Πίνακας64[OrderID],Πίνακας64[CustomerID])</f>
        <v>10</v>
      </c>
      <c r="G436" t="str">
        <f>_xlfn.XLOOKUP(tbl_FACTS[[#This Row],[CustomerID]],Πίνακας1[CustomerID],Πίνακας1[CustomerName])</f>
        <v>Bottom-Dollar Marketse</v>
      </c>
      <c r="H436" t="str">
        <f>_xlfn.XLOOKUP(tbl_FACTS[[#This Row],[CustomerID]],Πίνακας1[CustomerID],Πίνακας1[Country])</f>
        <v>Canada</v>
      </c>
      <c r="I436">
        <f>_xlfn.XLOOKUP(tbl_FACTS[[#This Row],[OrderID]],Πίνακας64[OrderID],Πίνακας64[EmployeeID])</f>
        <v>3</v>
      </c>
      <c r="J436">
        <f>_xlfn.XLOOKUP(tbl_FACTS[[#This Row],[OrderID]],Πίνακας64[OrderID],Πίνακας64[ShipperID])</f>
        <v>3</v>
      </c>
      <c r="K436" t="str">
        <f>_xlfn.XLOOKUP(tbl_FACTS[[#This Row],[ShipperID]],Πίνακας8[ShipperID],Πίνακας8[ShipperName])</f>
        <v>Federal Shipping</v>
      </c>
      <c r="L436" t="str">
        <f>_xlfn.XLOOKUP(tbl_FACTS[[#This Row],[ProductID]],Πίνακας7[ProductID],Πίνακας7[ProductName])</f>
        <v>Raclette Courdavault</v>
      </c>
      <c r="M436">
        <f>_xlfn.XLOOKUP(tbl_FACTS[[#This Row],[ProductID]],Πίνακας7[ProductID],Πίνακας7[CategoryID])</f>
        <v>4</v>
      </c>
      <c r="N436" t="str">
        <f>_xlfn.XLOOKUP(tbl_FACTS[[#This Row],[CategoryID]],Πίνακας4[CategoryID],Πίνακας4[CategoryName])</f>
        <v>Dairy Products</v>
      </c>
      <c r="O436">
        <f>_xlfn.XLOOKUP(tbl_FACTS[[#This Row],[ProductID]],Πίνακας7[ProductID],Πίνακας7[SupplierID])</f>
        <v>28</v>
      </c>
      <c r="P436" t="str">
        <f>_xlfn.XLOOKUP(tbl_FACTS[[#This Row],[SupplierID]],Πίνακας9[SupplierID],Πίνακας9[SupplierName])</f>
        <v>Gai paturage</v>
      </c>
      <c r="Q436" s="21">
        <f>_xlfn.XLOOKUP(tbl_FACTS[[#This Row],[ProductID]],Πίνακας7[ProductID],Πίνακας7[Price])</f>
        <v>55</v>
      </c>
      <c r="R436" s="21">
        <f>tbl_FACTS[[#This Row],[Quantity]]*tbl_FACTS[[#This Row],[Price]]</f>
        <v>880</v>
      </c>
      <c r="S436" s="19">
        <f>IF(COUNTIFS(tbl_FACTS[OrderID],tbl_FACTS[[#This Row],[OrderID]],tbl_FACTS[OrderDetailID],"&lt;"&amp;tbl_FACTS[[#This Row],[OrderDetailID]])=0,1,0)</f>
        <v>0</v>
      </c>
      <c r="T436" s="19">
        <f>YEAR(tbl_FACTS[[#This Row],[OrderDate]])</f>
        <v>1997</v>
      </c>
      <c r="U436" s="22">
        <f>DATE(YEAR(tbl_FACTS[[#This Row],[OrderDate]]),MONTH(tbl_FACTS[[#This Row],[OrderDate]]),1)</f>
        <v>35431</v>
      </c>
      <c r="V436" s="22" t="str">
        <f>IF(tbl_FACTS[[#This Row],[Quantity]]&lt;=10,"0–10",IF(tbl_FACTS[[#This Row],[Quantity]]&lt;=20,"11–20",IF(tbl_FACTS[[#This Row],[Quantity]]&lt;=30,"21–30",IF(tbl_FACTS[[#This Row],[Quantity]]&lt;=40,"31–40",IF(tbl_FACTS[[#This Row],[Quantity]]&lt;=50,"41–50","51+")))))</f>
        <v>11–20</v>
      </c>
    </row>
    <row r="437" spans="1:22">
      <c r="A437">
        <v>436</v>
      </c>
      <c r="B437">
        <v>10411</v>
      </c>
      <c r="C437">
        <v>41</v>
      </c>
      <c r="D437" s="19">
        <v>25</v>
      </c>
      <c r="E437" s="20">
        <f>_xlfn.XLOOKUP(tbl_FACTS[[#This Row],[OrderID]],Πίνακας64[OrderID],Πίνακας64[OrderDate])</f>
        <v>35440</v>
      </c>
      <c r="F437">
        <f>_xlfn.XLOOKUP(tbl_FACTS[[#This Row],[OrderID]],Πίνακας64[OrderID],Πίνακας64[CustomerID])</f>
        <v>10</v>
      </c>
      <c r="G437" t="str">
        <f>_xlfn.XLOOKUP(tbl_FACTS[[#This Row],[CustomerID]],Πίνακας1[CustomerID],Πίνακας1[CustomerName])</f>
        <v>Bottom-Dollar Marketse</v>
      </c>
      <c r="H437" t="str">
        <f>_xlfn.XLOOKUP(tbl_FACTS[[#This Row],[CustomerID]],Πίνακας1[CustomerID],Πίνακας1[Country])</f>
        <v>Canada</v>
      </c>
      <c r="I437">
        <f>_xlfn.XLOOKUP(tbl_FACTS[[#This Row],[OrderID]],Πίνακας64[OrderID],Πίνακας64[EmployeeID])</f>
        <v>9</v>
      </c>
      <c r="J437">
        <f>_xlfn.XLOOKUP(tbl_FACTS[[#This Row],[OrderID]],Πίνακας64[OrderID],Πίνακας64[ShipperID])</f>
        <v>3</v>
      </c>
      <c r="K437" t="str">
        <f>_xlfn.XLOOKUP(tbl_FACTS[[#This Row],[ShipperID]],Πίνακας8[ShipperID],Πίνακας8[ShipperName])</f>
        <v>Federal Shipping</v>
      </c>
      <c r="L437" t="str">
        <f>_xlfn.XLOOKUP(tbl_FACTS[[#This Row],[ProductID]],Πίνακας7[ProductID],Πίνακας7[ProductName])</f>
        <v>Jack's New England Clam Chowder</v>
      </c>
      <c r="M437">
        <f>_xlfn.XLOOKUP(tbl_FACTS[[#This Row],[ProductID]],Πίνακας7[ProductID],Πίνακας7[CategoryID])</f>
        <v>8</v>
      </c>
      <c r="N437" t="str">
        <f>_xlfn.XLOOKUP(tbl_FACTS[[#This Row],[CategoryID]],Πίνακας4[CategoryID],Πίνακας4[CategoryName])</f>
        <v>Seafood</v>
      </c>
      <c r="O437">
        <f>_xlfn.XLOOKUP(tbl_FACTS[[#This Row],[ProductID]],Πίνακας7[ProductID],Πίνακας7[SupplierID])</f>
        <v>19</v>
      </c>
      <c r="P437" t="str">
        <f>_xlfn.XLOOKUP(tbl_FACTS[[#This Row],[SupplierID]],Πίνακας9[SupplierID],Πίνακας9[SupplierName])</f>
        <v>New England Seafood Cannery</v>
      </c>
      <c r="Q437" s="21">
        <f>_xlfn.XLOOKUP(tbl_FACTS[[#This Row],[ProductID]],Πίνακας7[ProductID],Πίνακας7[Price])</f>
        <v>10</v>
      </c>
      <c r="R437" s="21">
        <f>tbl_FACTS[[#This Row],[Quantity]]*tbl_FACTS[[#This Row],[Price]]</f>
        <v>250</v>
      </c>
      <c r="S437" s="19">
        <f>IF(COUNTIFS(tbl_FACTS[OrderID],tbl_FACTS[[#This Row],[OrderID]],tbl_FACTS[OrderDetailID],"&lt;"&amp;tbl_FACTS[[#This Row],[OrderDetailID]])=0,1,0)</f>
        <v>1</v>
      </c>
      <c r="T437" s="19">
        <f>YEAR(tbl_FACTS[[#This Row],[OrderDate]])</f>
        <v>1997</v>
      </c>
      <c r="U437" s="22">
        <f>DATE(YEAR(tbl_FACTS[[#This Row],[OrderDate]]),MONTH(tbl_FACTS[[#This Row],[OrderDate]]),1)</f>
        <v>35431</v>
      </c>
      <c r="V437" s="22" t="str">
        <f>IF(tbl_FACTS[[#This Row],[Quantity]]&lt;=10,"0–10",IF(tbl_FACTS[[#This Row],[Quantity]]&lt;=20,"11–20",IF(tbl_FACTS[[#This Row],[Quantity]]&lt;=30,"21–30",IF(tbl_FACTS[[#This Row],[Quantity]]&lt;=40,"31–40",IF(tbl_FACTS[[#This Row],[Quantity]]&lt;=50,"41–50","51+")))))</f>
        <v>21–30</v>
      </c>
    </row>
    <row r="438" spans="1:22">
      <c r="A438">
        <v>437</v>
      </c>
      <c r="B438">
        <v>10411</v>
      </c>
      <c r="C438">
        <v>44</v>
      </c>
      <c r="D438" s="19">
        <v>40</v>
      </c>
      <c r="E438" s="20">
        <f>_xlfn.XLOOKUP(tbl_FACTS[[#This Row],[OrderID]],Πίνακας64[OrderID],Πίνακας64[OrderDate])</f>
        <v>35440</v>
      </c>
      <c r="F438">
        <f>_xlfn.XLOOKUP(tbl_FACTS[[#This Row],[OrderID]],Πίνακας64[OrderID],Πίνακας64[CustomerID])</f>
        <v>10</v>
      </c>
      <c r="G438" t="str">
        <f>_xlfn.XLOOKUP(tbl_FACTS[[#This Row],[CustomerID]],Πίνακας1[CustomerID],Πίνακας1[CustomerName])</f>
        <v>Bottom-Dollar Marketse</v>
      </c>
      <c r="H438" t="str">
        <f>_xlfn.XLOOKUP(tbl_FACTS[[#This Row],[CustomerID]],Πίνακας1[CustomerID],Πίνακας1[Country])</f>
        <v>Canada</v>
      </c>
      <c r="I438">
        <f>_xlfn.XLOOKUP(tbl_FACTS[[#This Row],[OrderID]],Πίνακας64[OrderID],Πίνακας64[EmployeeID])</f>
        <v>9</v>
      </c>
      <c r="J438">
        <f>_xlfn.XLOOKUP(tbl_FACTS[[#This Row],[OrderID]],Πίνακας64[OrderID],Πίνακας64[ShipperID])</f>
        <v>3</v>
      </c>
      <c r="K438" t="str">
        <f>_xlfn.XLOOKUP(tbl_FACTS[[#This Row],[ShipperID]],Πίνακας8[ShipperID],Πίνακας8[ShipperName])</f>
        <v>Federal Shipping</v>
      </c>
      <c r="L438" t="str">
        <f>_xlfn.XLOOKUP(tbl_FACTS[[#This Row],[ProductID]],Πίνακας7[ProductID],Πίνακας7[ProductName])</f>
        <v>Gula Malacca</v>
      </c>
      <c r="M438">
        <f>_xlfn.XLOOKUP(tbl_FACTS[[#This Row],[ProductID]],Πίνακας7[ProductID],Πίνακας7[CategoryID])</f>
        <v>2</v>
      </c>
      <c r="N438" t="str">
        <f>_xlfn.XLOOKUP(tbl_FACTS[[#This Row],[CategoryID]],Πίνακας4[CategoryID],Πίνακας4[CategoryName])</f>
        <v>Condiments</v>
      </c>
      <c r="O438">
        <f>_xlfn.XLOOKUP(tbl_FACTS[[#This Row],[ProductID]],Πίνακας7[ProductID],Πίνακας7[SupplierID])</f>
        <v>20</v>
      </c>
      <c r="P438" t="str">
        <f>_xlfn.XLOOKUP(tbl_FACTS[[#This Row],[SupplierID]],Πίνακας9[SupplierID],Πίνακας9[SupplierName])</f>
        <v>Leka Trading</v>
      </c>
      <c r="Q438" s="21">
        <f>_xlfn.XLOOKUP(tbl_FACTS[[#This Row],[ProductID]],Πίνακας7[ProductID],Πίνακας7[Price])</f>
        <v>19</v>
      </c>
      <c r="R438" s="21">
        <f>tbl_FACTS[[#This Row],[Quantity]]*tbl_FACTS[[#This Row],[Price]]</f>
        <v>760</v>
      </c>
      <c r="S438" s="19">
        <f>IF(COUNTIFS(tbl_FACTS[OrderID],tbl_FACTS[[#This Row],[OrderID]],tbl_FACTS[OrderDetailID],"&lt;"&amp;tbl_FACTS[[#This Row],[OrderDetailID]])=0,1,0)</f>
        <v>0</v>
      </c>
      <c r="T438" s="19">
        <f>YEAR(tbl_FACTS[[#This Row],[OrderDate]])</f>
        <v>1997</v>
      </c>
      <c r="U438" s="22">
        <f>DATE(YEAR(tbl_FACTS[[#This Row],[OrderDate]]),MONTH(tbl_FACTS[[#This Row],[OrderDate]]),1)</f>
        <v>35431</v>
      </c>
      <c r="V438" s="22" t="str">
        <f>IF(tbl_FACTS[[#This Row],[Quantity]]&lt;=10,"0–10",IF(tbl_FACTS[[#This Row],[Quantity]]&lt;=20,"11–20",IF(tbl_FACTS[[#This Row],[Quantity]]&lt;=30,"21–30",IF(tbl_FACTS[[#This Row],[Quantity]]&lt;=40,"31–40",IF(tbl_FACTS[[#This Row],[Quantity]]&lt;=50,"41–50","51+")))))</f>
        <v>31–40</v>
      </c>
    </row>
    <row r="439" spans="1:22">
      <c r="A439">
        <v>438</v>
      </c>
      <c r="B439">
        <v>10411</v>
      </c>
      <c r="C439">
        <v>59</v>
      </c>
      <c r="D439" s="19">
        <v>9</v>
      </c>
      <c r="E439" s="20">
        <f>_xlfn.XLOOKUP(tbl_FACTS[[#This Row],[OrderID]],Πίνακας64[OrderID],Πίνακας64[OrderDate])</f>
        <v>35440</v>
      </c>
      <c r="F439">
        <f>_xlfn.XLOOKUP(tbl_FACTS[[#This Row],[OrderID]],Πίνακας64[OrderID],Πίνακας64[CustomerID])</f>
        <v>10</v>
      </c>
      <c r="G439" t="str">
        <f>_xlfn.XLOOKUP(tbl_FACTS[[#This Row],[CustomerID]],Πίνακας1[CustomerID],Πίνακας1[CustomerName])</f>
        <v>Bottom-Dollar Marketse</v>
      </c>
      <c r="H439" t="str">
        <f>_xlfn.XLOOKUP(tbl_FACTS[[#This Row],[CustomerID]],Πίνακας1[CustomerID],Πίνακας1[Country])</f>
        <v>Canada</v>
      </c>
      <c r="I439">
        <f>_xlfn.XLOOKUP(tbl_FACTS[[#This Row],[OrderID]],Πίνακας64[OrderID],Πίνακας64[EmployeeID])</f>
        <v>9</v>
      </c>
      <c r="J439">
        <f>_xlfn.XLOOKUP(tbl_FACTS[[#This Row],[OrderID]],Πίνακας64[OrderID],Πίνακας64[ShipperID])</f>
        <v>3</v>
      </c>
      <c r="K439" t="str">
        <f>_xlfn.XLOOKUP(tbl_FACTS[[#This Row],[ShipperID]],Πίνακας8[ShipperID],Πίνακας8[ShipperName])</f>
        <v>Federal Shipping</v>
      </c>
      <c r="L439" t="str">
        <f>_xlfn.XLOOKUP(tbl_FACTS[[#This Row],[ProductID]],Πίνακας7[ProductID],Πίνακας7[ProductName])</f>
        <v>Raclette Courdavault</v>
      </c>
      <c r="M439">
        <f>_xlfn.XLOOKUP(tbl_FACTS[[#This Row],[ProductID]],Πίνακας7[ProductID],Πίνακας7[CategoryID])</f>
        <v>4</v>
      </c>
      <c r="N439" t="str">
        <f>_xlfn.XLOOKUP(tbl_FACTS[[#This Row],[CategoryID]],Πίνακας4[CategoryID],Πίνακας4[CategoryName])</f>
        <v>Dairy Products</v>
      </c>
      <c r="O439">
        <f>_xlfn.XLOOKUP(tbl_FACTS[[#This Row],[ProductID]],Πίνακας7[ProductID],Πίνακας7[SupplierID])</f>
        <v>28</v>
      </c>
      <c r="P439" t="str">
        <f>_xlfn.XLOOKUP(tbl_FACTS[[#This Row],[SupplierID]],Πίνακας9[SupplierID],Πίνακας9[SupplierName])</f>
        <v>Gai paturage</v>
      </c>
      <c r="Q439" s="21">
        <f>_xlfn.XLOOKUP(tbl_FACTS[[#This Row],[ProductID]],Πίνακας7[ProductID],Πίνακας7[Price])</f>
        <v>55</v>
      </c>
      <c r="R439" s="21">
        <f>tbl_FACTS[[#This Row],[Quantity]]*tbl_FACTS[[#This Row],[Price]]</f>
        <v>495</v>
      </c>
      <c r="S439" s="19">
        <f>IF(COUNTIFS(tbl_FACTS[OrderID],tbl_FACTS[[#This Row],[OrderID]],tbl_FACTS[OrderDetailID],"&lt;"&amp;tbl_FACTS[[#This Row],[OrderDetailID]])=0,1,0)</f>
        <v>0</v>
      </c>
      <c r="T439" s="19">
        <f>YEAR(tbl_FACTS[[#This Row],[OrderDate]])</f>
        <v>1997</v>
      </c>
      <c r="U439" s="22">
        <f>DATE(YEAR(tbl_FACTS[[#This Row],[OrderDate]]),MONTH(tbl_FACTS[[#This Row],[OrderDate]]),1)</f>
        <v>35431</v>
      </c>
      <c r="V439" s="22" t="str">
        <f>IF(tbl_FACTS[[#This Row],[Quantity]]&lt;=10,"0–10",IF(tbl_FACTS[[#This Row],[Quantity]]&lt;=20,"11–20",IF(tbl_FACTS[[#This Row],[Quantity]]&lt;=30,"21–30",IF(tbl_FACTS[[#This Row],[Quantity]]&lt;=40,"31–40",IF(tbl_FACTS[[#This Row],[Quantity]]&lt;=50,"41–50","51+")))))</f>
        <v>0–10</v>
      </c>
    </row>
    <row r="440" spans="1:22">
      <c r="A440">
        <v>439</v>
      </c>
      <c r="B440">
        <v>10412</v>
      </c>
      <c r="C440">
        <v>14</v>
      </c>
      <c r="D440" s="19">
        <v>20</v>
      </c>
      <c r="E440" s="20">
        <f>_xlfn.XLOOKUP(tbl_FACTS[[#This Row],[OrderID]],Πίνακας64[OrderID],Πίνακας64[OrderDate])</f>
        <v>35443</v>
      </c>
      <c r="F440">
        <f>_xlfn.XLOOKUP(tbl_FACTS[[#This Row],[OrderID]],Πίνακας64[OrderID],Πίνακας64[CustomerID])</f>
        <v>87</v>
      </c>
      <c r="G440" t="str">
        <f>_xlfn.XLOOKUP(tbl_FACTS[[#This Row],[CustomerID]],Πίνακας1[CustomerID],Πίνακας1[CustomerName])</f>
        <v>Wartian Herkku</v>
      </c>
      <c r="H440" t="str">
        <f>_xlfn.XLOOKUP(tbl_FACTS[[#This Row],[CustomerID]],Πίνακας1[CustomerID],Πίνακας1[Country])</f>
        <v>Finland</v>
      </c>
      <c r="I440">
        <f>_xlfn.XLOOKUP(tbl_FACTS[[#This Row],[OrderID]],Πίνακας64[OrderID],Πίνακας64[EmployeeID])</f>
        <v>8</v>
      </c>
      <c r="J440">
        <f>_xlfn.XLOOKUP(tbl_FACTS[[#This Row],[OrderID]],Πίνακας64[OrderID],Πίνακας64[ShipperID])</f>
        <v>2</v>
      </c>
      <c r="K440" t="str">
        <f>_xlfn.XLOOKUP(tbl_FACTS[[#This Row],[ShipperID]],Πίνακας8[ShipperID],Πίνακας8[ShipperName])</f>
        <v>United Package</v>
      </c>
      <c r="L440" t="str">
        <f>_xlfn.XLOOKUP(tbl_FACTS[[#This Row],[ProductID]],Πίνακας7[ProductID],Πίνακας7[ProductName])</f>
        <v>Tofu</v>
      </c>
      <c r="M440">
        <f>_xlfn.XLOOKUP(tbl_FACTS[[#This Row],[ProductID]],Πίνακας7[ProductID],Πίνακας7[CategoryID])</f>
        <v>7</v>
      </c>
      <c r="N440" t="str">
        <f>_xlfn.XLOOKUP(tbl_FACTS[[#This Row],[CategoryID]],Πίνακας4[CategoryID],Πίνακας4[CategoryName])</f>
        <v>Produce</v>
      </c>
      <c r="O440">
        <f>_xlfn.XLOOKUP(tbl_FACTS[[#This Row],[ProductID]],Πίνακας7[ProductID],Πίνακας7[SupplierID])</f>
        <v>6</v>
      </c>
      <c r="P440" t="str">
        <f>_xlfn.XLOOKUP(tbl_FACTS[[#This Row],[SupplierID]],Πίνακας9[SupplierID],Πίνακας9[SupplierName])</f>
        <v>Mayumi's</v>
      </c>
      <c r="Q440" s="21">
        <f>_xlfn.XLOOKUP(tbl_FACTS[[#This Row],[ProductID]],Πίνακας7[ProductID],Πίνακας7[Price])</f>
        <v>23</v>
      </c>
      <c r="R440" s="21">
        <f>tbl_FACTS[[#This Row],[Quantity]]*tbl_FACTS[[#This Row],[Price]]</f>
        <v>460</v>
      </c>
      <c r="S440" s="19">
        <f>IF(COUNTIFS(tbl_FACTS[OrderID],tbl_FACTS[[#This Row],[OrderID]],tbl_FACTS[OrderDetailID],"&lt;"&amp;tbl_FACTS[[#This Row],[OrderDetailID]])=0,1,0)</f>
        <v>1</v>
      </c>
      <c r="T440" s="19">
        <f>YEAR(tbl_FACTS[[#This Row],[OrderDate]])</f>
        <v>1997</v>
      </c>
      <c r="U440" s="22">
        <f>DATE(YEAR(tbl_FACTS[[#This Row],[OrderDate]]),MONTH(tbl_FACTS[[#This Row],[OrderDate]]),1)</f>
        <v>35431</v>
      </c>
      <c r="V440" s="22" t="str">
        <f>IF(tbl_FACTS[[#This Row],[Quantity]]&lt;=10,"0–10",IF(tbl_FACTS[[#This Row],[Quantity]]&lt;=20,"11–20",IF(tbl_FACTS[[#This Row],[Quantity]]&lt;=30,"21–30",IF(tbl_FACTS[[#This Row],[Quantity]]&lt;=40,"31–40",IF(tbl_FACTS[[#This Row],[Quantity]]&lt;=50,"41–50","51+")))))</f>
        <v>11–20</v>
      </c>
    </row>
    <row r="441" spans="1:22">
      <c r="A441">
        <v>440</v>
      </c>
      <c r="B441">
        <v>10413</v>
      </c>
      <c r="C441">
        <v>1</v>
      </c>
      <c r="D441" s="19">
        <v>24</v>
      </c>
      <c r="E441" s="20">
        <f>_xlfn.XLOOKUP(tbl_FACTS[[#This Row],[OrderID]],Πίνακας64[OrderID],Πίνακας64[OrderDate])</f>
        <v>35444</v>
      </c>
      <c r="F441">
        <f>_xlfn.XLOOKUP(tbl_FACTS[[#This Row],[OrderID]],Πίνακας64[OrderID],Πίνακας64[CustomerID])</f>
        <v>41</v>
      </c>
      <c r="G441" t="str">
        <f>_xlfn.XLOOKUP(tbl_FACTS[[#This Row],[CustomerID]],Πίνακας1[CustomerID],Πίνακας1[CustomerName])</f>
        <v>La maison d''Asie</v>
      </c>
      <c r="H441" t="str">
        <f>_xlfn.XLOOKUP(tbl_FACTS[[#This Row],[CustomerID]],Πίνακας1[CustomerID],Πίνακας1[Country])</f>
        <v>France</v>
      </c>
      <c r="I441">
        <f>_xlfn.XLOOKUP(tbl_FACTS[[#This Row],[OrderID]],Πίνακας64[OrderID],Πίνακας64[EmployeeID])</f>
        <v>3</v>
      </c>
      <c r="J441">
        <f>_xlfn.XLOOKUP(tbl_FACTS[[#This Row],[OrderID]],Πίνακας64[OrderID],Πίνακας64[ShipperID])</f>
        <v>2</v>
      </c>
      <c r="K441" t="str">
        <f>_xlfn.XLOOKUP(tbl_FACTS[[#This Row],[ShipperID]],Πίνακας8[ShipperID],Πίνακας8[ShipperName])</f>
        <v>United Package</v>
      </c>
      <c r="L441" t="str">
        <f>_xlfn.XLOOKUP(tbl_FACTS[[#This Row],[ProductID]],Πίνακας7[ProductID],Πίνακας7[ProductName])</f>
        <v>Chais</v>
      </c>
      <c r="M441">
        <f>_xlfn.XLOOKUP(tbl_FACTS[[#This Row],[ProductID]],Πίνακας7[ProductID],Πίνακας7[CategoryID])</f>
        <v>1</v>
      </c>
      <c r="N441" t="str">
        <f>_xlfn.XLOOKUP(tbl_FACTS[[#This Row],[CategoryID]],Πίνακας4[CategoryID],Πίνακας4[CategoryName])</f>
        <v>Beverages</v>
      </c>
      <c r="O441">
        <f>_xlfn.XLOOKUP(tbl_FACTS[[#This Row],[ProductID]],Πίνακας7[ProductID],Πίνακας7[SupplierID])</f>
        <v>1</v>
      </c>
      <c r="P441" t="str">
        <f>_xlfn.XLOOKUP(tbl_FACTS[[#This Row],[SupplierID]],Πίνακας9[SupplierID],Πίνακας9[SupplierName])</f>
        <v>Exotic Liquid</v>
      </c>
      <c r="Q441" s="21">
        <f>_xlfn.XLOOKUP(tbl_FACTS[[#This Row],[ProductID]],Πίνακας7[ProductID],Πίνακας7[Price])</f>
        <v>18</v>
      </c>
      <c r="R441" s="21">
        <f>tbl_FACTS[[#This Row],[Quantity]]*tbl_FACTS[[#This Row],[Price]]</f>
        <v>432</v>
      </c>
      <c r="S441" s="19">
        <f>IF(COUNTIFS(tbl_FACTS[OrderID],tbl_FACTS[[#This Row],[OrderID]],tbl_FACTS[OrderDetailID],"&lt;"&amp;tbl_FACTS[[#This Row],[OrderDetailID]])=0,1,0)</f>
        <v>1</v>
      </c>
      <c r="T441" s="19">
        <f>YEAR(tbl_FACTS[[#This Row],[OrderDate]])</f>
        <v>1997</v>
      </c>
      <c r="U441" s="22">
        <f>DATE(YEAR(tbl_FACTS[[#This Row],[OrderDate]]),MONTH(tbl_FACTS[[#This Row],[OrderDate]]),1)</f>
        <v>35431</v>
      </c>
      <c r="V441" s="22" t="str">
        <f>IF(tbl_FACTS[[#This Row],[Quantity]]&lt;=10,"0–10",IF(tbl_FACTS[[#This Row],[Quantity]]&lt;=20,"11–20",IF(tbl_FACTS[[#This Row],[Quantity]]&lt;=30,"21–30",IF(tbl_FACTS[[#This Row],[Quantity]]&lt;=40,"31–40",IF(tbl_FACTS[[#This Row],[Quantity]]&lt;=50,"41–50","51+")))))</f>
        <v>21–30</v>
      </c>
    </row>
    <row r="442" spans="1:22">
      <c r="A442">
        <v>441</v>
      </c>
      <c r="B442">
        <v>10413</v>
      </c>
      <c r="C442">
        <v>62</v>
      </c>
      <c r="D442" s="19">
        <v>40</v>
      </c>
      <c r="E442" s="20">
        <f>_xlfn.XLOOKUP(tbl_FACTS[[#This Row],[OrderID]],Πίνακας64[OrderID],Πίνακας64[OrderDate])</f>
        <v>35444</v>
      </c>
      <c r="F442">
        <f>_xlfn.XLOOKUP(tbl_FACTS[[#This Row],[OrderID]],Πίνακας64[OrderID],Πίνακας64[CustomerID])</f>
        <v>41</v>
      </c>
      <c r="G442" t="str">
        <f>_xlfn.XLOOKUP(tbl_FACTS[[#This Row],[CustomerID]],Πίνακας1[CustomerID],Πίνακας1[CustomerName])</f>
        <v>La maison d''Asie</v>
      </c>
      <c r="H442" t="str">
        <f>_xlfn.XLOOKUP(tbl_FACTS[[#This Row],[CustomerID]],Πίνακας1[CustomerID],Πίνακας1[Country])</f>
        <v>France</v>
      </c>
      <c r="I442">
        <f>_xlfn.XLOOKUP(tbl_FACTS[[#This Row],[OrderID]],Πίνακας64[OrderID],Πίνακας64[EmployeeID])</f>
        <v>3</v>
      </c>
      <c r="J442">
        <f>_xlfn.XLOOKUP(tbl_FACTS[[#This Row],[OrderID]],Πίνακας64[OrderID],Πίνακας64[ShipperID])</f>
        <v>2</v>
      </c>
      <c r="K442" t="str">
        <f>_xlfn.XLOOKUP(tbl_FACTS[[#This Row],[ShipperID]],Πίνακας8[ShipperID],Πίνακας8[ShipperName])</f>
        <v>United Package</v>
      </c>
      <c r="L442" t="str">
        <f>_xlfn.XLOOKUP(tbl_FACTS[[#This Row],[ProductID]],Πίνακας7[ProductID],Πίνακας7[ProductName])</f>
        <v>Tarte au sucre</v>
      </c>
      <c r="M442">
        <f>_xlfn.XLOOKUP(tbl_FACTS[[#This Row],[ProductID]],Πίνακας7[ProductID],Πίνακας7[CategoryID])</f>
        <v>3</v>
      </c>
      <c r="N442" t="str">
        <f>_xlfn.XLOOKUP(tbl_FACTS[[#This Row],[CategoryID]],Πίνακας4[CategoryID],Πίνακας4[CategoryName])</f>
        <v>Confections</v>
      </c>
      <c r="O442">
        <f>_xlfn.XLOOKUP(tbl_FACTS[[#This Row],[ProductID]],Πίνακας7[ProductID],Πίνακας7[SupplierID])</f>
        <v>29</v>
      </c>
      <c r="P442" t="str">
        <f>_xlfn.XLOOKUP(tbl_FACTS[[#This Row],[SupplierID]],Πίνακας9[SupplierID],Πίνακας9[SupplierName])</f>
        <v>Forets d'erables</v>
      </c>
      <c r="Q442" s="21">
        <f>_xlfn.XLOOKUP(tbl_FACTS[[#This Row],[ProductID]],Πίνακας7[ProductID],Πίνακας7[Price])</f>
        <v>49</v>
      </c>
      <c r="R442" s="21">
        <f>tbl_FACTS[[#This Row],[Quantity]]*tbl_FACTS[[#This Row],[Price]]</f>
        <v>1960</v>
      </c>
      <c r="S442" s="19">
        <f>IF(COUNTIFS(tbl_FACTS[OrderID],tbl_FACTS[[#This Row],[OrderID]],tbl_FACTS[OrderDetailID],"&lt;"&amp;tbl_FACTS[[#This Row],[OrderDetailID]])=0,1,0)</f>
        <v>0</v>
      </c>
      <c r="T442" s="19">
        <f>YEAR(tbl_FACTS[[#This Row],[OrderDate]])</f>
        <v>1997</v>
      </c>
      <c r="U442" s="22">
        <f>DATE(YEAR(tbl_FACTS[[#This Row],[OrderDate]]),MONTH(tbl_FACTS[[#This Row],[OrderDate]]),1)</f>
        <v>35431</v>
      </c>
      <c r="V442" s="22" t="str">
        <f>IF(tbl_FACTS[[#This Row],[Quantity]]&lt;=10,"0–10",IF(tbl_FACTS[[#This Row],[Quantity]]&lt;=20,"11–20",IF(tbl_FACTS[[#This Row],[Quantity]]&lt;=30,"21–30",IF(tbl_FACTS[[#This Row],[Quantity]]&lt;=40,"31–40",IF(tbl_FACTS[[#This Row],[Quantity]]&lt;=50,"41–50","51+")))))</f>
        <v>31–40</v>
      </c>
    </row>
    <row r="443" spans="1:22">
      <c r="A443">
        <v>442</v>
      </c>
      <c r="B443">
        <v>10413</v>
      </c>
      <c r="C443">
        <v>76</v>
      </c>
      <c r="D443" s="19">
        <v>14</v>
      </c>
      <c r="E443" s="20">
        <f>_xlfn.XLOOKUP(tbl_FACTS[[#This Row],[OrderID]],Πίνακας64[OrderID],Πίνακας64[OrderDate])</f>
        <v>35444</v>
      </c>
      <c r="F443">
        <f>_xlfn.XLOOKUP(tbl_FACTS[[#This Row],[OrderID]],Πίνακας64[OrderID],Πίνακας64[CustomerID])</f>
        <v>41</v>
      </c>
      <c r="G443" t="str">
        <f>_xlfn.XLOOKUP(tbl_FACTS[[#This Row],[CustomerID]],Πίνακας1[CustomerID],Πίνακας1[CustomerName])</f>
        <v>La maison d''Asie</v>
      </c>
      <c r="H443" t="str">
        <f>_xlfn.XLOOKUP(tbl_FACTS[[#This Row],[CustomerID]],Πίνακας1[CustomerID],Πίνακας1[Country])</f>
        <v>France</v>
      </c>
      <c r="I443">
        <f>_xlfn.XLOOKUP(tbl_FACTS[[#This Row],[OrderID]],Πίνακας64[OrderID],Πίνακας64[EmployeeID])</f>
        <v>3</v>
      </c>
      <c r="J443">
        <f>_xlfn.XLOOKUP(tbl_FACTS[[#This Row],[OrderID]],Πίνακας64[OrderID],Πίνακας64[ShipperID])</f>
        <v>2</v>
      </c>
      <c r="K443" t="str">
        <f>_xlfn.XLOOKUP(tbl_FACTS[[#This Row],[ShipperID]],Πίνακας8[ShipperID],Πίνακας8[ShipperName])</f>
        <v>United Package</v>
      </c>
      <c r="L443" t="str">
        <f>_xlfn.XLOOKUP(tbl_FACTS[[#This Row],[ProductID]],Πίνακας7[ProductID],Πίνακας7[ProductName])</f>
        <v>Lakkalikoori</v>
      </c>
      <c r="M443">
        <f>_xlfn.XLOOKUP(tbl_FACTS[[#This Row],[ProductID]],Πίνακας7[ProductID],Πίνακας7[CategoryID])</f>
        <v>1</v>
      </c>
      <c r="N443" t="str">
        <f>_xlfn.XLOOKUP(tbl_FACTS[[#This Row],[CategoryID]],Πίνακας4[CategoryID],Πίνακας4[CategoryName])</f>
        <v>Beverages</v>
      </c>
      <c r="O443">
        <f>_xlfn.XLOOKUP(tbl_FACTS[[#This Row],[ProductID]],Πίνακας7[ProductID],Πίνακας7[SupplierID])</f>
        <v>23</v>
      </c>
      <c r="P443" t="str">
        <f>_xlfn.XLOOKUP(tbl_FACTS[[#This Row],[SupplierID]],Πίνακας9[SupplierID],Πίνακας9[SupplierName])</f>
        <v>Karkki Oy</v>
      </c>
      <c r="Q443" s="21">
        <f>_xlfn.XLOOKUP(tbl_FACTS[[#This Row],[ProductID]],Πίνακας7[ProductID],Πίνακας7[Price])</f>
        <v>18</v>
      </c>
      <c r="R443" s="21">
        <f>tbl_FACTS[[#This Row],[Quantity]]*tbl_FACTS[[#This Row],[Price]]</f>
        <v>252</v>
      </c>
      <c r="S443" s="19">
        <f>IF(COUNTIFS(tbl_FACTS[OrderID],tbl_FACTS[[#This Row],[OrderID]],tbl_FACTS[OrderDetailID],"&lt;"&amp;tbl_FACTS[[#This Row],[OrderDetailID]])=0,1,0)</f>
        <v>0</v>
      </c>
      <c r="T443" s="19">
        <f>YEAR(tbl_FACTS[[#This Row],[OrderDate]])</f>
        <v>1997</v>
      </c>
      <c r="U443" s="22">
        <f>DATE(YEAR(tbl_FACTS[[#This Row],[OrderDate]]),MONTH(tbl_FACTS[[#This Row],[OrderDate]]),1)</f>
        <v>35431</v>
      </c>
      <c r="V443" s="22" t="str">
        <f>IF(tbl_FACTS[[#This Row],[Quantity]]&lt;=10,"0–10",IF(tbl_FACTS[[#This Row],[Quantity]]&lt;=20,"11–20",IF(tbl_FACTS[[#This Row],[Quantity]]&lt;=30,"21–30",IF(tbl_FACTS[[#This Row],[Quantity]]&lt;=40,"31–40",IF(tbl_FACTS[[#This Row],[Quantity]]&lt;=50,"41–50","51+")))))</f>
        <v>11–20</v>
      </c>
    </row>
    <row r="444" spans="1:22">
      <c r="A444">
        <v>443</v>
      </c>
      <c r="B444">
        <v>10414</v>
      </c>
      <c r="C444">
        <v>19</v>
      </c>
      <c r="D444" s="19">
        <v>18</v>
      </c>
      <c r="E444" s="20">
        <f>_xlfn.XLOOKUP(tbl_FACTS[[#This Row],[OrderID]],Πίνακας64[OrderID],Πίνακας64[OrderDate])</f>
        <v>35444</v>
      </c>
      <c r="F444">
        <f>_xlfn.XLOOKUP(tbl_FACTS[[#This Row],[OrderID]],Πίνακας64[OrderID],Πίνακας64[CustomerID])</f>
        <v>21</v>
      </c>
      <c r="G444" t="str">
        <f>_xlfn.XLOOKUP(tbl_FACTS[[#This Row],[CustomerID]],Πίνακας1[CustomerID],Πίνακας1[CustomerName])</f>
        <v>Familia Arquibaldo</v>
      </c>
      <c r="H444" t="str">
        <f>_xlfn.XLOOKUP(tbl_FACTS[[#This Row],[CustomerID]],Πίνακας1[CustomerID],Πίνακας1[Country])</f>
        <v>Brazil</v>
      </c>
      <c r="I444">
        <f>_xlfn.XLOOKUP(tbl_FACTS[[#This Row],[OrderID]],Πίνακας64[OrderID],Πίνακας64[EmployeeID])</f>
        <v>2</v>
      </c>
      <c r="J444">
        <f>_xlfn.XLOOKUP(tbl_FACTS[[#This Row],[OrderID]],Πίνακας64[OrderID],Πίνακας64[ShipperID])</f>
        <v>3</v>
      </c>
      <c r="K444" t="str">
        <f>_xlfn.XLOOKUP(tbl_FACTS[[#This Row],[ShipperID]],Πίνακας8[ShipperID],Πίνακας8[ShipperName])</f>
        <v>Federal Shipping</v>
      </c>
      <c r="L444" t="str">
        <f>_xlfn.XLOOKUP(tbl_FACTS[[#This Row],[ProductID]],Πίνακας7[ProductID],Πίνακας7[ProductName])</f>
        <v>Teatime Chocolate Biscuits</v>
      </c>
      <c r="M444">
        <f>_xlfn.XLOOKUP(tbl_FACTS[[#This Row],[ProductID]],Πίνακας7[ProductID],Πίνακας7[CategoryID])</f>
        <v>3</v>
      </c>
      <c r="N444" t="str">
        <f>_xlfn.XLOOKUP(tbl_FACTS[[#This Row],[CategoryID]],Πίνακας4[CategoryID],Πίνακας4[CategoryName])</f>
        <v>Confections</v>
      </c>
      <c r="O444">
        <f>_xlfn.XLOOKUP(tbl_FACTS[[#This Row],[ProductID]],Πίνακας7[ProductID],Πίνακας7[SupplierID])</f>
        <v>8</v>
      </c>
      <c r="P444" t="str">
        <f>_xlfn.XLOOKUP(tbl_FACTS[[#This Row],[SupplierID]],Πίνακας9[SupplierID],Πίνακας9[SupplierName])</f>
        <v>Specialty Biscuits, Ltd.</v>
      </c>
      <c r="Q444" s="21">
        <f>_xlfn.XLOOKUP(tbl_FACTS[[#This Row],[ProductID]],Πίνακας7[ProductID],Πίνακας7[Price])</f>
        <v>9</v>
      </c>
      <c r="R444" s="21">
        <f>tbl_FACTS[[#This Row],[Quantity]]*tbl_FACTS[[#This Row],[Price]]</f>
        <v>162</v>
      </c>
      <c r="S444" s="19">
        <f>IF(COUNTIFS(tbl_FACTS[OrderID],tbl_FACTS[[#This Row],[OrderID]],tbl_FACTS[OrderDetailID],"&lt;"&amp;tbl_FACTS[[#This Row],[OrderDetailID]])=0,1,0)</f>
        <v>1</v>
      </c>
      <c r="T444" s="19">
        <f>YEAR(tbl_FACTS[[#This Row],[OrderDate]])</f>
        <v>1997</v>
      </c>
      <c r="U444" s="22">
        <f>DATE(YEAR(tbl_FACTS[[#This Row],[OrderDate]]),MONTH(tbl_FACTS[[#This Row],[OrderDate]]),1)</f>
        <v>35431</v>
      </c>
      <c r="V444" s="22" t="str">
        <f>IF(tbl_FACTS[[#This Row],[Quantity]]&lt;=10,"0–10",IF(tbl_FACTS[[#This Row],[Quantity]]&lt;=20,"11–20",IF(tbl_FACTS[[#This Row],[Quantity]]&lt;=30,"21–30",IF(tbl_FACTS[[#This Row],[Quantity]]&lt;=40,"31–40",IF(tbl_FACTS[[#This Row],[Quantity]]&lt;=50,"41–50","51+")))))</f>
        <v>11–20</v>
      </c>
    </row>
    <row r="445" spans="1:22">
      <c r="A445">
        <v>444</v>
      </c>
      <c r="B445">
        <v>10414</v>
      </c>
      <c r="C445">
        <v>33</v>
      </c>
      <c r="D445" s="19">
        <v>50</v>
      </c>
      <c r="E445" s="20">
        <f>_xlfn.XLOOKUP(tbl_FACTS[[#This Row],[OrderID]],Πίνακας64[OrderID],Πίνακας64[OrderDate])</f>
        <v>35444</v>
      </c>
      <c r="F445">
        <f>_xlfn.XLOOKUP(tbl_FACTS[[#This Row],[OrderID]],Πίνακας64[OrderID],Πίνακας64[CustomerID])</f>
        <v>21</v>
      </c>
      <c r="G445" t="str">
        <f>_xlfn.XLOOKUP(tbl_FACTS[[#This Row],[CustomerID]],Πίνακας1[CustomerID],Πίνακας1[CustomerName])</f>
        <v>Familia Arquibaldo</v>
      </c>
      <c r="H445" t="str">
        <f>_xlfn.XLOOKUP(tbl_FACTS[[#This Row],[CustomerID]],Πίνακας1[CustomerID],Πίνακας1[Country])</f>
        <v>Brazil</v>
      </c>
      <c r="I445">
        <f>_xlfn.XLOOKUP(tbl_FACTS[[#This Row],[OrderID]],Πίνακας64[OrderID],Πίνακας64[EmployeeID])</f>
        <v>2</v>
      </c>
      <c r="J445">
        <f>_xlfn.XLOOKUP(tbl_FACTS[[#This Row],[OrderID]],Πίνακας64[OrderID],Πίνακας64[ShipperID])</f>
        <v>3</v>
      </c>
      <c r="K445" t="str">
        <f>_xlfn.XLOOKUP(tbl_FACTS[[#This Row],[ShipperID]],Πίνακας8[ShipperID],Πίνακας8[ShipperName])</f>
        <v>Federal Shipping</v>
      </c>
      <c r="L445" t="str">
        <f>_xlfn.XLOOKUP(tbl_FACTS[[#This Row],[ProductID]],Πίνακας7[ProductID],Πίνακας7[ProductName])</f>
        <v>Geitost</v>
      </c>
      <c r="M445">
        <f>_xlfn.XLOOKUP(tbl_FACTS[[#This Row],[ProductID]],Πίνακας7[ProductID],Πίνακας7[CategoryID])</f>
        <v>4</v>
      </c>
      <c r="N445" t="str">
        <f>_xlfn.XLOOKUP(tbl_FACTS[[#This Row],[CategoryID]],Πίνακας4[CategoryID],Πίνακας4[CategoryName])</f>
        <v>Dairy Products</v>
      </c>
      <c r="O445">
        <f>_xlfn.XLOOKUP(tbl_FACTS[[#This Row],[ProductID]],Πίνακας7[ProductID],Πίνακας7[SupplierID])</f>
        <v>15</v>
      </c>
      <c r="P445" t="str">
        <f>_xlfn.XLOOKUP(tbl_FACTS[[#This Row],[SupplierID]],Πίνακας9[SupplierID],Πίνακας9[SupplierName])</f>
        <v>Norske Meierier</v>
      </c>
      <c r="Q445" s="21">
        <f>_xlfn.XLOOKUP(tbl_FACTS[[#This Row],[ProductID]],Πίνακας7[ProductID],Πίνακας7[Price])</f>
        <v>3</v>
      </c>
      <c r="R445" s="21">
        <f>tbl_FACTS[[#This Row],[Quantity]]*tbl_FACTS[[#This Row],[Price]]</f>
        <v>150</v>
      </c>
      <c r="S445" s="19">
        <f>IF(COUNTIFS(tbl_FACTS[OrderID],tbl_FACTS[[#This Row],[OrderID]],tbl_FACTS[OrderDetailID],"&lt;"&amp;tbl_FACTS[[#This Row],[OrderDetailID]])=0,1,0)</f>
        <v>0</v>
      </c>
      <c r="T445" s="19">
        <f>YEAR(tbl_FACTS[[#This Row],[OrderDate]])</f>
        <v>1997</v>
      </c>
      <c r="U445" s="22">
        <f>DATE(YEAR(tbl_FACTS[[#This Row],[OrderDate]]),MONTH(tbl_FACTS[[#This Row],[OrderDate]]),1)</f>
        <v>35431</v>
      </c>
      <c r="V445" s="22" t="str">
        <f>IF(tbl_FACTS[[#This Row],[Quantity]]&lt;=10,"0–10",IF(tbl_FACTS[[#This Row],[Quantity]]&lt;=20,"11–20",IF(tbl_FACTS[[#This Row],[Quantity]]&lt;=30,"21–30",IF(tbl_FACTS[[#This Row],[Quantity]]&lt;=40,"31–40",IF(tbl_FACTS[[#This Row],[Quantity]]&lt;=50,"41–50","51+")))))</f>
        <v>41–50</v>
      </c>
    </row>
    <row r="446" spans="1:22">
      <c r="A446">
        <v>445</v>
      </c>
      <c r="B446">
        <v>10415</v>
      </c>
      <c r="C446">
        <v>17</v>
      </c>
      <c r="D446" s="19">
        <v>2</v>
      </c>
      <c r="E446" s="20">
        <f>_xlfn.XLOOKUP(tbl_FACTS[[#This Row],[OrderID]],Πίνακας64[OrderID],Πίνακας64[OrderDate])</f>
        <v>35445</v>
      </c>
      <c r="F446">
        <f>_xlfn.XLOOKUP(tbl_FACTS[[#This Row],[OrderID]],Πίνακας64[OrderID],Πίνακας64[CustomerID])</f>
        <v>36</v>
      </c>
      <c r="G446" t="str">
        <f>_xlfn.XLOOKUP(tbl_FACTS[[#This Row],[CustomerID]],Πίνακας1[CustomerID],Πίνακας1[CustomerName])</f>
        <v>Hungry Coyote Import Store</v>
      </c>
      <c r="H446" t="str">
        <f>_xlfn.XLOOKUP(tbl_FACTS[[#This Row],[CustomerID]],Πίνακας1[CustomerID],Πίνακας1[Country])</f>
        <v>USA</v>
      </c>
      <c r="I446">
        <f>_xlfn.XLOOKUP(tbl_FACTS[[#This Row],[OrderID]],Πίνακας64[OrderID],Πίνακας64[EmployeeID])</f>
        <v>3</v>
      </c>
      <c r="J446">
        <f>_xlfn.XLOOKUP(tbl_FACTS[[#This Row],[OrderID]],Πίνακας64[OrderID],Πίνακας64[ShipperID])</f>
        <v>1</v>
      </c>
      <c r="K446" t="str">
        <f>_xlfn.XLOOKUP(tbl_FACTS[[#This Row],[ShipperID]],Πίνακας8[ShipperID],Πίνακας8[ShipperName])</f>
        <v>Speedy Express</v>
      </c>
      <c r="L446" t="str">
        <f>_xlfn.XLOOKUP(tbl_FACTS[[#This Row],[ProductID]],Πίνακας7[ProductID],Πίνακας7[ProductName])</f>
        <v>Alice Mutton</v>
      </c>
      <c r="M446">
        <f>_xlfn.XLOOKUP(tbl_FACTS[[#This Row],[ProductID]],Πίνακας7[ProductID],Πίνακας7[CategoryID])</f>
        <v>6</v>
      </c>
      <c r="N446" t="str">
        <f>_xlfn.XLOOKUP(tbl_FACTS[[#This Row],[CategoryID]],Πίνακας4[CategoryID],Πίνακας4[CategoryName])</f>
        <v>Meat/Poultry</v>
      </c>
      <c r="O446">
        <f>_xlfn.XLOOKUP(tbl_FACTS[[#This Row],[ProductID]],Πίνακας7[ProductID],Πίνακας7[SupplierID])</f>
        <v>7</v>
      </c>
      <c r="P446" t="str">
        <f>_xlfn.XLOOKUP(tbl_FACTS[[#This Row],[SupplierID]],Πίνακας9[SupplierID],Πίνακας9[SupplierName])</f>
        <v>Pavlova, Ltd.</v>
      </c>
      <c r="Q446" s="21">
        <f>_xlfn.XLOOKUP(tbl_FACTS[[#This Row],[ProductID]],Πίνακας7[ProductID],Πίνακας7[Price])</f>
        <v>39</v>
      </c>
      <c r="R446" s="21">
        <f>tbl_FACTS[[#This Row],[Quantity]]*tbl_FACTS[[#This Row],[Price]]</f>
        <v>78</v>
      </c>
      <c r="S446" s="19">
        <f>IF(COUNTIFS(tbl_FACTS[OrderID],tbl_FACTS[[#This Row],[OrderID]],tbl_FACTS[OrderDetailID],"&lt;"&amp;tbl_FACTS[[#This Row],[OrderDetailID]])=0,1,0)</f>
        <v>1</v>
      </c>
      <c r="T446" s="19">
        <f>YEAR(tbl_FACTS[[#This Row],[OrderDate]])</f>
        <v>1997</v>
      </c>
      <c r="U446" s="22">
        <f>DATE(YEAR(tbl_FACTS[[#This Row],[OrderDate]]),MONTH(tbl_FACTS[[#This Row],[OrderDate]]),1)</f>
        <v>35431</v>
      </c>
      <c r="V446" s="22" t="str">
        <f>IF(tbl_FACTS[[#This Row],[Quantity]]&lt;=10,"0–10",IF(tbl_FACTS[[#This Row],[Quantity]]&lt;=20,"11–20",IF(tbl_FACTS[[#This Row],[Quantity]]&lt;=30,"21–30",IF(tbl_FACTS[[#This Row],[Quantity]]&lt;=40,"31–40",IF(tbl_FACTS[[#This Row],[Quantity]]&lt;=50,"41–50","51+")))))</f>
        <v>0–10</v>
      </c>
    </row>
    <row r="447" spans="1:22">
      <c r="A447">
        <v>446</v>
      </c>
      <c r="B447">
        <v>10415</v>
      </c>
      <c r="C447">
        <v>33</v>
      </c>
      <c r="D447" s="19">
        <v>20</v>
      </c>
      <c r="E447" s="20">
        <f>_xlfn.XLOOKUP(tbl_FACTS[[#This Row],[OrderID]],Πίνακας64[OrderID],Πίνακας64[OrderDate])</f>
        <v>35445</v>
      </c>
      <c r="F447">
        <f>_xlfn.XLOOKUP(tbl_FACTS[[#This Row],[OrderID]],Πίνακας64[OrderID],Πίνακας64[CustomerID])</f>
        <v>36</v>
      </c>
      <c r="G447" t="str">
        <f>_xlfn.XLOOKUP(tbl_FACTS[[#This Row],[CustomerID]],Πίνακας1[CustomerID],Πίνακας1[CustomerName])</f>
        <v>Hungry Coyote Import Store</v>
      </c>
      <c r="H447" t="str">
        <f>_xlfn.XLOOKUP(tbl_FACTS[[#This Row],[CustomerID]],Πίνακας1[CustomerID],Πίνακας1[Country])</f>
        <v>USA</v>
      </c>
      <c r="I447">
        <f>_xlfn.XLOOKUP(tbl_FACTS[[#This Row],[OrderID]],Πίνακας64[OrderID],Πίνακας64[EmployeeID])</f>
        <v>3</v>
      </c>
      <c r="J447">
        <f>_xlfn.XLOOKUP(tbl_FACTS[[#This Row],[OrderID]],Πίνακας64[OrderID],Πίνακας64[ShipperID])</f>
        <v>1</v>
      </c>
      <c r="K447" t="str">
        <f>_xlfn.XLOOKUP(tbl_FACTS[[#This Row],[ShipperID]],Πίνακας8[ShipperID],Πίνακας8[ShipperName])</f>
        <v>Speedy Express</v>
      </c>
      <c r="L447" t="str">
        <f>_xlfn.XLOOKUP(tbl_FACTS[[#This Row],[ProductID]],Πίνακας7[ProductID],Πίνακας7[ProductName])</f>
        <v>Geitost</v>
      </c>
      <c r="M447">
        <f>_xlfn.XLOOKUP(tbl_FACTS[[#This Row],[ProductID]],Πίνακας7[ProductID],Πίνακας7[CategoryID])</f>
        <v>4</v>
      </c>
      <c r="N447" t="str">
        <f>_xlfn.XLOOKUP(tbl_FACTS[[#This Row],[CategoryID]],Πίνακας4[CategoryID],Πίνακας4[CategoryName])</f>
        <v>Dairy Products</v>
      </c>
      <c r="O447">
        <f>_xlfn.XLOOKUP(tbl_FACTS[[#This Row],[ProductID]],Πίνακας7[ProductID],Πίνακας7[SupplierID])</f>
        <v>15</v>
      </c>
      <c r="P447" t="str">
        <f>_xlfn.XLOOKUP(tbl_FACTS[[#This Row],[SupplierID]],Πίνακας9[SupplierID],Πίνακας9[SupplierName])</f>
        <v>Norske Meierier</v>
      </c>
      <c r="Q447" s="21">
        <f>_xlfn.XLOOKUP(tbl_FACTS[[#This Row],[ProductID]],Πίνακας7[ProductID],Πίνακας7[Price])</f>
        <v>3</v>
      </c>
      <c r="R447" s="21">
        <f>tbl_FACTS[[#This Row],[Quantity]]*tbl_FACTS[[#This Row],[Price]]</f>
        <v>60</v>
      </c>
      <c r="S447" s="19">
        <f>IF(COUNTIFS(tbl_FACTS[OrderID],tbl_FACTS[[#This Row],[OrderID]],tbl_FACTS[OrderDetailID],"&lt;"&amp;tbl_FACTS[[#This Row],[OrderDetailID]])=0,1,0)</f>
        <v>0</v>
      </c>
      <c r="T447" s="19">
        <f>YEAR(tbl_FACTS[[#This Row],[OrderDate]])</f>
        <v>1997</v>
      </c>
      <c r="U447" s="22">
        <f>DATE(YEAR(tbl_FACTS[[#This Row],[OrderDate]]),MONTH(tbl_FACTS[[#This Row],[OrderDate]]),1)</f>
        <v>35431</v>
      </c>
      <c r="V447" s="22" t="str">
        <f>IF(tbl_FACTS[[#This Row],[Quantity]]&lt;=10,"0–10",IF(tbl_FACTS[[#This Row],[Quantity]]&lt;=20,"11–20",IF(tbl_FACTS[[#This Row],[Quantity]]&lt;=30,"21–30",IF(tbl_FACTS[[#This Row],[Quantity]]&lt;=40,"31–40",IF(tbl_FACTS[[#This Row],[Quantity]]&lt;=50,"41–50","51+")))))</f>
        <v>11–20</v>
      </c>
    </row>
    <row r="448" spans="1:22">
      <c r="A448">
        <v>447</v>
      </c>
      <c r="B448">
        <v>10416</v>
      </c>
      <c r="C448">
        <v>19</v>
      </c>
      <c r="D448" s="19">
        <v>20</v>
      </c>
      <c r="E448" s="20">
        <f>_xlfn.XLOOKUP(tbl_FACTS[[#This Row],[OrderID]],Πίνακας64[OrderID],Πίνακας64[OrderDate])</f>
        <v>35446</v>
      </c>
      <c r="F448">
        <f>_xlfn.XLOOKUP(tbl_FACTS[[#This Row],[OrderID]],Πίνακας64[OrderID],Πίνακας64[CustomerID])</f>
        <v>87</v>
      </c>
      <c r="G448" t="str">
        <f>_xlfn.XLOOKUP(tbl_FACTS[[#This Row],[CustomerID]],Πίνακας1[CustomerID],Πίνακας1[CustomerName])</f>
        <v>Wartian Herkku</v>
      </c>
      <c r="H448" t="str">
        <f>_xlfn.XLOOKUP(tbl_FACTS[[#This Row],[CustomerID]],Πίνακας1[CustomerID],Πίνακας1[Country])</f>
        <v>Finland</v>
      </c>
      <c r="I448">
        <f>_xlfn.XLOOKUP(tbl_FACTS[[#This Row],[OrderID]],Πίνακας64[OrderID],Πίνακας64[EmployeeID])</f>
        <v>8</v>
      </c>
      <c r="J448">
        <f>_xlfn.XLOOKUP(tbl_FACTS[[#This Row],[OrderID]],Πίνακας64[OrderID],Πίνακας64[ShipperID])</f>
        <v>3</v>
      </c>
      <c r="K448" t="str">
        <f>_xlfn.XLOOKUP(tbl_FACTS[[#This Row],[ShipperID]],Πίνακας8[ShipperID],Πίνακας8[ShipperName])</f>
        <v>Federal Shipping</v>
      </c>
      <c r="L448" t="str">
        <f>_xlfn.XLOOKUP(tbl_FACTS[[#This Row],[ProductID]],Πίνακας7[ProductID],Πίνακας7[ProductName])</f>
        <v>Teatime Chocolate Biscuits</v>
      </c>
      <c r="M448">
        <f>_xlfn.XLOOKUP(tbl_FACTS[[#This Row],[ProductID]],Πίνακας7[ProductID],Πίνακας7[CategoryID])</f>
        <v>3</v>
      </c>
      <c r="N448" t="str">
        <f>_xlfn.XLOOKUP(tbl_FACTS[[#This Row],[CategoryID]],Πίνακας4[CategoryID],Πίνακας4[CategoryName])</f>
        <v>Confections</v>
      </c>
      <c r="O448">
        <f>_xlfn.XLOOKUP(tbl_FACTS[[#This Row],[ProductID]],Πίνακας7[ProductID],Πίνακας7[SupplierID])</f>
        <v>8</v>
      </c>
      <c r="P448" t="str">
        <f>_xlfn.XLOOKUP(tbl_FACTS[[#This Row],[SupplierID]],Πίνακας9[SupplierID],Πίνακας9[SupplierName])</f>
        <v>Specialty Biscuits, Ltd.</v>
      </c>
      <c r="Q448" s="21">
        <f>_xlfn.XLOOKUP(tbl_FACTS[[#This Row],[ProductID]],Πίνακας7[ProductID],Πίνακας7[Price])</f>
        <v>9</v>
      </c>
      <c r="R448" s="21">
        <f>tbl_FACTS[[#This Row],[Quantity]]*tbl_FACTS[[#This Row],[Price]]</f>
        <v>180</v>
      </c>
      <c r="S448" s="19">
        <f>IF(COUNTIFS(tbl_FACTS[OrderID],tbl_FACTS[[#This Row],[OrderID]],tbl_FACTS[OrderDetailID],"&lt;"&amp;tbl_FACTS[[#This Row],[OrderDetailID]])=0,1,0)</f>
        <v>1</v>
      </c>
      <c r="T448" s="19">
        <f>YEAR(tbl_FACTS[[#This Row],[OrderDate]])</f>
        <v>1997</v>
      </c>
      <c r="U448" s="22">
        <f>DATE(YEAR(tbl_FACTS[[#This Row],[OrderDate]]),MONTH(tbl_FACTS[[#This Row],[OrderDate]]),1)</f>
        <v>35431</v>
      </c>
      <c r="V448" s="22" t="str">
        <f>IF(tbl_FACTS[[#This Row],[Quantity]]&lt;=10,"0–10",IF(tbl_FACTS[[#This Row],[Quantity]]&lt;=20,"11–20",IF(tbl_FACTS[[#This Row],[Quantity]]&lt;=30,"21–30",IF(tbl_FACTS[[#This Row],[Quantity]]&lt;=40,"31–40",IF(tbl_FACTS[[#This Row],[Quantity]]&lt;=50,"41–50","51+")))))</f>
        <v>11–20</v>
      </c>
    </row>
    <row r="449" spans="1:22">
      <c r="A449">
        <v>448</v>
      </c>
      <c r="B449">
        <v>10416</v>
      </c>
      <c r="C449">
        <v>53</v>
      </c>
      <c r="D449" s="19">
        <v>10</v>
      </c>
      <c r="E449" s="20">
        <f>_xlfn.XLOOKUP(tbl_FACTS[[#This Row],[OrderID]],Πίνακας64[OrderID],Πίνακας64[OrderDate])</f>
        <v>35446</v>
      </c>
      <c r="F449">
        <f>_xlfn.XLOOKUP(tbl_FACTS[[#This Row],[OrderID]],Πίνακας64[OrderID],Πίνακας64[CustomerID])</f>
        <v>87</v>
      </c>
      <c r="G449" t="str">
        <f>_xlfn.XLOOKUP(tbl_FACTS[[#This Row],[CustomerID]],Πίνακας1[CustomerID],Πίνακας1[CustomerName])</f>
        <v>Wartian Herkku</v>
      </c>
      <c r="H449" t="str">
        <f>_xlfn.XLOOKUP(tbl_FACTS[[#This Row],[CustomerID]],Πίνακας1[CustomerID],Πίνακας1[Country])</f>
        <v>Finland</v>
      </c>
      <c r="I449">
        <f>_xlfn.XLOOKUP(tbl_FACTS[[#This Row],[OrderID]],Πίνακας64[OrderID],Πίνακας64[EmployeeID])</f>
        <v>8</v>
      </c>
      <c r="J449">
        <f>_xlfn.XLOOKUP(tbl_FACTS[[#This Row],[OrderID]],Πίνακας64[OrderID],Πίνακας64[ShipperID])</f>
        <v>3</v>
      </c>
      <c r="K449" t="str">
        <f>_xlfn.XLOOKUP(tbl_FACTS[[#This Row],[ShipperID]],Πίνακας8[ShipperID],Πίνακας8[ShipperName])</f>
        <v>Federal Shipping</v>
      </c>
      <c r="L449" t="str">
        <f>_xlfn.XLOOKUP(tbl_FACTS[[#This Row],[ProductID]],Πίνακας7[ProductID],Πίνακας7[ProductName])</f>
        <v>Perth Pasties</v>
      </c>
      <c r="M449">
        <f>_xlfn.XLOOKUP(tbl_FACTS[[#This Row],[ProductID]],Πίνακας7[ProductID],Πίνακας7[CategoryID])</f>
        <v>6</v>
      </c>
      <c r="N449" t="str">
        <f>_xlfn.XLOOKUP(tbl_FACTS[[#This Row],[CategoryID]],Πίνακας4[CategoryID],Πίνακας4[CategoryName])</f>
        <v>Meat/Poultry</v>
      </c>
      <c r="O449">
        <f>_xlfn.XLOOKUP(tbl_FACTS[[#This Row],[ProductID]],Πίνακας7[ProductID],Πίνακας7[SupplierID])</f>
        <v>24</v>
      </c>
      <c r="P449" t="str">
        <f>_xlfn.XLOOKUP(tbl_FACTS[[#This Row],[SupplierID]],Πίνακας9[SupplierID],Πίνακας9[SupplierName])</f>
        <v>G'day, Mate</v>
      </c>
      <c r="Q449" s="21">
        <f>_xlfn.XLOOKUP(tbl_FACTS[[#This Row],[ProductID]],Πίνακας7[ProductID],Πίνακας7[Price])</f>
        <v>33</v>
      </c>
      <c r="R449" s="21">
        <f>tbl_FACTS[[#This Row],[Quantity]]*tbl_FACTS[[#This Row],[Price]]</f>
        <v>330</v>
      </c>
      <c r="S449" s="19">
        <f>IF(COUNTIFS(tbl_FACTS[OrderID],tbl_FACTS[[#This Row],[OrderID]],tbl_FACTS[OrderDetailID],"&lt;"&amp;tbl_FACTS[[#This Row],[OrderDetailID]])=0,1,0)</f>
        <v>0</v>
      </c>
      <c r="T449" s="19">
        <f>YEAR(tbl_FACTS[[#This Row],[OrderDate]])</f>
        <v>1997</v>
      </c>
      <c r="U449" s="22">
        <f>DATE(YEAR(tbl_FACTS[[#This Row],[OrderDate]]),MONTH(tbl_FACTS[[#This Row],[OrderDate]]),1)</f>
        <v>35431</v>
      </c>
      <c r="V449" s="22" t="str">
        <f>IF(tbl_FACTS[[#This Row],[Quantity]]&lt;=10,"0–10",IF(tbl_FACTS[[#This Row],[Quantity]]&lt;=20,"11–20",IF(tbl_FACTS[[#This Row],[Quantity]]&lt;=30,"21–30",IF(tbl_FACTS[[#This Row],[Quantity]]&lt;=40,"31–40",IF(tbl_FACTS[[#This Row],[Quantity]]&lt;=50,"41–50","51+")))))</f>
        <v>0–10</v>
      </c>
    </row>
    <row r="450" spans="1:22">
      <c r="A450">
        <v>449</v>
      </c>
      <c r="B450">
        <v>10416</v>
      </c>
      <c r="C450">
        <v>57</v>
      </c>
      <c r="D450" s="19">
        <v>20</v>
      </c>
      <c r="E450" s="20">
        <f>_xlfn.XLOOKUP(tbl_FACTS[[#This Row],[OrderID]],Πίνακας64[OrderID],Πίνακας64[OrderDate])</f>
        <v>35446</v>
      </c>
      <c r="F450">
        <f>_xlfn.XLOOKUP(tbl_FACTS[[#This Row],[OrderID]],Πίνακας64[OrderID],Πίνακας64[CustomerID])</f>
        <v>87</v>
      </c>
      <c r="G450" t="str">
        <f>_xlfn.XLOOKUP(tbl_FACTS[[#This Row],[CustomerID]],Πίνακας1[CustomerID],Πίνακας1[CustomerName])</f>
        <v>Wartian Herkku</v>
      </c>
      <c r="H450" t="str">
        <f>_xlfn.XLOOKUP(tbl_FACTS[[#This Row],[CustomerID]],Πίνακας1[CustomerID],Πίνακας1[Country])</f>
        <v>Finland</v>
      </c>
      <c r="I450">
        <f>_xlfn.XLOOKUP(tbl_FACTS[[#This Row],[OrderID]],Πίνακας64[OrderID],Πίνακας64[EmployeeID])</f>
        <v>8</v>
      </c>
      <c r="J450">
        <f>_xlfn.XLOOKUP(tbl_FACTS[[#This Row],[OrderID]],Πίνακας64[OrderID],Πίνακας64[ShipperID])</f>
        <v>3</v>
      </c>
      <c r="K450" t="str">
        <f>_xlfn.XLOOKUP(tbl_FACTS[[#This Row],[ShipperID]],Πίνακας8[ShipperID],Πίνακας8[ShipperName])</f>
        <v>Federal Shipping</v>
      </c>
      <c r="L450" t="str">
        <f>_xlfn.XLOOKUP(tbl_FACTS[[#This Row],[ProductID]],Πίνακας7[ProductID],Πίνακας7[ProductName])</f>
        <v>Ravioli Angelo</v>
      </c>
      <c r="M450">
        <f>_xlfn.XLOOKUP(tbl_FACTS[[#This Row],[ProductID]],Πίνακας7[ProductID],Πίνακας7[CategoryID])</f>
        <v>5</v>
      </c>
      <c r="N450" t="str">
        <f>_xlfn.XLOOKUP(tbl_FACTS[[#This Row],[CategoryID]],Πίνακας4[CategoryID],Πίνακας4[CategoryName])</f>
        <v>Grains/Cereals</v>
      </c>
      <c r="O450">
        <f>_xlfn.XLOOKUP(tbl_FACTS[[#This Row],[ProductID]],Πίνακας7[ProductID],Πίνακας7[SupplierID])</f>
        <v>26</v>
      </c>
      <c r="P450" t="str">
        <f>_xlfn.XLOOKUP(tbl_FACTS[[#This Row],[SupplierID]],Πίνακας9[SupplierID],Πίνακας9[SupplierName])</f>
        <v>Pasta Buttini s.r.l.</v>
      </c>
      <c r="Q450" s="21">
        <f>_xlfn.XLOOKUP(tbl_FACTS[[#This Row],[ProductID]],Πίνακας7[ProductID],Πίνακας7[Price])</f>
        <v>20</v>
      </c>
      <c r="R450" s="21">
        <f>tbl_FACTS[[#This Row],[Quantity]]*tbl_FACTS[[#This Row],[Price]]</f>
        <v>400</v>
      </c>
      <c r="S450" s="19">
        <f>IF(COUNTIFS(tbl_FACTS[OrderID],tbl_FACTS[[#This Row],[OrderID]],tbl_FACTS[OrderDetailID],"&lt;"&amp;tbl_FACTS[[#This Row],[OrderDetailID]])=0,1,0)</f>
        <v>0</v>
      </c>
      <c r="T450" s="19">
        <f>YEAR(tbl_FACTS[[#This Row],[OrderDate]])</f>
        <v>1997</v>
      </c>
      <c r="U450" s="22">
        <f>DATE(YEAR(tbl_FACTS[[#This Row],[OrderDate]]),MONTH(tbl_FACTS[[#This Row],[OrderDate]]),1)</f>
        <v>35431</v>
      </c>
      <c r="V450" s="22" t="str">
        <f>IF(tbl_FACTS[[#This Row],[Quantity]]&lt;=10,"0–10",IF(tbl_FACTS[[#This Row],[Quantity]]&lt;=20,"11–20",IF(tbl_FACTS[[#This Row],[Quantity]]&lt;=30,"21–30",IF(tbl_FACTS[[#This Row],[Quantity]]&lt;=40,"31–40",IF(tbl_FACTS[[#This Row],[Quantity]]&lt;=50,"41–50","51+")))))</f>
        <v>11–20</v>
      </c>
    </row>
    <row r="451" spans="1:22">
      <c r="A451">
        <v>450</v>
      </c>
      <c r="B451">
        <v>10417</v>
      </c>
      <c r="C451">
        <v>38</v>
      </c>
      <c r="D451" s="19">
        <v>50</v>
      </c>
      <c r="E451" s="20">
        <f>_xlfn.XLOOKUP(tbl_FACTS[[#This Row],[OrderID]],Πίνακας64[OrderID],Πίνακας64[OrderDate])</f>
        <v>35446</v>
      </c>
      <c r="F451">
        <f>_xlfn.XLOOKUP(tbl_FACTS[[#This Row],[OrderID]],Πίνακας64[OrderID],Πίνακας64[CustomerID])</f>
        <v>73</v>
      </c>
      <c r="G451" t="str">
        <f>_xlfn.XLOOKUP(tbl_FACTS[[#This Row],[CustomerID]],Πίνακας1[CustomerID],Πίνακας1[CustomerName])</f>
        <v>Simons bistro</v>
      </c>
      <c r="H451" t="str">
        <f>_xlfn.XLOOKUP(tbl_FACTS[[#This Row],[CustomerID]],Πίνακας1[CustomerID],Πίνακας1[Country])</f>
        <v>Denmark</v>
      </c>
      <c r="I451">
        <f>_xlfn.XLOOKUP(tbl_FACTS[[#This Row],[OrderID]],Πίνακας64[OrderID],Πίνακας64[EmployeeID])</f>
        <v>4</v>
      </c>
      <c r="J451">
        <f>_xlfn.XLOOKUP(tbl_FACTS[[#This Row],[OrderID]],Πίνακας64[OrderID],Πίνακας64[ShipperID])</f>
        <v>3</v>
      </c>
      <c r="K451" t="str">
        <f>_xlfn.XLOOKUP(tbl_FACTS[[#This Row],[ShipperID]],Πίνακας8[ShipperID],Πίνακας8[ShipperName])</f>
        <v>Federal Shipping</v>
      </c>
      <c r="L451" t="str">
        <f>_xlfn.XLOOKUP(tbl_FACTS[[#This Row],[ProductID]],Πίνακας7[ProductID],Πίνακας7[ProductName])</f>
        <v>Cote de Blaye</v>
      </c>
      <c r="M451">
        <f>_xlfn.XLOOKUP(tbl_FACTS[[#This Row],[ProductID]],Πίνακας7[ProductID],Πίνακας7[CategoryID])</f>
        <v>1</v>
      </c>
      <c r="N451" t="str">
        <f>_xlfn.XLOOKUP(tbl_FACTS[[#This Row],[CategoryID]],Πίνακας4[CategoryID],Πίνακας4[CategoryName])</f>
        <v>Beverages</v>
      </c>
      <c r="O451">
        <f>_xlfn.XLOOKUP(tbl_FACTS[[#This Row],[ProductID]],Πίνακας7[ProductID],Πίνακας7[SupplierID])</f>
        <v>18</v>
      </c>
      <c r="P451" t="str">
        <f>_xlfn.XLOOKUP(tbl_FACTS[[#This Row],[SupplierID]],Πίνακας9[SupplierID],Πίνακας9[SupplierName])</f>
        <v>Aux joyeux ecclesiastiques</v>
      </c>
      <c r="Q451" s="21">
        <f>_xlfn.XLOOKUP(tbl_FACTS[[#This Row],[ProductID]],Πίνακας7[ProductID],Πίνακας7[Price])</f>
        <v>264</v>
      </c>
      <c r="R451" s="21">
        <f>tbl_FACTS[[#This Row],[Quantity]]*tbl_FACTS[[#This Row],[Price]]</f>
        <v>13200</v>
      </c>
      <c r="S451" s="19">
        <f>IF(COUNTIFS(tbl_FACTS[OrderID],tbl_FACTS[[#This Row],[OrderID]],tbl_FACTS[OrderDetailID],"&lt;"&amp;tbl_FACTS[[#This Row],[OrderDetailID]])=0,1,0)</f>
        <v>1</v>
      </c>
      <c r="T451" s="19">
        <f>YEAR(tbl_FACTS[[#This Row],[OrderDate]])</f>
        <v>1997</v>
      </c>
      <c r="U451" s="22">
        <f>DATE(YEAR(tbl_FACTS[[#This Row],[OrderDate]]),MONTH(tbl_FACTS[[#This Row],[OrderDate]]),1)</f>
        <v>35431</v>
      </c>
      <c r="V451" s="22" t="str">
        <f>IF(tbl_FACTS[[#This Row],[Quantity]]&lt;=10,"0–10",IF(tbl_FACTS[[#This Row],[Quantity]]&lt;=20,"11–20",IF(tbl_FACTS[[#This Row],[Quantity]]&lt;=30,"21–30",IF(tbl_FACTS[[#This Row],[Quantity]]&lt;=40,"31–40",IF(tbl_FACTS[[#This Row],[Quantity]]&lt;=50,"41–50","51+")))))</f>
        <v>41–50</v>
      </c>
    </row>
    <row r="452" spans="1:22">
      <c r="A452">
        <v>451</v>
      </c>
      <c r="B452">
        <v>10417</v>
      </c>
      <c r="C452">
        <v>46</v>
      </c>
      <c r="D452" s="19">
        <v>2</v>
      </c>
      <c r="E452" s="20">
        <f>_xlfn.XLOOKUP(tbl_FACTS[[#This Row],[OrderID]],Πίνακας64[OrderID],Πίνακας64[OrderDate])</f>
        <v>35446</v>
      </c>
      <c r="F452">
        <f>_xlfn.XLOOKUP(tbl_FACTS[[#This Row],[OrderID]],Πίνακας64[OrderID],Πίνακας64[CustomerID])</f>
        <v>73</v>
      </c>
      <c r="G452" t="str">
        <f>_xlfn.XLOOKUP(tbl_FACTS[[#This Row],[CustomerID]],Πίνακας1[CustomerID],Πίνακας1[CustomerName])</f>
        <v>Simons bistro</v>
      </c>
      <c r="H452" t="str">
        <f>_xlfn.XLOOKUP(tbl_FACTS[[#This Row],[CustomerID]],Πίνακας1[CustomerID],Πίνακας1[Country])</f>
        <v>Denmark</v>
      </c>
      <c r="I452">
        <f>_xlfn.XLOOKUP(tbl_FACTS[[#This Row],[OrderID]],Πίνακας64[OrderID],Πίνακας64[EmployeeID])</f>
        <v>4</v>
      </c>
      <c r="J452">
        <f>_xlfn.XLOOKUP(tbl_FACTS[[#This Row],[OrderID]],Πίνακας64[OrderID],Πίνακας64[ShipperID])</f>
        <v>3</v>
      </c>
      <c r="K452" t="str">
        <f>_xlfn.XLOOKUP(tbl_FACTS[[#This Row],[ShipperID]],Πίνακας8[ShipperID],Πίνακας8[ShipperName])</f>
        <v>Federal Shipping</v>
      </c>
      <c r="L452" t="str">
        <f>_xlfn.XLOOKUP(tbl_FACTS[[#This Row],[ProductID]],Πίνακας7[ProductID],Πίνακας7[ProductName])</f>
        <v>Spegesild</v>
      </c>
      <c r="M452">
        <f>_xlfn.XLOOKUP(tbl_FACTS[[#This Row],[ProductID]],Πίνακας7[ProductID],Πίνακας7[CategoryID])</f>
        <v>8</v>
      </c>
      <c r="N452" t="str">
        <f>_xlfn.XLOOKUP(tbl_FACTS[[#This Row],[CategoryID]],Πίνακας4[CategoryID],Πίνακας4[CategoryName])</f>
        <v>Seafood</v>
      </c>
      <c r="O452">
        <f>_xlfn.XLOOKUP(tbl_FACTS[[#This Row],[ProductID]],Πίνακας7[ProductID],Πίνακας7[SupplierID])</f>
        <v>21</v>
      </c>
      <c r="P452" t="str">
        <f>_xlfn.XLOOKUP(tbl_FACTS[[#This Row],[SupplierID]],Πίνακας9[SupplierID],Πίνακας9[SupplierName])</f>
        <v>Lyngbysild</v>
      </c>
      <c r="Q452" s="21">
        <f>_xlfn.XLOOKUP(tbl_FACTS[[#This Row],[ProductID]],Πίνακας7[ProductID],Πίνακας7[Price])</f>
        <v>12</v>
      </c>
      <c r="R452" s="21">
        <f>tbl_FACTS[[#This Row],[Quantity]]*tbl_FACTS[[#This Row],[Price]]</f>
        <v>24</v>
      </c>
      <c r="S452" s="19">
        <f>IF(COUNTIFS(tbl_FACTS[OrderID],tbl_FACTS[[#This Row],[OrderID]],tbl_FACTS[OrderDetailID],"&lt;"&amp;tbl_FACTS[[#This Row],[OrderDetailID]])=0,1,0)</f>
        <v>0</v>
      </c>
      <c r="T452" s="19">
        <f>YEAR(tbl_FACTS[[#This Row],[OrderDate]])</f>
        <v>1997</v>
      </c>
      <c r="U452" s="22">
        <f>DATE(YEAR(tbl_FACTS[[#This Row],[OrderDate]]),MONTH(tbl_FACTS[[#This Row],[OrderDate]]),1)</f>
        <v>35431</v>
      </c>
      <c r="V452" s="22" t="str">
        <f>IF(tbl_FACTS[[#This Row],[Quantity]]&lt;=10,"0–10",IF(tbl_FACTS[[#This Row],[Quantity]]&lt;=20,"11–20",IF(tbl_FACTS[[#This Row],[Quantity]]&lt;=30,"21–30",IF(tbl_FACTS[[#This Row],[Quantity]]&lt;=40,"31–40",IF(tbl_FACTS[[#This Row],[Quantity]]&lt;=50,"41–50","51+")))))</f>
        <v>0–10</v>
      </c>
    </row>
    <row r="453" spans="1:22">
      <c r="A453">
        <v>452</v>
      </c>
      <c r="B453">
        <v>10417</v>
      </c>
      <c r="C453">
        <v>68</v>
      </c>
      <c r="D453" s="19">
        <v>36</v>
      </c>
      <c r="E453" s="20">
        <f>_xlfn.XLOOKUP(tbl_FACTS[[#This Row],[OrderID]],Πίνακας64[OrderID],Πίνακας64[OrderDate])</f>
        <v>35446</v>
      </c>
      <c r="F453">
        <f>_xlfn.XLOOKUP(tbl_FACTS[[#This Row],[OrderID]],Πίνακας64[OrderID],Πίνακας64[CustomerID])</f>
        <v>73</v>
      </c>
      <c r="G453" t="str">
        <f>_xlfn.XLOOKUP(tbl_FACTS[[#This Row],[CustomerID]],Πίνακας1[CustomerID],Πίνακας1[CustomerName])</f>
        <v>Simons bistro</v>
      </c>
      <c r="H453" t="str">
        <f>_xlfn.XLOOKUP(tbl_FACTS[[#This Row],[CustomerID]],Πίνακας1[CustomerID],Πίνακας1[Country])</f>
        <v>Denmark</v>
      </c>
      <c r="I453">
        <f>_xlfn.XLOOKUP(tbl_FACTS[[#This Row],[OrderID]],Πίνακας64[OrderID],Πίνακας64[EmployeeID])</f>
        <v>4</v>
      </c>
      <c r="J453">
        <f>_xlfn.XLOOKUP(tbl_FACTS[[#This Row],[OrderID]],Πίνακας64[OrderID],Πίνακας64[ShipperID])</f>
        <v>3</v>
      </c>
      <c r="K453" t="str">
        <f>_xlfn.XLOOKUP(tbl_FACTS[[#This Row],[ShipperID]],Πίνακας8[ShipperID],Πίνακας8[ShipperName])</f>
        <v>Federal Shipping</v>
      </c>
      <c r="L453" t="str">
        <f>_xlfn.XLOOKUP(tbl_FACTS[[#This Row],[ProductID]],Πίνακας7[ProductID],Πίνακας7[ProductName])</f>
        <v>Scottish Longbreads</v>
      </c>
      <c r="M453">
        <f>_xlfn.XLOOKUP(tbl_FACTS[[#This Row],[ProductID]],Πίνακας7[ProductID],Πίνακας7[CategoryID])</f>
        <v>3</v>
      </c>
      <c r="N453" t="str">
        <f>_xlfn.XLOOKUP(tbl_FACTS[[#This Row],[CategoryID]],Πίνακας4[CategoryID],Πίνακας4[CategoryName])</f>
        <v>Confections</v>
      </c>
      <c r="O453">
        <f>_xlfn.XLOOKUP(tbl_FACTS[[#This Row],[ProductID]],Πίνακας7[ProductID],Πίνακας7[SupplierID])</f>
        <v>8</v>
      </c>
      <c r="P453" t="str">
        <f>_xlfn.XLOOKUP(tbl_FACTS[[#This Row],[SupplierID]],Πίνακας9[SupplierID],Πίνακας9[SupplierName])</f>
        <v>Specialty Biscuits, Ltd.</v>
      </c>
      <c r="Q453" s="21">
        <f>_xlfn.XLOOKUP(tbl_FACTS[[#This Row],[ProductID]],Πίνακας7[ProductID],Πίνακας7[Price])</f>
        <v>13</v>
      </c>
      <c r="R453" s="21">
        <f>tbl_FACTS[[#This Row],[Quantity]]*tbl_FACTS[[#This Row],[Price]]</f>
        <v>468</v>
      </c>
      <c r="S453" s="19">
        <f>IF(COUNTIFS(tbl_FACTS[OrderID],tbl_FACTS[[#This Row],[OrderID]],tbl_FACTS[OrderDetailID],"&lt;"&amp;tbl_FACTS[[#This Row],[OrderDetailID]])=0,1,0)</f>
        <v>0</v>
      </c>
      <c r="T453" s="19">
        <f>YEAR(tbl_FACTS[[#This Row],[OrderDate]])</f>
        <v>1997</v>
      </c>
      <c r="U453" s="22">
        <f>DATE(YEAR(tbl_FACTS[[#This Row],[OrderDate]]),MONTH(tbl_FACTS[[#This Row],[OrderDate]]),1)</f>
        <v>35431</v>
      </c>
      <c r="V453" s="22" t="str">
        <f>IF(tbl_FACTS[[#This Row],[Quantity]]&lt;=10,"0–10",IF(tbl_FACTS[[#This Row],[Quantity]]&lt;=20,"11–20",IF(tbl_FACTS[[#This Row],[Quantity]]&lt;=30,"21–30",IF(tbl_FACTS[[#This Row],[Quantity]]&lt;=40,"31–40",IF(tbl_FACTS[[#This Row],[Quantity]]&lt;=50,"41–50","51+")))))</f>
        <v>31–40</v>
      </c>
    </row>
    <row r="454" spans="1:22">
      <c r="A454">
        <v>453</v>
      </c>
      <c r="B454">
        <v>10417</v>
      </c>
      <c r="C454">
        <v>77</v>
      </c>
      <c r="D454" s="19">
        <v>35</v>
      </c>
      <c r="E454" s="20">
        <f>_xlfn.XLOOKUP(tbl_FACTS[[#This Row],[OrderID]],Πίνακας64[OrderID],Πίνακας64[OrderDate])</f>
        <v>35446</v>
      </c>
      <c r="F454">
        <f>_xlfn.XLOOKUP(tbl_FACTS[[#This Row],[OrderID]],Πίνακας64[OrderID],Πίνακας64[CustomerID])</f>
        <v>73</v>
      </c>
      <c r="G454" t="str">
        <f>_xlfn.XLOOKUP(tbl_FACTS[[#This Row],[CustomerID]],Πίνακας1[CustomerID],Πίνακας1[CustomerName])</f>
        <v>Simons bistro</v>
      </c>
      <c r="H454" t="str">
        <f>_xlfn.XLOOKUP(tbl_FACTS[[#This Row],[CustomerID]],Πίνακας1[CustomerID],Πίνακας1[Country])</f>
        <v>Denmark</v>
      </c>
      <c r="I454">
        <f>_xlfn.XLOOKUP(tbl_FACTS[[#This Row],[OrderID]],Πίνακας64[OrderID],Πίνακας64[EmployeeID])</f>
        <v>4</v>
      </c>
      <c r="J454">
        <f>_xlfn.XLOOKUP(tbl_FACTS[[#This Row],[OrderID]],Πίνακας64[OrderID],Πίνακας64[ShipperID])</f>
        <v>3</v>
      </c>
      <c r="K454" t="str">
        <f>_xlfn.XLOOKUP(tbl_FACTS[[#This Row],[ShipperID]],Πίνακας8[ShipperID],Πίνακας8[ShipperName])</f>
        <v>Federal Shipping</v>
      </c>
      <c r="L454" t="str">
        <f>_xlfn.XLOOKUP(tbl_FACTS[[#This Row],[ProductID]],Πίνακας7[ProductID],Πίνακας7[ProductName])</f>
        <v>Original Frankfurter grune So├ƒe</v>
      </c>
      <c r="M454">
        <f>_xlfn.XLOOKUP(tbl_FACTS[[#This Row],[ProductID]],Πίνακας7[ProductID],Πίνακας7[CategoryID])</f>
        <v>2</v>
      </c>
      <c r="N454" t="str">
        <f>_xlfn.XLOOKUP(tbl_FACTS[[#This Row],[CategoryID]],Πίνακας4[CategoryID],Πίνακας4[CategoryName])</f>
        <v>Condiments</v>
      </c>
      <c r="O454">
        <f>_xlfn.XLOOKUP(tbl_FACTS[[#This Row],[ProductID]],Πίνακας7[ProductID],Πίνακας7[SupplierID])</f>
        <v>12</v>
      </c>
      <c r="P454" t="str">
        <f>_xlfn.XLOOKUP(tbl_FACTS[[#This Row],[SupplierID]],Πίνακας9[SupplierID],Πίνακας9[SupplierName])</f>
        <v>Plutzer Lebensmittelgro├ƒmarkte AG</v>
      </c>
      <c r="Q454" s="21">
        <f>_xlfn.XLOOKUP(tbl_FACTS[[#This Row],[ProductID]],Πίνακας7[ProductID],Πίνακας7[Price])</f>
        <v>13</v>
      </c>
      <c r="R454" s="21">
        <f>tbl_FACTS[[#This Row],[Quantity]]*tbl_FACTS[[#This Row],[Price]]</f>
        <v>455</v>
      </c>
      <c r="S454" s="19">
        <f>IF(COUNTIFS(tbl_FACTS[OrderID],tbl_FACTS[[#This Row],[OrderID]],tbl_FACTS[OrderDetailID],"&lt;"&amp;tbl_FACTS[[#This Row],[OrderDetailID]])=0,1,0)</f>
        <v>0</v>
      </c>
      <c r="T454" s="19">
        <f>YEAR(tbl_FACTS[[#This Row],[OrderDate]])</f>
        <v>1997</v>
      </c>
      <c r="U454" s="22">
        <f>DATE(YEAR(tbl_FACTS[[#This Row],[OrderDate]]),MONTH(tbl_FACTS[[#This Row],[OrderDate]]),1)</f>
        <v>35431</v>
      </c>
      <c r="V454" s="22" t="str">
        <f>IF(tbl_FACTS[[#This Row],[Quantity]]&lt;=10,"0–10",IF(tbl_FACTS[[#This Row],[Quantity]]&lt;=20,"11–20",IF(tbl_FACTS[[#This Row],[Quantity]]&lt;=30,"21–30",IF(tbl_FACTS[[#This Row],[Quantity]]&lt;=40,"31–40",IF(tbl_FACTS[[#This Row],[Quantity]]&lt;=50,"41–50","51+")))))</f>
        <v>31–40</v>
      </c>
    </row>
    <row r="455" spans="1:22">
      <c r="A455">
        <v>454</v>
      </c>
      <c r="B455">
        <v>10418</v>
      </c>
      <c r="C455">
        <v>2</v>
      </c>
      <c r="D455" s="19">
        <v>60</v>
      </c>
      <c r="E455" s="20">
        <f>_xlfn.XLOOKUP(tbl_FACTS[[#This Row],[OrderID]],Πίνακας64[OrderID],Πίνακας64[OrderDate])</f>
        <v>35447</v>
      </c>
      <c r="F455">
        <f>_xlfn.XLOOKUP(tbl_FACTS[[#This Row],[OrderID]],Πίνακας64[OrderID],Πίνακας64[CustomerID])</f>
        <v>63</v>
      </c>
      <c r="G455" t="str">
        <f>_xlfn.XLOOKUP(tbl_FACTS[[#This Row],[CustomerID]],Πίνακας1[CustomerID],Πίνακας1[CustomerName])</f>
        <v>QUICK-Stop</v>
      </c>
      <c r="H455" t="str">
        <f>_xlfn.XLOOKUP(tbl_FACTS[[#This Row],[CustomerID]],Πίνακας1[CustomerID],Πίνακας1[Country])</f>
        <v>Germany</v>
      </c>
      <c r="I455">
        <f>_xlfn.XLOOKUP(tbl_FACTS[[#This Row],[OrderID]],Πίνακας64[OrderID],Πίνακας64[EmployeeID])</f>
        <v>4</v>
      </c>
      <c r="J455">
        <f>_xlfn.XLOOKUP(tbl_FACTS[[#This Row],[OrderID]],Πίνακας64[OrderID],Πίνακας64[ShipperID])</f>
        <v>1</v>
      </c>
      <c r="K455" t="str">
        <f>_xlfn.XLOOKUP(tbl_FACTS[[#This Row],[ShipperID]],Πίνακας8[ShipperID],Πίνακας8[ShipperName])</f>
        <v>Speedy Express</v>
      </c>
      <c r="L455" t="str">
        <f>_xlfn.XLOOKUP(tbl_FACTS[[#This Row],[ProductID]],Πίνακας7[ProductID],Πίνακας7[ProductName])</f>
        <v>Chang</v>
      </c>
      <c r="M455">
        <f>_xlfn.XLOOKUP(tbl_FACTS[[#This Row],[ProductID]],Πίνακας7[ProductID],Πίνακας7[CategoryID])</f>
        <v>1</v>
      </c>
      <c r="N455" t="str">
        <f>_xlfn.XLOOKUP(tbl_FACTS[[#This Row],[CategoryID]],Πίνακας4[CategoryID],Πίνακας4[CategoryName])</f>
        <v>Beverages</v>
      </c>
      <c r="O455">
        <f>_xlfn.XLOOKUP(tbl_FACTS[[#This Row],[ProductID]],Πίνακας7[ProductID],Πίνακας7[SupplierID])</f>
        <v>1</v>
      </c>
      <c r="P455" t="str">
        <f>_xlfn.XLOOKUP(tbl_FACTS[[#This Row],[SupplierID]],Πίνακας9[SupplierID],Πίνακας9[SupplierName])</f>
        <v>Exotic Liquid</v>
      </c>
      <c r="Q455" s="21">
        <f>_xlfn.XLOOKUP(tbl_FACTS[[#This Row],[ProductID]],Πίνακας7[ProductID],Πίνακας7[Price])</f>
        <v>19</v>
      </c>
      <c r="R455" s="21">
        <f>tbl_FACTS[[#This Row],[Quantity]]*tbl_FACTS[[#This Row],[Price]]</f>
        <v>1140</v>
      </c>
      <c r="S455" s="19">
        <f>IF(COUNTIFS(tbl_FACTS[OrderID],tbl_FACTS[[#This Row],[OrderID]],tbl_FACTS[OrderDetailID],"&lt;"&amp;tbl_FACTS[[#This Row],[OrderDetailID]])=0,1,0)</f>
        <v>1</v>
      </c>
      <c r="T455" s="19">
        <f>YEAR(tbl_FACTS[[#This Row],[OrderDate]])</f>
        <v>1997</v>
      </c>
      <c r="U455" s="22">
        <f>DATE(YEAR(tbl_FACTS[[#This Row],[OrderDate]]),MONTH(tbl_FACTS[[#This Row],[OrderDate]]),1)</f>
        <v>35431</v>
      </c>
      <c r="V455" s="22" t="str">
        <f>IF(tbl_FACTS[[#This Row],[Quantity]]&lt;=10,"0–10",IF(tbl_FACTS[[#This Row],[Quantity]]&lt;=20,"11–20",IF(tbl_FACTS[[#This Row],[Quantity]]&lt;=30,"21–30",IF(tbl_FACTS[[#This Row],[Quantity]]&lt;=40,"31–40",IF(tbl_FACTS[[#This Row],[Quantity]]&lt;=50,"41–50","51+")))))</f>
        <v>51+</v>
      </c>
    </row>
    <row r="456" spans="1:22">
      <c r="A456">
        <v>455</v>
      </c>
      <c r="B456">
        <v>10418</v>
      </c>
      <c r="C456">
        <v>47</v>
      </c>
      <c r="D456" s="19">
        <v>55</v>
      </c>
      <c r="E456" s="20">
        <f>_xlfn.XLOOKUP(tbl_FACTS[[#This Row],[OrderID]],Πίνακας64[OrderID],Πίνακας64[OrderDate])</f>
        <v>35447</v>
      </c>
      <c r="F456">
        <f>_xlfn.XLOOKUP(tbl_FACTS[[#This Row],[OrderID]],Πίνακας64[OrderID],Πίνακας64[CustomerID])</f>
        <v>63</v>
      </c>
      <c r="G456" t="str">
        <f>_xlfn.XLOOKUP(tbl_FACTS[[#This Row],[CustomerID]],Πίνακας1[CustomerID],Πίνακας1[CustomerName])</f>
        <v>QUICK-Stop</v>
      </c>
      <c r="H456" t="str">
        <f>_xlfn.XLOOKUP(tbl_FACTS[[#This Row],[CustomerID]],Πίνακας1[CustomerID],Πίνακας1[Country])</f>
        <v>Germany</v>
      </c>
      <c r="I456">
        <f>_xlfn.XLOOKUP(tbl_FACTS[[#This Row],[OrderID]],Πίνακας64[OrderID],Πίνακας64[EmployeeID])</f>
        <v>4</v>
      </c>
      <c r="J456">
        <f>_xlfn.XLOOKUP(tbl_FACTS[[#This Row],[OrderID]],Πίνακας64[OrderID],Πίνακας64[ShipperID])</f>
        <v>1</v>
      </c>
      <c r="K456" t="str">
        <f>_xlfn.XLOOKUP(tbl_FACTS[[#This Row],[ShipperID]],Πίνακας8[ShipperID],Πίνακας8[ShipperName])</f>
        <v>Speedy Express</v>
      </c>
      <c r="L456" t="str">
        <f>_xlfn.XLOOKUP(tbl_FACTS[[#This Row],[ProductID]],Πίνακας7[ProductID],Πίνακας7[ProductName])</f>
        <v>Zaanse koeken</v>
      </c>
      <c r="M456">
        <f>_xlfn.XLOOKUP(tbl_FACTS[[#This Row],[ProductID]],Πίνακας7[ProductID],Πίνακας7[CategoryID])</f>
        <v>3</v>
      </c>
      <c r="N456" t="str">
        <f>_xlfn.XLOOKUP(tbl_FACTS[[#This Row],[CategoryID]],Πίνακας4[CategoryID],Πίνακας4[CategoryName])</f>
        <v>Confections</v>
      </c>
      <c r="O456">
        <f>_xlfn.XLOOKUP(tbl_FACTS[[#This Row],[ProductID]],Πίνακας7[ProductID],Πίνακας7[SupplierID])</f>
        <v>22</v>
      </c>
      <c r="P456" t="str">
        <f>_xlfn.XLOOKUP(tbl_FACTS[[#This Row],[SupplierID]],Πίνακας9[SupplierID],Πίνακας9[SupplierName])</f>
        <v>Zaanse Snoepfabriek</v>
      </c>
      <c r="Q456" s="21">
        <f>_xlfn.XLOOKUP(tbl_FACTS[[#This Row],[ProductID]],Πίνακας7[ProductID],Πίνακας7[Price])</f>
        <v>10</v>
      </c>
      <c r="R456" s="21">
        <f>tbl_FACTS[[#This Row],[Quantity]]*tbl_FACTS[[#This Row],[Price]]</f>
        <v>550</v>
      </c>
      <c r="S456" s="19">
        <f>IF(COUNTIFS(tbl_FACTS[OrderID],tbl_FACTS[[#This Row],[OrderID]],tbl_FACTS[OrderDetailID],"&lt;"&amp;tbl_FACTS[[#This Row],[OrderDetailID]])=0,1,0)</f>
        <v>0</v>
      </c>
      <c r="T456" s="19">
        <f>YEAR(tbl_FACTS[[#This Row],[OrderDate]])</f>
        <v>1997</v>
      </c>
      <c r="U456" s="22">
        <f>DATE(YEAR(tbl_FACTS[[#This Row],[OrderDate]]),MONTH(tbl_FACTS[[#This Row],[OrderDate]]),1)</f>
        <v>35431</v>
      </c>
      <c r="V456" s="22" t="str">
        <f>IF(tbl_FACTS[[#This Row],[Quantity]]&lt;=10,"0–10",IF(tbl_FACTS[[#This Row],[Quantity]]&lt;=20,"11–20",IF(tbl_FACTS[[#This Row],[Quantity]]&lt;=30,"21–30",IF(tbl_FACTS[[#This Row],[Quantity]]&lt;=40,"31–40",IF(tbl_FACTS[[#This Row],[Quantity]]&lt;=50,"41–50","51+")))))</f>
        <v>51+</v>
      </c>
    </row>
    <row r="457" spans="1:22">
      <c r="A457">
        <v>456</v>
      </c>
      <c r="B457">
        <v>10418</v>
      </c>
      <c r="C457">
        <v>61</v>
      </c>
      <c r="D457" s="19">
        <v>16</v>
      </c>
      <c r="E457" s="20">
        <f>_xlfn.XLOOKUP(tbl_FACTS[[#This Row],[OrderID]],Πίνακας64[OrderID],Πίνακας64[OrderDate])</f>
        <v>35447</v>
      </c>
      <c r="F457">
        <f>_xlfn.XLOOKUP(tbl_FACTS[[#This Row],[OrderID]],Πίνακας64[OrderID],Πίνακας64[CustomerID])</f>
        <v>63</v>
      </c>
      <c r="G457" t="str">
        <f>_xlfn.XLOOKUP(tbl_FACTS[[#This Row],[CustomerID]],Πίνακας1[CustomerID],Πίνακας1[CustomerName])</f>
        <v>QUICK-Stop</v>
      </c>
      <c r="H457" t="str">
        <f>_xlfn.XLOOKUP(tbl_FACTS[[#This Row],[CustomerID]],Πίνακας1[CustomerID],Πίνακας1[Country])</f>
        <v>Germany</v>
      </c>
      <c r="I457">
        <f>_xlfn.XLOOKUP(tbl_FACTS[[#This Row],[OrderID]],Πίνακας64[OrderID],Πίνακας64[EmployeeID])</f>
        <v>4</v>
      </c>
      <c r="J457">
        <f>_xlfn.XLOOKUP(tbl_FACTS[[#This Row],[OrderID]],Πίνακας64[OrderID],Πίνακας64[ShipperID])</f>
        <v>1</v>
      </c>
      <c r="K457" t="str">
        <f>_xlfn.XLOOKUP(tbl_FACTS[[#This Row],[ShipperID]],Πίνακας8[ShipperID],Πίνακας8[ShipperName])</f>
        <v>Speedy Express</v>
      </c>
      <c r="L457" t="str">
        <f>_xlfn.XLOOKUP(tbl_FACTS[[#This Row],[ProductID]],Πίνακας7[ProductID],Πίνακας7[ProductName])</f>
        <v>Sirop d'erable</v>
      </c>
      <c r="M457">
        <f>_xlfn.XLOOKUP(tbl_FACTS[[#This Row],[ProductID]],Πίνακας7[ProductID],Πίνακας7[CategoryID])</f>
        <v>2</v>
      </c>
      <c r="N457" t="str">
        <f>_xlfn.XLOOKUP(tbl_FACTS[[#This Row],[CategoryID]],Πίνακας4[CategoryID],Πίνακας4[CategoryName])</f>
        <v>Condiments</v>
      </c>
      <c r="O457">
        <f>_xlfn.XLOOKUP(tbl_FACTS[[#This Row],[ProductID]],Πίνακας7[ProductID],Πίνακας7[SupplierID])</f>
        <v>29</v>
      </c>
      <c r="P457" t="str">
        <f>_xlfn.XLOOKUP(tbl_FACTS[[#This Row],[SupplierID]],Πίνακας9[SupplierID],Πίνακας9[SupplierName])</f>
        <v>Forets d'erables</v>
      </c>
      <c r="Q457" s="21">
        <f>_xlfn.XLOOKUP(tbl_FACTS[[#This Row],[ProductID]],Πίνακας7[ProductID],Πίνακας7[Price])</f>
        <v>29</v>
      </c>
      <c r="R457" s="21">
        <f>tbl_FACTS[[#This Row],[Quantity]]*tbl_FACTS[[#This Row],[Price]]</f>
        <v>464</v>
      </c>
      <c r="S457" s="19">
        <f>IF(COUNTIFS(tbl_FACTS[OrderID],tbl_FACTS[[#This Row],[OrderID]],tbl_FACTS[OrderDetailID],"&lt;"&amp;tbl_FACTS[[#This Row],[OrderDetailID]])=0,1,0)</f>
        <v>0</v>
      </c>
      <c r="T457" s="19">
        <f>YEAR(tbl_FACTS[[#This Row],[OrderDate]])</f>
        <v>1997</v>
      </c>
      <c r="U457" s="22">
        <f>DATE(YEAR(tbl_FACTS[[#This Row],[OrderDate]]),MONTH(tbl_FACTS[[#This Row],[OrderDate]]),1)</f>
        <v>35431</v>
      </c>
      <c r="V457" s="22" t="str">
        <f>IF(tbl_FACTS[[#This Row],[Quantity]]&lt;=10,"0–10",IF(tbl_FACTS[[#This Row],[Quantity]]&lt;=20,"11–20",IF(tbl_FACTS[[#This Row],[Quantity]]&lt;=30,"21–30",IF(tbl_FACTS[[#This Row],[Quantity]]&lt;=40,"31–40",IF(tbl_FACTS[[#This Row],[Quantity]]&lt;=50,"41–50","51+")))))</f>
        <v>11–20</v>
      </c>
    </row>
    <row r="458" spans="1:22">
      <c r="A458">
        <v>457</v>
      </c>
      <c r="B458">
        <v>10418</v>
      </c>
      <c r="C458">
        <v>74</v>
      </c>
      <c r="D458" s="19">
        <v>15</v>
      </c>
      <c r="E458" s="20">
        <f>_xlfn.XLOOKUP(tbl_FACTS[[#This Row],[OrderID]],Πίνακας64[OrderID],Πίνακας64[OrderDate])</f>
        <v>35447</v>
      </c>
      <c r="F458">
        <f>_xlfn.XLOOKUP(tbl_FACTS[[#This Row],[OrderID]],Πίνακας64[OrderID],Πίνακας64[CustomerID])</f>
        <v>63</v>
      </c>
      <c r="G458" t="str">
        <f>_xlfn.XLOOKUP(tbl_FACTS[[#This Row],[CustomerID]],Πίνακας1[CustomerID],Πίνακας1[CustomerName])</f>
        <v>QUICK-Stop</v>
      </c>
      <c r="H458" t="str">
        <f>_xlfn.XLOOKUP(tbl_FACTS[[#This Row],[CustomerID]],Πίνακας1[CustomerID],Πίνακας1[Country])</f>
        <v>Germany</v>
      </c>
      <c r="I458">
        <f>_xlfn.XLOOKUP(tbl_FACTS[[#This Row],[OrderID]],Πίνακας64[OrderID],Πίνακας64[EmployeeID])</f>
        <v>4</v>
      </c>
      <c r="J458">
        <f>_xlfn.XLOOKUP(tbl_FACTS[[#This Row],[OrderID]],Πίνακας64[OrderID],Πίνακας64[ShipperID])</f>
        <v>1</v>
      </c>
      <c r="K458" t="str">
        <f>_xlfn.XLOOKUP(tbl_FACTS[[#This Row],[ShipperID]],Πίνακας8[ShipperID],Πίνακας8[ShipperName])</f>
        <v>Speedy Express</v>
      </c>
      <c r="L458" t="str">
        <f>_xlfn.XLOOKUP(tbl_FACTS[[#This Row],[ProductID]],Πίνακας7[ProductID],Πίνακας7[ProductName])</f>
        <v>Longlife Tofu</v>
      </c>
      <c r="M458">
        <f>_xlfn.XLOOKUP(tbl_FACTS[[#This Row],[ProductID]],Πίνακας7[ProductID],Πίνακας7[CategoryID])</f>
        <v>7</v>
      </c>
      <c r="N458" t="str">
        <f>_xlfn.XLOOKUP(tbl_FACTS[[#This Row],[CategoryID]],Πίνακας4[CategoryID],Πίνακας4[CategoryName])</f>
        <v>Produce</v>
      </c>
      <c r="O458">
        <f>_xlfn.XLOOKUP(tbl_FACTS[[#This Row],[ProductID]],Πίνακας7[ProductID],Πίνακας7[SupplierID])</f>
        <v>4</v>
      </c>
      <c r="P458" t="str">
        <f>_xlfn.XLOOKUP(tbl_FACTS[[#This Row],[SupplierID]],Πίνακας9[SupplierID],Πίνακας9[SupplierName])</f>
        <v>Tokyo Traders</v>
      </c>
      <c r="Q458" s="21">
        <f>_xlfn.XLOOKUP(tbl_FACTS[[#This Row],[ProductID]],Πίνακας7[ProductID],Πίνακας7[Price])</f>
        <v>10</v>
      </c>
      <c r="R458" s="21">
        <f>tbl_FACTS[[#This Row],[Quantity]]*tbl_FACTS[[#This Row],[Price]]</f>
        <v>150</v>
      </c>
      <c r="S458" s="19">
        <f>IF(COUNTIFS(tbl_FACTS[OrderID],tbl_FACTS[[#This Row],[OrderID]],tbl_FACTS[OrderDetailID],"&lt;"&amp;tbl_FACTS[[#This Row],[OrderDetailID]])=0,1,0)</f>
        <v>0</v>
      </c>
      <c r="T458" s="19">
        <f>YEAR(tbl_FACTS[[#This Row],[OrderDate]])</f>
        <v>1997</v>
      </c>
      <c r="U458" s="22">
        <f>DATE(YEAR(tbl_FACTS[[#This Row],[OrderDate]]),MONTH(tbl_FACTS[[#This Row],[OrderDate]]),1)</f>
        <v>35431</v>
      </c>
      <c r="V458" s="22" t="str">
        <f>IF(tbl_FACTS[[#This Row],[Quantity]]&lt;=10,"0–10",IF(tbl_FACTS[[#This Row],[Quantity]]&lt;=20,"11–20",IF(tbl_FACTS[[#This Row],[Quantity]]&lt;=30,"21–30",IF(tbl_FACTS[[#This Row],[Quantity]]&lt;=40,"31–40",IF(tbl_FACTS[[#This Row],[Quantity]]&lt;=50,"41–50","51+")))))</f>
        <v>11–20</v>
      </c>
    </row>
    <row r="459" spans="1:22">
      <c r="A459">
        <v>458</v>
      </c>
      <c r="B459">
        <v>10419</v>
      </c>
      <c r="C459">
        <v>60</v>
      </c>
      <c r="D459" s="19">
        <v>60</v>
      </c>
      <c r="E459" s="20">
        <f>_xlfn.XLOOKUP(tbl_FACTS[[#This Row],[OrderID]],Πίνακας64[OrderID],Πίνακας64[OrderDate])</f>
        <v>35450</v>
      </c>
      <c r="F459">
        <f>_xlfn.XLOOKUP(tbl_FACTS[[#This Row],[OrderID]],Πίνακας64[OrderID],Πίνακας64[CustomerID])</f>
        <v>68</v>
      </c>
      <c r="G459" t="str">
        <f>_xlfn.XLOOKUP(tbl_FACTS[[#This Row],[CustomerID]],Πίνακας1[CustomerID],Πίνακας1[CustomerName])</f>
        <v>Richter Supermarkt</v>
      </c>
      <c r="H459" t="str">
        <f>_xlfn.XLOOKUP(tbl_FACTS[[#This Row],[CustomerID]],Πίνακας1[CustomerID],Πίνακας1[Country])</f>
        <v>Switzerland</v>
      </c>
      <c r="I459">
        <f>_xlfn.XLOOKUP(tbl_FACTS[[#This Row],[OrderID]],Πίνακας64[OrderID],Πίνακας64[EmployeeID])</f>
        <v>4</v>
      </c>
      <c r="J459">
        <f>_xlfn.XLOOKUP(tbl_FACTS[[#This Row],[OrderID]],Πίνακας64[OrderID],Πίνακας64[ShipperID])</f>
        <v>2</v>
      </c>
      <c r="K459" t="str">
        <f>_xlfn.XLOOKUP(tbl_FACTS[[#This Row],[ShipperID]],Πίνακας8[ShipperID],Πίνακας8[ShipperName])</f>
        <v>United Package</v>
      </c>
      <c r="L459" t="str">
        <f>_xlfn.XLOOKUP(tbl_FACTS[[#This Row],[ProductID]],Πίνακας7[ProductID],Πίνακας7[ProductName])</f>
        <v>Camembert Pierrot</v>
      </c>
      <c r="M459">
        <f>_xlfn.XLOOKUP(tbl_FACTS[[#This Row],[ProductID]],Πίνακας7[ProductID],Πίνακας7[CategoryID])</f>
        <v>4</v>
      </c>
      <c r="N459" t="str">
        <f>_xlfn.XLOOKUP(tbl_FACTS[[#This Row],[CategoryID]],Πίνακας4[CategoryID],Πίνακας4[CategoryName])</f>
        <v>Dairy Products</v>
      </c>
      <c r="O459">
        <f>_xlfn.XLOOKUP(tbl_FACTS[[#This Row],[ProductID]],Πίνακας7[ProductID],Πίνακας7[SupplierID])</f>
        <v>28</v>
      </c>
      <c r="P459" t="str">
        <f>_xlfn.XLOOKUP(tbl_FACTS[[#This Row],[SupplierID]],Πίνακας9[SupplierID],Πίνακας9[SupplierName])</f>
        <v>Gai paturage</v>
      </c>
      <c r="Q459" s="21">
        <f>_xlfn.XLOOKUP(tbl_FACTS[[#This Row],[ProductID]],Πίνακας7[ProductID],Πίνακας7[Price])</f>
        <v>34</v>
      </c>
      <c r="R459" s="21">
        <f>tbl_FACTS[[#This Row],[Quantity]]*tbl_FACTS[[#This Row],[Price]]</f>
        <v>2040</v>
      </c>
      <c r="S459" s="19">
        <f>IF(COUNTIFS(tbl_FACTS[OrderID],tbl_FACTS[[#This Row],[OrderID]],tbl_FACTS[OrderDetailID],"&lt;"&amp;tbl_FACTS[[#This Row],[OrderDetailID]])=0,1,0)</f>
        <v>1</v>
      </c>
      <c r="T459" s="19">
        <f>YEAR(tbl_FACTS[[#This Row],[OrderDate]])</f>
        <v>1997</v>
      </c>
      <c r="U459" s="22">
        <f>DATE(YEAR(tbl_FACTS[[#This Row],[OrderDate]]),MONTH(tbl_FACTS[[#This Row],[OrderDate]]),1)</f>
        <v>35431</v>
      </c>
      <c r="V459" s="22" t="str">
        <f>IF(tbl_FACTS[[#This Row],[Quantity]]&lt;=10,"0–10",IF(tbl_FACTS[[#This Row],[Quantity]]&lt;=20,"11–20",IF(tbl_FACTS[[#This Row],[Quantity]]&lt;=30,"21–30",IF(tbl_FACTS[[#This Row],[Quantity]]&lt;=40,"31–40",IF(tbl_FACTS[[#This Row],[Quantity]]&lt;=50,"41–50","51+")))))</f>
        <v>51+</v>
      </c>
    </row>
    <row r="460" spans="1:22">
      <c r="A460">
        <v>459</v>
      </c>
      <c r="B460">
        <v>10419</v>
      </c>
      <c r="C460">
        <v>69</v>
      </c>
      <c r="D460" s="19">
        <v>20</v>
      </c>
      <c r="E460" s="20">
        <f>_xlfn.XLOOKUP(tbl_FACTS[[#This Row],[OrderID]],Πίνακας64[OrderID],Πίνακας64[OrderDate])</f>
        <v>35450</v>
      </c>
      <c r="F460">
        <f>_xlfn.XLOOKUP(tbl_FACTS[[#This Row],[OrderID]],Πίνακας64[OrderID],Πίνακας64[CustomerID])</f>
        <v>68</v>
      </c>
      <c r="G460" t="str">
        <f>_xlfn.XLOOKUP(tbl_FACTS[[#This Row],[CustomerID]],Πίνακας1[CustomerID],Πίνακας1[CustomerName])</f>
        <v>Richter Supermarkt</v>
      </c>
      <c r="H460" t="str">
        <f>_xlfn.XLOOKUP(tbl_FACTS[[#This Row],[CustomerID]],Πίνακας1[CustomerID],Πίνακας1[Country])</f>
        <v>Switzerland</v>
      </c>
      <c r="I460">
        <f>_xlfn.XLOOKUP(tbl_FACTS[[#This Row],[OrderID]],Πίνακας64[OrderID],Πίνακας64[EmployeeID])</f>
        <v>4</v>
      </c>
      <c r="J460">
        <f>_xlfn.XLOOKUP(tbl_FACTS[[#This Row],[OrderID]],Πίνακας64[OrderID],Πίνακας64[ShipperID])</f>
        <v>2</v>
      </c>
      <c r="K460" t="str">
        <f>_xlfn.XLOOKUP(tbl_FACTS[[#This Row],[ShipperID]],Πίνακας8[ShipperID],Πίνακας8[ShipperName])</f>
        <v>United Package</v>
      </c>
      <c r="L460" t="str">
        <f>_xlfn.XLOOKUP(tbl_FACTS[[#This Row],[ProductID]],Πίνακας7[ProductID],Πίνακας7[ProductName])</f>
        <v>Gudbrandsdalsost</v>
      </c>
      <c r="M460">
        <f>_xlfn.XLOOKUP(tbl_FACTS[[#This Row],[ProductID]],Πίνακας7[ProductID],Πίνακας7[CategoryID])</f>
        <v>4</v>
      </c>
      <c r="N460" t="str">
        <f>_xlfn.XLOOKUP(tbl_FACTS[[#This Row],[CategoryID]],Πίνακας4[CategoryID],Πίνακας4[CategoryName])</f>
        <v>Dairy Products</v>
      </c>
      <c r="O460">
        <f>_xlfn.XLOOKUP(tbl_FACTS[[#This Row],[ProductID]],Πίνακας7[ProductID],Πίνακας7[SupplierID])</f>
        <v>15</v>
      </c>
      <c r="P460" t="str">
        <f>_xlfn.XLOOKUP(tbl_FACTS[[#This Row],[SupplierID]],Πίνακας9[SupplierID],Πίνακας9[SupplierName])</f>
        <v>Norske Meierier</v>
      </c>
      <c r="Q460" s="21">
        <f>_xlfn.XLOOKUP(tbl_FACTS[[#This Row],[ProductID]],Πίνακας7[ProductID],Πίνακας7[Price])</f>
        <v>36</v>
      </c>
      <c r="R460" s="21">
        <f>tbl_FACTS[[#This Row],[Quantity]]*tbl_FACTS[[#This Row],[Price]]</f>
        <v>720</v>
      </c>
      <c r="S460" s="19">
        <f>IF(COUNTIFS(tbl_FACTS[OrderID],tbl_FACTS[[#This Row],[OrderID]],tbl_FACTS[OrderDetailID],"&lt;"&amp;tbl_FACTS[[#This Row],[OrderDetailID]])=0,1,0)</f>
        <v>0</v>
      </c>
      <c r="T460" s="19">
        <f>YEAR(tbl_FACTS[[#This Row],[OrderDate]])</f>
        <v>1997</v>
      </c>
      <c r="U460" s="22">
        <f>DATE(YEAR(tbl_FACTS[[#This Row],[OrderDate]]),MONTH(tbl_FACTS[[#This Row],[OrderDate]]),1)</f>
        <v>35431</v>
      </c>
      <c r="V460" s="22" t="str">
        <f>IF(tbl_FACTS[[#This Row],[Quantity]]&lt;=10,"0–10",IF(tbl_FACTS[[#This Row],[Quantity]]&lt;=20,"11–20",IF(tbl_FACTS[[#This Row],[Quantity]]&lt;=30,"21–30",IF(tbl_FACTS[[#This Row],[Quantity]]&lt;=40,"31–40",IF(tbl_FACTS[[#This Row],[Quantity]]&lt;=50,"41–50","51+")))))</f>
        <v>11–20</v>
      </c>
    </row>
    <row r="461" spans="1:22">
      <c r="A461">
        <v>460</v>
      </c>
      <c r="B461">
        <v>10420</v>
      </c>
      <c r="C461">
        <v>9</v>
      </c>
      <c r="D461" s="19">
        <v>20</v>
      </c>
      <c r="E461" s="20">
        <f>_xlfn.XLOOKUP(tbl_FACTS[[#This Row],[OrderID]],Πίνακας64[OrderID],Πίνακας64[OrderDate])</f>
        <v>35451</v>
      </c>
      <c r="F461">
        <f>_xlfn.XLOOKUP(tbl_FACTS[[#This Row],[OrderID]],Πίνακας64[OrderID],Πίνακας64[CustomerID])</f>
        <v>88</v>
      </c>
      <c r="G461" t="str">
        <f>_xlfn.XLOOKUP(tbl_FACTS[[#This Row],[CustomerID]],Πίνακας1[CustomerID],Πίνακας1[CustomerName])</f>
        <v>Wellington Importadora</v>
      </c>
      <c r="H461" t="str">
        <f>_xlfn.XLOOKUP(tbl_FACTS[[#This Row],[CustomerID]],Πίνακας1[CustomerID],Πίνακας1[Country])</f>
        <v>Brazil</v>
      </c>
      <c r="I461">
        <f>_xlfn.XLOOKUP(tbl_FACTS[[#This Row],[OrderID]],Πίνακας64[OrderID],Πίνακας64[EmployeeID])</f>
        <v>3</v>
      </c>
      <c r="J461">
        <f>_xlfn.XLOOKUP(tbl_FACTS[[#This Row],[OrderID]],Πίνακας64[OrderID],Πίνακας64[ShipperID])</f>
        <v>1</v>
      </c>
      <c r="K461" t="str">
        <f>_xlfn.XLOOKUP(tbl_FACTS[[#This Row],[ShipperID]],Πίνακας8[ShipperID],Πίνακας8[ShipperName])</f>
        <v>Speedy Express</v>
      </c>
      <c r="L461" t="str">
        <f>_xlfn.XLOOKUP(tbl_FACTS[[#This Row],[ProductID]],Πίνακας7[ProductID],Πίνακας7[ProductName])</f>
        <v>Mishi Kobe Niku</v>
      </c>
      <c r="M461">
        <f>_xlfn.XLOOKUP(tbl_FACTS[[#This Row],[ProductID]],Πίνακας7[ProductID],Πίνακας7[CategoryID])</f>
        <v>6</v>
      </c>
      <c r="N461" t="str">
        <f>_xlfn.XLOOKUP(tbl_FACTS[[#This Row],[CategoryID]],Πίνακας4[CategoryID],Πίνακας4[CategoryName])</f>
        <v>Meat/Poultry</v>
      </c>
      <c r="O461">
        <f>_xlfn.XLOOKUP(tbl_FACTS[[#This Row],[ProductID]],Πίνακας7[ProductID],Πίνακας7[SupplierID])</f>
        <v>4</v>
      </c>
      <c r="P461" t="str">
        <f>_xlfn.XLOOKUP(tbl_FACTS[[#This Row],[SupplierID]],Πίνακας9[SupplierID],Πίνακας9[SupplierName])</f>
        <v>Tokyo Traders</v>
      </c>
      <c r="Q461" s="21">
        <f>_xlfn.XLOOKUP(tbl_FACTS[[#This Row],[ProductID]],Πίνακας7[ProductID],Πίνακας7[Price])</f>
        <v>97</v>
      </c>
      <c r="R461" s="21">
        <f>tbl_FACTS[[#This Row],[Quantity]]*tbl_FACTS[[#This Row],[Price]]</f>
        <v>1940</v>
      </c>
      <c r="S461" s="19">
        <f>IF(COUNTIFS(tbl_FACTS[OrderID],tbl_FACTS[[#This Row],[OrderID]],tbl_FACTS[OrderDetailID],"&lt;"&amp;tbl_FACTS[[#This Row],[OrderDetailID]])=0,1,0)</f>
        <v>1</v>
      </c>
      <c r="T461" s="19">
        <f>YEAR(tbl_FACTS[[#This Row],[OrderDate]])</f>
        <v>1997</v>
      </c>
      <c r="U461" s="22">
        <f>DATE(YEAR(tbl_FACTS[[#This Row],[OrderDate]]),MONTH(tbl_FACTS[[#This Row],[OrderDate]]),1)</f>
        <v>35431</v>
      </c>
      <c r="V461" s="22" t="str">
        <f>IF(tbl_FACTS[[#This Row],[Quantity]]&lt;=10,"0–10",IF(tbl_FACTS[[#This Row],[Quantity]]&lt;=20,"11–20",IF(tbl_FACTS[[#This Row],[Quantity]]&lt;=30,"21–30",IF(tbl_FACTS[[#This Row],[Quantity]]&lt;=40,"31–40",IF(tbl_FACTS[[#This Row],[Quantity]]&lt;=50,"41–50","51+")))))</f>
        <v>11–20</v>
      </c>
    </row>
    <row r="462" spans="1:22">
      <c r="A462">
        <v>461</v>
      </c>
      <c r="B462">
        <v>10420</v>
      </c>
      <c r="C462">
        <v>13</v>
      </c>
      <c r="D462" s="19">
        <v>2</v>
      </c>
      <c r="E462" s="20">
        <f>_xlfn.XLOOKUP(tbl_FACTS[[#This Row],[OrderID]],Πίνακας64[OrderID],Πίνακας64[OrderDate])</f>
        <v>35451</v>
      </c>
      <c r="F462">
        <f>_xlfn.XLOOKUP(tbl_FACTS[[#This Row],[OrderID]],Πίνακας64[OrderID],Πίνακας64[CustomerID])</f>
        <v>88</v>
      </c>
      <c r="G462" t="str">
        <f>_xlfn.XLOOKUP(tbl_FACTS[[#This Row],[CustomerID]],Πίνακας1[CustomerID],Πίνακας1[CustomerName])</f>
        <v>Wellington Importadora</v>
      </c>
      <c r="H462" t="str">
        <f>_xlfn.XLOOKUP(tbl_FACTS[[#This Row],[CustomerID]],Πίνακας1[CustomerID],Πίνακας1[Country])</f>
        <v>Brazil</v>
      </c>
      <c r="I462">
        <f>_xlfn.XLOOKUP(tbl_FACTS[[#This Row],[OrderID]],Πίνακας64[OrderID],Πίνακας64[EmployeeID])</f>
        <v>3</v>
      </c>
      <c r="J462">
        <f>_xlfn.XLOOKUP(tbl_FACTS[[#This Row],[OrderID]],Πίνακας64[OrderID],Πίνακας64[ShipperID])</f>
        <v>1</v>
      </c>
      <c r="K462" t="str">
        <f>_xlfn.XLOOKUP(tbl_FACTS[[#This Row],[ShipperID]],Πίνακας8[ShipperID],Πίνακας8[ShipperName])</f>
        <v>Speedy Express</v>
      </c>
      <c r="L462" t="str">
        <f>_xlfn.XLOOKUP(tbl_FACTS[[#This Row],[ProductID]],Πίνακας7[ProductID],Πίνακας7[ProductName])</f>
        <v>Konbu</v>
      </c>
      <c r="M462">
        <f>_xlfn.XLOOKUP(tbl_FACTS[[#This Row],[ProductID]],Πίνακας7[ProductID],Πίνακας7[CategoryID])</f>
        <v>8</v>
      </c>
      <c r="N462" t="str">
        <f>_xlfn.XLOOKUP(tbl_FACTS[[#This Row],[CategoryID]],Πίνακας4[CategoryID],Πίνακας4[CategoryName])</f>
        <v>Seafood</v>
      </c>
      <c r="O462">
        <f>_xlfn.XLOOKUP(tbl_FACTS[[#This Row],[ProductID]],Πίνακας7[ProductID],Πίνακας7[SupplierID])</f>
        <v>6</v>
      </c>
      <c r="P462" t="str">
        <f>_xlfn.XLOOKUP(tbl_FACTS[[#This Row],[SupplierID]],Πίνακας9[SupplierID],Πίνακας9[SupplierName])</f>
        <v>Mayumi's</v>
      </c>
      <c r="Q462" s="21">
        <f>_xlfn.XLOOKUP(tbl_FACTS[[#This Row],[ProductID]],Πίνακας7[ProductID],Πίνακας7[Price])</f>
        <v>6</v>
      </c>
      <c r="R462" s="21">
        <f>tbl_FACTS[[#This Row],[Quantity]]*tbl_FACTS[[#This Row],[Price]]</f>
        <v>12</v>
      </c>
      <c r="S462" s="19">
        <f>IF(COUNTIFS(tbl_FACTS[OrderID],tbl_FACTS[[#This Row],[OrderID]],tbl_FACTS[OrderDetailID],"&lt;"&amp;tbl_FACTS[[#This Row],[OrderDetailID]])=0,1,0)</f>
        <v>0</v>
      </c>
      <c r="T462" s="19">
        <f>YEAR(tbl_FACTS[[#This Row],[OrderDate]])</f>
        <v>1997</v>
      </c>
      <c r="U462" s="22">
        <f>DATE(YEAR(tbl_FACTS[[#This Row],[OrderDate]]),MONTH(tbl_FACTS[[#This Row],[OrderDate]]),1)</f>
        <v>35431</v>
      </c>
      <c r="V462" s="22" t="str">
        <f>IF(tbl_FACTS[[#This Row],[Quantity]]&lt;=10,"0–10",IF(tbl_FACTS[[#This Row],[Quantity]]&lt;=20,"11–20",IF(tbl_FACTS[[#This Row],[Quantity]]&lt;=30,"21–30",IF(tbl_FACTS[[#This Row],[Quantity]]&lt;=40,"31–40",IF(tbl_FACTS[[#This Row],[Quantity]]&lt;=50,"41–50","51+")))))</f>
        <v>0–10</v>
      </c>
    </row>
    <row r="463" spans="1:22">
      <c r="A463">
        <v>462</v>
      </c>
      <c r="B463">
        <v>10420</v>
      </c>
      <c r="C463">
        <v>70</v>
      </c>
      <c r="D463" s="19">
        <v>8</v>
      </c>
      <c r="E463" s="20">
        <f>_xlfn.XLOOKUP(tbl_FACTS[[#This Row],[OrderID]],Πίνακας64[OrderID],Πίνακας64[OrderDate])</f>
        <v>35451</v>
      </c>
      <c r="F463">
        <f>_xlfn.XLOOKUP(tbl_FACTS[[#This Row],[OrderID]],Πίνακας64[OrderID],Πίνακας64[CustomerID])</f>
        <v>88</v>
      </c>
      <c r="G463" t="str">
        <f>_xlfn.XLOOKUP(tbl_FACTS[[#This Row],[CustomerID]],Πίνακας1[CustomerID],Πίνακας1[CustomerName])</f>
        <v>Wellington Importadora</v>
      </c>
      <c r="H463" t="str">
        <f>_xlfn.XLOOKUP(tbl_FACTS[[#This Row],[CustomerID]],Πίνακας1[CustomerID],Πίνακας1[Country])</f>
        <v>Brazil</v>
      </c>
      <c r="I463">
        <f>_xlfn.XLOOKUP(tbl_FACTS[[#This Row],[OrderID]],Πίνακας64[OrderID],Πίνακας64[EmployeeID])</f>
        <v>3</v>
      </c>
      <c r="J463">
        <f>_xlfn.XLOOKUP(tbl_FACTS[[#This Row],[OrderID]],Πίνακας64[OrderID],Πίνακας64[ShipperID])</f>
        <v>1</v>
      </c>
      <c r="K463" t="str">
        <f>_xlfn.XLOOKUP(tbl_FACTS[[#This Row],[ShipperID]],Πίνακας8[ShipperID],Πίνακας8[ShipperName])</f>
        <v>Speedy Express</v>
      </c>
      <c r="L463" t="str">
        <f>_xlfn.XLOOKUP(tbl_FACTS[[#This Row],[ProductID]],Πίνακας7[ProductID],Πίνακας7[ProductName])</f>
        <v>Outback Lager</v>
      </c>
      <c r="M463">
        <f>_xlfn.XLOOKUP(tbl_FACTS[[#This Row],[ProductID]],Πίνακας7[ProductID],Πίνακας7[CategoryID])</f>
        <v>1</v>
      </c>
      <c r="N463" t="str">
        <f>_xlfn.XLOOKUP(tbl_FACTS[[#This Row],[CategoryID]],Πίνακας4[CategoryID],Πίνακας4[CategoryName])</f>
        <v>Beverages</v>
      </c>
      <c r="O463">
        <f>_xlfn.XLOOKUP(tbl_FACTS[[#This Row],[ProductID]],Πίνακας7[ProductID],Πίνακας7[SupplierID])</f>
        <v>7</v>
      </c>
      <c r="P463" t="str">
        <f>_xlfn.XLOOKUP(tbl_FACTS[[#This Row],[SupplierID]],Πίνακας9[SupplierID],Πίνακας9[SupplierName])</f>
        <v>Pavlova, Ltd.</v>
      </c>
      <c r="Q463" s="21">
        <f>_xlfn.XLOOKUP(tbl_FACTS[[#This Row],[ProductID]],Πίνακας7[ProductID],Πίνακας7[Price])</f>
        <v>15</v>
      </c>
      <c r="R463" s="21">
        <f>tbl_FACTS[[#This Row],[Quantity]]*tbl_FACTS[[#This Row],[Price]]</f>
        <v>120</v>
      </c>
      <c r="S463" s="19">
        <f>IF(COUNTIFS(tbl_FACTS[OrderID],tbl_FACTS[[#This Row],[OrderID]],tbl_FACTS[OrderDetailID],"&lt;"&amp;tbl_FACTS[[#This Row],[OrderDetailID]])=0,1,0)</f>
        <v>0</v>
      </c>
      <c r="T463" s="19">
        <f>YEAR(tbl_FACTS[[#This Row],[OrderDate]])</f>
        <v>1997</v>
      </c>
      <c r="U463" s="22">
        <f>DATE(YEAR(tbl_FACTS[[#This Row],[OrderDate]]),MONTH(tbl_FACTS[[#This Row],[OrderDate]]),1)</f>
        <v>35431</v>
      </c>
      <c r="V463" s="22" t="str">
        <f>IF(tbl_FACTS[[#This Row],[Quantity]]&lt;=10,"0–10",IF(tbl_FACTS[[#This Row],[Quantity]]&lt;=20,"11–20",IF(tbl_FACTS[[#This Row],[Quantity]]&lt;=30,"21–30",IF(tbl_FACTS[[#This Row],[Quantity]]&lt;=40,"31–40",IF(tbl_FACTS[[#This Row],[Quantity]]&lt;=50,"41–50","51+")))))</f>
        <v>0–10</v>
      </c>
    </row>
    <row r="464" spans="1:22">
      <c r="A464">
        <v>463</v>
      </c>
      <c r="B464">
        <v>10420</v>
      </c>
      <c r="C464">
        <v>73</v>
      </c>
      <c r="D464" s="19">
        <v>20</v>
      </c>
      <c r="E464" s="20">
        <f>_xlfn.XLOOKUP(tbl_FACTS[[#This Row],[OrderID]],Πίνακας64[OrderID],Πίνακας64[OrderDate])</f>
        <v>35451</v>
      </c>
      <c r="F464">
        <f>_xlfn.XLOOKUP(tbl_FACTS[[#This Row],[OrderID]],Πίνακας64[OrderID],Πίνακας64[CustomerID])</f>
        <v>88</v>
      </c>
      <c r="G464" t="str">
        <f>_xlfn.XLOOKUP(tbl_FACTS[[#This Row],[CustomerID]],Πίνακας1[CustomerID],Πίνακας1[CustomerName])</f>
        <v>Wellington Importadora</v>
      </c>
      <c r="H464" t="str">
        <f>_xlfn.XLOOKUP(tbl_FACTS[[#This Row],[CustomerID]],Πίνακας1[CustomerID],Πίνακας1[Country])</f>
        <v>Brazil</v>
      </c>
      <c r="I464">
        <f>_xlfn.XLOOKUP(tbl_FACTS[[#This Row],[OrderID]],Πίνακας64[OrderID],Πίνακας64[EmployeeID])</f>
        <v>3</v>
      </c>
      <c r="J464">
        <f>_xlfn.XLOOKUP(tbl_FACTS[[#This Row],[OrderID]],Πίνακας64[OrderID],Πίνακας64[ShipperID])</f>
        <v>1</v>
      </c>
      <c r="K464" t="str">
        <f>_xlfn.XLOOKUP(tbl_FACTS[[#This Row],[ShipperID]],Πίνακας8[ShipperID],Πίνακας8[ShipperName])</f>
        <v>Speedy Express</v>
      </c>
      <c r="L464" t="str">
        <f>_xlfn.XLOOKUP(tbl_FACTS[[#This Row],[ProductID]],Πίνακας7[ProductID],Πίνακας7[ProductName])</f>
        <v>Rod Kaviar</v>
      </c>
      <c r="M464">
        <f>_xlfn.XLOOKUP(tbl_FACTS[[#This Row],[ProductID]],Πίνακας7[ProductID],Πίνακας7[CategoryID])</f>
        <v>8</v>
      </c>
      <c r="N464" t="str">
        <f>_xlfn.XLOOKUP(tbl_FACTS[[#This Row],[CategoryID]],Πίνακας4[CategoryID],Πίνακας4[CategoryName])</f>
        <v>Seafood</v>
      </c>
      <c r="O464">
        <f>_xlfn.XLOOKUP(tbl_FACTS[[#This Row],[ProductID]],Πίνακας7[ProductID],Πίνακας7[SupplierID])</f>
        <v>17</v>
      </c>
      <c r="P464" t="str">
        <f>_xlfn.XLOOKUP(tbl_FACTS[[#This Row],[SupplierID]],Πίνακας9[SupplierID],Πίνακας9[SupplierName])</f>
        <v>Svensk Sjofoda AB</v>
      </c>
      <c r="Q464" s="21">
        <f>_xlfn.XLOOKUP(tbl_FACTS[[#This Row],[ProductID]],Πίνακας7[ProductID],Πίνακας7[Price])</f>
        <v>15</v>
      </c>
      <c r="R464" s="21">
        <f>tbl_FACTS[[#This Row],[Quantity]]*tbl_FACTS[[#This Row],[Price]]</f>
        <v>300</v>
      </c>
      <c r="S464" s="19">
        <f>IF(COUNTIFS(tbl_FACTS[OrderID],tbl_FACTS[[#This Row],[OrderID]],tbl_FACTS[OrderDetailID],"&lt;"&amp;tbl_FACTS[[#This Row],[OrderDetailID]])=0,1,0)</f>
        <v>0</v>
      </c>
      <c r="T464" s="19">
        <f>YEAR(tbl_FACTS[[#This Row],[OrderDate]])</f>
        <v>1997</v>
      </c>
      <c r="U464" s="22">
        <f>DATE(YEAR(tbl_FACTS[[#This Row],[OrderDate]]),MONTH(tbl_FACTS[[#This Row],[OrderDate]]),1)</f>
        <v>35431</v>
      </c>
      <c r="V464" s="22" t="str">
        <f>IF(tbl_FACTS[[#This Row],[Quantity]]&lt;=10,"0–10",IF(tbl_FACTS[[#This Row],[Quantity]]&lt;=20,"11–20",IF(tbl_FACTS[[#This Row],[Quantity]]&lt;=30,"21–30",IF(tbl_FACTS[[#This Row],[Quantity]]&lt;=40,"31–40",IF(tbl_FACTS[[#This Row],[Quantity]]&lt;=50,"41–50","51+")))))</f>
        <v>11–20</v>
      </c>
    </row>
    <row r="465" spans="1:22">
      <c r="A465">
        <v>464</v>
      </c>
      <c r="B465">
        <v>10421</v>
      </c>
      <c r="C465">
        <v>19</v>
      </c>
      <c r="D465" s="19">
        <v>4</v>
      </c>
      <c r="E465" s="20">
        <f>_xlfn.XLOOKUP(tbl_FACTS[[#This Row],[OrderID]],Πίνακας64[OrderID],Πίνακας64[OrderDate])</f>
        <v>35451</v>
      </c>
      <c r="F465">
        <f>_xlfn.XLOOKUP(tbl_FACTS[[#This Row],[OrderID]],Πίνακας64[OrderID],Πίνακας64[CustomerID])</f>
        <v>61</v>
      </c>
      <c r="G465" t="str">
        <f>_xlfn.XLOOKUP(tbl_FACTS[[#This Row],[CustomerID]],Πίνακας1[CustomerID],Πίνακας1[CustomerName])</f>
        <v>Que Delicia</v>
      </c>
      <c r="H465" t="str">
        <f>_xlfn.XLOOKUP(tbl_FACTS[[#This Row],[CustomerID]],Πίνακας1[CustomerID],Πίνακας1[Country])</f>
        <v>Brazil</v>
      </c>
      <c r="I465">
        <f>_xlfn.XLOOKUP(tbl_FACTS[[#This Row],[OrderID]],Πίνακας64[OrderID],Πίνακας64[EmployeeID])</f>
        <v>8</v>
      </c>
      <c r="J465">
        <f>_xlfn.XLOOKUP(tbl_FACTS[[#This Row],[OrderID]],Πίνακας64[OrderID],Πίνακας64[ShipperID])</f>
        <v>1</v>
      </c>
      <c r="K465" t="str">
        <f>_xlfn.XLOOKUP(tbl_FACTS[[#This Row],[ShipperID]],Πίνακας8[ShipperID],Πίνακας8[ShipperName])</f>
        <v>Speedy Express</v>
      </c>
      <c r="L465" t="str">
        <f>_xlfn.XLOOKUP(tbl_FACTS[[#This Row],[ProductID]],Πίνακας7[ProductID],Πίνακας7[ProductName])</f>
        <v>Teatime Chocolate Biscuits</v>
      </c>
      <c r="M465">
        <f>_xlfn.XLOOKUP(tbl_FACTS[[#This Row],[ProductID]],Πίνακας7[ProductID],Πίνακας7[CategoryID])</f>
        <v>3</v>
      </c>
      <c r="N465" t="str">
        <f>_xlfn.XLOOKUP(tbl_FACTS[[#This Row],[CategoryID]],Πίνακας4[CategoryID],Πίνακας4[CategoryName])</f>
        <v>Confections</v>
      </c>
      <c r="O465">
        <f>_xlfn.XLOOKUP(tbl_FACTS[[#This Row],[ProductID]],Πίνακας7[ProductID],Πίνακας7[SupplierID])</f>
        <v>8</v>
      </c>
      <c r="P465" t="str">
        <f>_xlfn.XLOOKUP(tbl_FACTS[[#This Row],[SupplierID]],Πίνακας9[SupplierID],Πίνακας9[SupplierName])</f>
        <v>Specialty Biscuits, Ltd.</v>
      </c>
      <c r="Q465" s="21">
        <f>_xlfn.XLOOKUP(tbl_FACTS[[#This Row],[ProductID]],Πίνακας7[ProductID],Πίνακας7[Price])</f>
        <v>9</v>
      </c>
      <c r="R465" s="21">
        <f>tbl_FACTS[[#This Row],[Quantity]]*tbl_FACTS[[#This Row],[Price]]</f>
        <v>36</v>
      </c>
      <c r="S465" s="19">
        <f>IF(COUNTIFS(tbl_FACTS[OrderID],tbl_FACTS[[#This Row],[OrderID]],tbl_FACTS[OrderDetailID],"&lt;"&amp;tbl_FACTS[[#This Row],[OrderDetailID]])=0,1,0)</f>
        <v>1</v>
      </c>
      <c r="T465" s="19">
        <f>YEAR(tbl_FACTS[[#This Row],[OrderDate]])</f>
        <v>1997</v>
      </c>
      <c r="U465" s="22">
        <f>DATE(YEAR(tbl_FACTS[[#This Row],[OrderDate]]),MONTH(tbl_FACTS[[#This Row],[OrderDate]]),1)</f>
        <v>35431</v>
      </c>
      <c r="V465" s="22" t="str">
        <f>IF(tbl_FACTS[[#This Row],[Quantity]]&lt;=10,"0–10",IF(tbl_FACTS[[#This Row],[Quantity]]&lt;=20,"11–20",IF(tbl_FACTS[[#This Row],[Quantity]]&lt;=30,"21–30",IF(tbl_FACTS[[#This Row],[Quantity]]&lt;=40,"31–40",IF(tbl_FACTS[[#This Row],[Quantity]]&lt;=50,"41–50","51+")))))</f>
        <v>0–10</v>
      </c>
    </row>
    <row r="466" spans="1:22">
      <c r="A466">
        <v>465</v>
      </c>
      <c r="B466">
        <v>10421</v>
      </c>
      <c r="C466">
        <v>26</v>
      </c>
      <c r="D466" s="19">
        <v>30</v>
      </c>
      <c r="E466" s="20">
        <f>_xlfn.XLOOKUP(tbl_FACTS[[#This Row],[OrderID]],Πίνακας64[OrderID],Πίνακας64[OrderDate])</f>
        <v>35451</v>
      </c>
      <c r="F466">
        <f>_xlfn.XLOOKUP(tbl_FACTS[[#This Row],[OrderID]],Πίνακας64[OrderID],Πίνακας64[CustomerID])</f>
        <v>61</v>
      </c>
      <c r="G466" t="str">
        <f>_xlfn.XLOOKUP(tbl_FACTS[[#This Row],[CustomerID]],Πίνακας1[CustomerID],Πίνακας1[CustomerName])</f>
        <v>Que Delicia</v>
      </c>
      <c r="H466" t="str">
        <f>_xlfn.XLOOKUP(tbl_FACTS[[#This Row],[CustomerID]],Πίνακας1[CustomerID],Πίνακας1[Country])</f>
        <v>Brazil</v>
      </c>
      <c r="I466">
        <f>_xlfn.XLOOKUP(tbl_FACTS[[#This Row],[OrderID]],Πίνακας64[OrderID],Πίνακας64[EmployeeID])</f>
        <v>8</v>
      </c>
      <c r="J466">
        <f>_xlfn.XLOOKUP(tbl_FACTS[[#This Row],[OrderID]],Πίνακας64[OrderID],Πίνακας64[ShipperID])</f>
        <v>1</v>
      </c>
      <c r="K466" t="str">
        <f>_xlfn.XLOOKUP(tbl_FACTS[[#This Row],[ShipperID]],Πίνακας8[ShipperID],Πίνακας8[ShipperName])</f>
        <v>Speedy Express</v>
      </c>
      <c r="L466" t="str">
        <f>_xlfn.XLOOKUP(tbl_FACTS[[#This Row],[ProductID]],Πίνακας7[ProductID],Πίνακας7[ProductName])</f>
        <v>Gumbar Gummibarchen</v>
      </c>
      <c r="M466">
        <f>_xlfn.XLOOKUP(tbl_FACTS[[#This Row],[ProductID]],Πίνακας7[ProductID],Πίνακας7[CategoryID])</f>
        <v>3</v>
      </c>
      <c r="N466" t="str">
        <f>_xlfn.XLOOKUP(tbl_FACTS[[#This Row],[CategoryID]],Πίνακας4[CategoryID],Πίνακας4[CategoryName])</f>
        <v>Confections</v>
      </c>
      <c r="O466">
        <f>_xlfn.XLOOKUP(tbl_FACTS[[#This Row],[ProductID]],Πίνακας7[ProductID],Πίνακας7[SupplierID])</f>
        <v>11</v>
      </c>
      <c r="P466" t="str">
        <f>_xlfn.XLOOKUP(tbl_FACTS[[#This Row],[SupplierID]],Πίνακας9[SupplierID],Πίνακας9[SupplierName])</f>
        <v>Heli Su├ƒwaren GmbH &amp; Co. KG</v>
      </c>
      <c r="Q466" s="21">
        <f>_xlfn.XLOOKUP(tbl_FACTS[[#This Row],[ProductID]],Πίνακας7[ProductID],Πίνακας7[Price])</f>
        <v>31</v>
      </c>
      <c r="R466" s="21">
        <f>tbl_FACTS[[#This Row],[Quantity]]*tbl_FACTS[[#This Row],[Price]]</f>
        <v>930</v>
      </c>
      <c r="S466" s="19">
        <f>IF(COUNTIFS(tbl_FACTS[OrderID],tbl_FACTS[[#This Row],[OrderID]],tbl_FACTS[OrderDetailID],"&lt;"&amp;tbl_FACTS[[#This Row],[OrderDetailID]])=0,1,0)</f>
        <v>0</v>
      </c>
      <c r="T466" s="19">
        <f>YEAR(tbl_FACTS[[#This Row],[OrderDate]])</f>
        <v>1997</v>
      </c>
      <c r="U466" s="22">
        <f>DATE(YEAR(tbl_FACTS[[#This Row],[OrderDate]]),MONTH(tbl_FACTS[[#This Row],[OrderDate]]),1)</f>
        <v>35431</v>
      </c>
      <c r="V466" s="22" t="str">
        <f>IF(tbl_FACTS[[#This Row],[Quantity]]&lt;=10,"0–10",IF(tbl_FACTS[[#This Row],[Quantity]]&lt;=20,"11–20",IF(tbl_FACTS[[#This Row],[Quantity]]&lt;=30,"21–30",IF(tbl_FACTS[[#This Row],[Quantity]]&lt;=40,"31–40",IF(tbl_FACTS[[#This Row],[Quantity]]&lt;=50,"41–50","51+")))))</f>
        <v>21–30</v>
      </c>
    </row>
    <row r="467" spans="1:22">
      <c r="A467">
        <v>466</v>
      </c>
      <c r="B467">
        <v>10421</v>
      </c>
      <c r="C467">
        <v>53</v>
      </c>
      <c r="D467" s="19">
        <v>15</v>
      </c>
      <c r="E467" s="20">
        <f>_xlfn.XLOOKUP(tbl_FACTS[[#This Row],[OrderID]],Πίνακας64[OrderID],Πίνακας64[OrderDate])</f>
        <v>35451</v>
      </c>
      <c r="F467">
        <f>_xlfn.XLOOKUP(tbl_FACTS[[#This Row],[OrderID]],Πίνακας64[OrderID],Πίνακας64[CustomerID])</f>
        <v>61</v>
      </c>
      <c r="G467" t="str">
        <f>_xlfn.XLOOKUP(tbl_FACTS[[#This Row],[CustomerID]],Πίνακας1[CustomerID],Πίνακας1[CustomerName])</f>
        <v>Que Delicia</v>
      </c>
      <c r="H467" t="str">
        <f>_xlfn.XLOOKUP(tbl_FACTS[[#This Row],[CustomerID]],Πίνακας1[CustomerID],Πίνακας1[Country])</f>
        <v>Brazil</v>
      </c>
      <c r="I467">
        <f>_xlfn.XLOOKUP(tbl_FACTS[[#This Row],[OrderID]],Πίνακας64[OrderID],Πίνακας64[EmployeeID])</f>
        <v>8</v>
      </c>
      <c r="J467">
        <f>_xlfn.XLOOKUP(tbl_FACTS[[#This Row],[OrderID]],Πίνακας64[OrderID],Πίνακας64[ShipperID])</f>
        <v>1</v>
      </c>
      <c r="K467" t="str">
        <f>_xlfn.XLOOKUP(tbl_FACTS[[#This Row],[ShipperID]],Πίνακας8[ShipperID],Πίνακας8[ShipperName])</f>
        <v>Speedy Express</v>
      </c>
      <c r="L467" t="str">
        <f>_xlfn.XLOOKUP(tbl_FACTS[[#This Row],[ProductID]],Πίνακας7[ProductID],Πίνακας7[ProductName])</f>
        <v>Perth Pasties</v>
      </c>
      <c r="M467">
        <f>_xlfn.XLOOKUP(tbl_FACTS[[#This Row],[ProductID]],Πίνακας7[ProductID],Πίνακας7[CategoryID])</f>
        <v>6</v>
      </c>
      <c r="N467" t="str">
        <f>_xlfn.XLOOKUP(tbl_FACTS[[#This Row],[CategoryID]],Πίνακας4[CategoryID],Πίνακας4[CategoryName])</f>
        <v>Meat/Poultry</v>
      </c>
      <c r="O467">
        <f>_xlfn.XLOOKUP(tbl_FACTS[[#This Row],[ProductID]],Πίνακας7[ProductID],Πίνακας7[SupplierID])</f>
        <v>24</v>
      </c>
      <c r="P467" t="str">
        <f>_xlfn.XLOOKUP(tbl_FACTS[[#This Row],[SupplierID]],Πίνακας9[SupplierID],Πίνακας9[SupplierName])</f>
        <v>G'day, Mate</v>
      </c>
      <c r="Q467" s="21">
        <f>_xlfn.XLOOKUP(tbl_FACTS[[#This Row],[ProductID]],Πίνακας7[ProductID],Πίνακας7[Price])</f>
        <v>33</v>
      </c>
      <c r="R467" s="21">
        <f>tbl_FACTS[[#This Row],[Quantity]]*tbl_FACTS[[#This Row],[Price]]</f>
        <v>495</v>
      </c>
      <c r="S467" s="19">
        <f>IF(COUNTIFS(tbl_FACTS[OrderID],tbl_FACTS[[#This Row],[OrderID]],tbl_FACTS[OrderDetailID],"&lt;"&amp;tbl_FACTS[[#This Row],[OrderDetailID]])=0,1,0)</f>
        <v>0</v>
      </c>
      <c r="T467" s="19">
        <f>YEAR(tbl_FACTS[[#This Row],[OrderDate]])</f>
        <v>1997</v>
      </c>
      <c r="U467" s="22">
        <f>DATE(YEAR(tbl_FACTS[[#This Row],[OrderDate]]),MONTH(tbl_FACTS[[#This Row],[OrderDate]]),1)</f>
        <v>35431</v>
      </c>
      <c r="V467" s="22" t="str">
        <f>IF(tbl_FACTS[[#This Row],[Quantity]]&lt;=10,"0–10",IF(tbl_FACTS[[#This Row],[Quantity]]&lt;=20,"11–20",IF(tbl_FACTS[[#This Row],[Quantity]]&lt;=30,"21–30",IF(tbl_FACTS[[#This Row],[Quantity]]&lt;=40,"31–40",IF(tbl_FACTS[[#This Row],[Quantity]]&lt;=50,"41–50","51+")))))</f>
        <v>11–20</v>
      </c>
    </row>
    <row r="468" spans="1:22">
      <c r="A468">
        <v>467</v>
      </c>
      <c r="B468">
        <v>10421</v>
      </c>
      <c r="C468">
        <v>77</v>
      </c>
      <c r="D468" s="19">
        <v>10</v>
      </c>
      <c r="E468" s="20">
        <f>_xlfn.XLOOKUP(tbl_FACTS[[#This Row],[OrderID]],Πίνακας64[OrderID],Πίνακας64[OrderDate])</f>
        <v>35451</v>
      </c>
      <c r="F468">
        <f>_xlfn.XLOOKUP(tbl_FACTS[[#This Row],[OrderID]],Πίνακας64[OrderID],Πίνακας64[CustomerID])</f>
        <v>61</v>
      </c>
      <c r="G468" t="str">
        <f>_xlfn.XLOOKUP(tbl_FACTS[[#This Row],[CustomerID]],Πίνακας1[CustomerID],Πίνακας1[CustomerName])</f>
        <v>Que Delicia</v>
      </c>
      <c r="H468" t="str">
        <f>_xlfn.XLOOKUP(tbl_FACTS[[#This Row],[CustomerID]],Πίνακας1[CustomerID],Πίνακας1[Country])</f>
        <v>Brazil</v>
      </c>
      <c r="I468">
        <f>_xlfn.XLOOKUP(tbl_FACTS[[#This Row],[OrderID]],Πίνακας64[OrderID],Πίνακας64[EmployeeID])</f>
        <v>8</v>
      </c>
      <c r="J468">
        <f>_xlfn.XLOOKUP(tbl_FACTS[[#This Row],[OrderID]],Πίνακας64[OrderID],Πίνακας64[ShipperID])</f>
        <v>1</v>
      </c>
      <c r="K468" t="str">
        <f>_xlfn.XLOOKUP(tbl_FACTS[[#This Row],[ShipperID]],Πίνακας8[ShipperID],Πίνακας8[ShipperName])</f>
        <v>Speedy Express</v>
      </c>
      <c r="L468" t="str">
        <f>_xlfn.XLOOKUP(tbl_FACTS[[#This Row],[ProductID]],Πίνακας7[ProductID],Πίνακας7[ProductName])</f>
        <v>Original Frankfurter grune So├ƒe</v>
      </c>
      <c r="M468">
        <f>_xlfn.XLOOKUP(tbl_FACTS[[#This Row],[ProductID]],Πίνακας7[ProductID],Πίνακας7[CategoryID])</f>
        <v>2</v>
      </c>
      <c r="N468" t="str">
        <f>_xlfn.XLOOKUP(tbl_FACTS[[#This Row],[CategoryID]],Πίνακας4[CategoryID],Πίνακας4[CategoryName])</f>
        <v>Condiments</v>
      </c>
      <c r="O468">
        <f>_xlfn.XLOOKUP(tbl_FACTS[[#This Row],[ProductID]],Πίνακας7[ProductID],Πίνακας7[SupplierID])</f>
        <v>12</v>
      </c>
      <c r="P468" t="str">
        <f>_xlfn.XLOOKUP(tbl_FACTS[[#This Row],[SupplierID]],Πίνακας9[SupplierID],Πίνακας9[SupplierName])</f>
        <v>Plutzer Lebensmittelgro├ƒmarkte AG</v>
      </c>
      <c r="Q468" s="21">
        <f>_xlfn.XLOOKUP(tbl_FACTS[[#This Row],[ProductID]],Πίνακας7[ProductID],Πίνακας7[Price])</f>
        <v>13</v>
      </c>
      <c r="R468" s="21">
        <f>tbl_FACTS[[#This Row],[Quantity]]*tbl_FACTS[[#This Row],[Price]]</f>
        <v>130</v>
      </c>
      <c r="S468" s="19">
        <f>IF(COUNTIFS(tbl_FACTS[OrderID],tbl_FACTS[[#This Row],[OrderID]],tbl_FACTS[OrderDetailID],"&lt;"&amp;tbl_FACTS[[#This Row],[OrderDetailID]])=0,1,0)</f>
        <v>0</v>
      </c>
      <c r="T468" s="19">
        <f>YEAR(tbl_FACTS[[#This Row],[OrderDate]])</f>
        <v>1997</v>
      </c>
      <c r="U468" s="22">
        <f>DATE(YEAR(tbl_FACTS[[#This Row],[OrderDate]]),MONTH(tbl_FACTS[[#This Row],[OrderDate]]),1)</f>
        <v>35431</v>
      </c>
      <c r="V468" s="22" t="str">
        <f>IF(tbl_FACTS[[#This Row],[Quantity]]&lt;=10,"0–10",IF(tbl_FACTS[[#This Row],[Quantity]]&lt;=20,"11–20",IF(tbl_FACTS[[#This Row],[Quantity]]&lt;=30,"21–30",IF(tbl_FACTS[[#This Row],[Quantity]]&lt;=40,"31–40",IF(tbl_FACTS[[#This Row],[Quantity]]&lt;=50,"41–50","51+")))))</f>
        <v>0–10</v>
      </c>
    </row>
    <row r="469" spans="1:22">
      <c r="A469">
        <v>468</v>
      </c>
      <c r="B469">
        <v>10422</v>
      </c>
      <c r="C469">
        <v>26</v>
      </c>
      <c r="D469" s="19">
        <v>2</v>
      </c>
      <c r="E469" s="20">
        <f>_xlfn.XLOOKUP(tbl_FACTS[[#This Row],[OrderID]],Πίνακας64[OrderID],Πίνακας64[OrderDate])</f>
        <v>35452</v>
      </c>
      <c r="F469">
        <f>_xlfn.XLOOKUP(tbl_FACTS[[#This Row],[OrderID]],Πίνακας64[OrderID],Πίνακας64[CustomerID])</f>
        <v>27</v>
      </c>
      <c r="G469" t="str">
        <f>_xlfn.XLOOKUP(tbl_FACTS[[#This Row],[CustomerID]],Πίνακας1[CustomerID],Πίνακας1[CustomerName])</f>
        <v>Franchi S.p.A.</v>
      </c>
      <c r="H469" t="str">
        <f>_xlfn.XLOOKUP(tbl_FACTS[[#This Row],[CustomerID]],Πίνακας1[CustomerID],Πίνακας1[Country])</f>
        <v>Italy</v>
      </c>
      <c r="I469">
        <f>_xlfn.XLOOKUP(tbl_FACTS[[#This Row],[OrderID]],Πίνακας64[OrderID],Πίνακας64[EmployeeID])</f>
        <v>2</v>
      </c>
      <c r="J469">
        <f>_xlfn.XLOOKUP(tbl_FACTS[[#This Row],[OrderID]],Πίνακας64[OrderID],Πίνακας64[ShipperID])</f>
        <v>1</v>
      </c>
      <c r="K469" t="str">
        <f>_xlfn.XLOOKUP(tbl_FACTS[[#This Row],[ShipperID]],Πίνακας8[ShipperID],Πίνακας8[ShipperName])</f>
        <v>Speedy Express</v>
      </c>
      <c r="L469" t="str">
        <f>_xlfn.XLOOKUP(tbl_FACTS[[#This Row],[ProductID]],Πίνακας7[ProductID],Πίνακας7[ProductName])</f>
        <v>Gumbar Gummibarchen</v>
      </c>
      <c r="M469">
        <f>_xlfn.XLOOKUP(tbl_FACTS[[#This Row],[ProductID]],Πίνακας7[ProductID],Πίνακας7[CategoryID])</f>
        <v>3</v>
      </c>
      <c r="N469" t="str">
        <f>_xlfn.XLOOKUP(tbl_FACTS[[#This Row],[CategoryID]],Πίνακας4[CategoryID],Πίνακας4[CategoryName])</f>
        <v>Confections</v>
      </c>
      <c r="O469">
        <f>_xlfn.XLOOKUP(tbl_FACTS[[#This Row],[ProductID]],Πίνακας7[ProductID],Πίνακας7[SupplierID])</f>
        <v>11</v>
      </c>
      <c r="P469" t="str">
        <f>_xlfn.XLOOKUP(tbl_FACTS[[#This Row],[SupplierID]],Πίνακας9[SupplierID],Πίνακας9[SupplierName])</f>
        <v>Heli Su├ƒwaren GmbH &amp; Co. KG</v>
      </c>
      <c r="Q469" s="21">
        <f>_xlfn.XLOOKUP(tbl_FACTS[[#This Row],[ProductID]],Πίνακας7[ProductID],Πίνακας7[Price])</f>
        <v>31</v>
      </c>
      <c r="R469" s="21">
        <f>tbl_FACTS[[#This Row],[Quantity]]*tbl_FACTS[[#This Row],[Price]]</f>
        <v>62</v>
      </c>
      <c r="S469" s="19">
        <f>IF(COUNTIFS(tbl_FACTS[OrderID],tbl_FACTS[[#This Row],[OrderID]],tbl_FACTS[OrderDetailID],"&lt;"&amp;tbl_FACTS[[#This Row],[OrderDetailID]])=0,1,0)</f>
        <v>1</v>
      </c>
      <c r="T469" s="19">
        <f>YEAR(tbl_FACTS[[#This Row],[OrderDate]])</f>
        <v>1997</v>
      </c>
      <c r="U469" s="22">
        <f>DATE(YEAR(tbl_FACTS[[#This Row],[OrderDate]]),MONTH(tbl_FACTS[[#This Row],[OrderDate]]),1)</f>
        <v>35431</v>
      </c>
      <c r="V469" s="22" t="str">
        <f>IF(tbl_FACTS[[#This Row],[Quantity]]&lt;=10,"0–10",IF(tbl_FACTS[[#This Row],[Quantity]]&lt;=20,"11–20",IF(tbl_FACTS[[#This Row],[Quantity]]&lt;=30,"21–30",IF(tbl_FACTS[[#This Row],[Quantity]]&lt;=40,"31–40",IF(tbl_FACTS[[#This Row],[Quantity]]&lt;=50,"41–50","51+")))))</f>
        <v>0–10</v>
      </c>
    </row>
    <row r="470" spans="1:22">
      <c r="A470">
        <v>469</v>
      </c>
      <c r="B470">
        <v>10423</v>
      </c>
      <c r="C470">
        <v>31</v>
      </c>
      <c r="D470" s="19">
        <v>14</v>
      </c>
      <c r="E470" s="20">
        <f>_xlfn.XLOOKUP(tbl_FACTS[[#This Row],[OrderID]],Πίνακας64[OrderID],Πίνακας64[OrderDate])</f>
        <v>35453</v>
      </c>
      <c r="F470">
        <f>_xlfn.XLOOKUP(tbl_FACTS[[#This Row],[OrderID]],Πίνακας64[OrderID],Πίνακας64[CustomerID])</f>
        <v>31</v>
      </c>
      <c r="G470" t="str">
        <f>_xlfn.XLOOKUP(tbl_FACTS[[#This Row],[CustomerID]],Πίνακας1[CustomerID],Πίνακας1[CustomerName])</f>
        <v>Gourmet Lanchonetes</v>
      </c>
      <c r="H470" t="str">
        <f>_xlfn.XLOOKUP(tbl_FACTS[[#This Row],[CustomerID]],Πίνακας1[CustomerID],Πίνακας1[Country])</f>
        <v>Brazil</v>
      </c>
      <c r="I470">
        <f>_xlfn.XLOOKUP(tbl_FACTS[[#This Row],[OrderID]],Πίνακας64[OrderID],Πίνακας64[EmployeeID])</f>
        <v>6</v>
      </c>
      <c r="J470">
        <f>_xlfn.XLOOKUP(tbl_FACTS[[#This Row],[OrderID]],Πίνακας64[OrderID],Πίνακας64[ShipperID])</f>
        <v>3</v>
      </c>
      <c r="K470" t="str">
        <f>_xlfn.XLOOKUP(tbl_FACTS[[#This Row],[ShipperID]],Πίνακας8[ShipperID],Πίνακας8[ShipperName])</f>
        <v>Federal Shipping</v>
      </c>
      <c r="L470" t="str">
        <f>_xlfn.XLOOKUP(tbl_FACTS[[#This Row],[ProductID]],Πίνακας7[ProductID],Πίνακας7[ProductName])</f>
        <v>Gorgonzola Telino</v>
      </c>
      <c r="M470">
        <f>_xlfn.XLOOKUP(tbl_FACTS[[#This Row],[ProductID]],Πίνακας7[ProductID],Πίνακας7[CategoryID])</f>
        <v>4</v>
      </c>
      <c r="N470" t="str">
        <f>_xlfn.XLOOKUP(tbl_FACTS[[#This Row],[CategoryID]],Πίνακας4[CategoryID],Πίνακας4[CategoryName])</f>
        <v>Dairy Products</v>
      </c>
      <c r="O470">
        <f>_xlfn.XLOOKUP(tbl_FACTS[[#This Row],[ProductID]],Πίνακας7[ProductID],Πίνακας7[SupplierID])</f>
        <v>14</v>
      </c>
      <c r="P470" t="str">
        <f>_xlfn.XLOOKUP(tbl_FACTS[[#This Row],[SupplierID]],Πίνακας9[SupplierID],Πίνακας9[SupplierName])</f>
        <v>Formaggi Fortini s.r.l.</v>
      </c>
      <c r="Q470" s="21">
        <f>_xlfn.XLOOKUP(tbl_FACTS[[#This Row],[ProductID]],Πίνακας7[ProductID],Πίνακας7[Price])</f>
        <v>13</v>
      </c>
      <c r="R470" s="21">
        <f>tbl_FACTS[[#This Row],[Quantity]]*tbl_FACTS[[#This Row],[Price]]</f>
        <v>182</v>
      </c>
      <c r="S470" s="19">
        <f>IF(COUNTIFS(tbl_FACTS[OrderID],tbl_FACTS[[#This Row],[OrderID]],tbl_FACTS[OrderDetailID],"&lt;"&amp;tbl_FACTS[[#This Row],[OrderDetailID]])=0,1,0)</f>
        <v>1</v>
      </c>
      <c r="T470" s="19">
        <f>YEAR(tbl_FACTS[[#This Row],[OrderDate]])</f>
        <v>1997</v>
      </c>
      <c r="U470" s="22">
        <f>DATE(YEAR(tbl_FACTS[[#This Row],[OrderDate]]),MONTH(tbl_FACTS[[#This Row],[OrderDate]]),1)</f>
        <v>35431</v>
      </c>
      <c r="V470" s="22" t="str">
        <f>IF(tbl_FACTS[[#This Row],[Quantity]]&lt;=10,"0–10",IF(tbl_FACTS[[#This Row],[Quantity]]&lt;=20,"11–20",IF(tbl_FACTS[[#This Row],[Quantity]]&lt;=30,"21–30",IF(tbl_FACTS[[#This Row],[Quantity]]&lt;=40,"31–40",IF(tbl_FACTS[[#This Row],[Quantity]]&lt;=50,"41–50","51+")))))</f>
        <v>11–20</v>
      </c>
    </row>
    <row r="471" spans="1:22">
      <c r="A471">
        <v>470</v>
      </c>
      <c r="B471">
        <v>10423</v>
      </c>
      <c r="C471">
        <v>59</v>
      </c>
      <c r="D471" s="19">
        <v>20</v>
      </c>
      <c r="E471" s="20">
        <f>_xlfn.XLOOKUP(tbl_FACTS[[#This Row],[OrderID]],Πίνακας64[OrderID],Πίνακας64[OrderDate])</f>
        <v>35453</v>
      </c>
      <c r="F471">
        <f>_xlfn.XLOOKUP(tbl_FACTS[[#This Row],[OrderID]],Πίνακας64[OrderID],Πίνακας64[CustomerID])</f>
        <v>31</v>
      </c>
      <c r="G471" t="str">
        <f>_xlfn.XLOOKUP(tbl_FACTS[[#This Row],[CustomerID]],Πίνακας1[CustomerID],Πίνακας1[CustomerName])</f>
        <v>Gourmet Lanchonetes</v>
      </c>
      <c r="H471" t="str">
        <f>_xlfn.XLOOKUP(tbl_FACTS[[#This Row],[CustomerID]],Πίνακας1[CustomerID],Πίνακας1[Country])</f>
        <v>Brazil</v>
      </c>
      <c r="I471">
        <f>_xlfn.XLOOKUP(tbl_FACTS[[#This Row],[OrderID]],Πίνακας64[OrderID],Πίνακας64[EmployeeID])</f>
        <v>6</v>
      </c>
      <c r="J471">
        <f>_xlfn.XLOOKUP(tbl_FACTS[[#This Row],[OrderID]],Πίνακας64[OrderID],Πίνακας64[ShipperID])</f>
        <v>3</v>
      </c>
      <c r="K471" t="str">
        <f>_xlfn.XLOOKUP(tbl_FACTS[[#This Row],[ShipperID]],Πίνακας8[ShipperID],Πίνακας8[ShipperName])</f>
        <v>Federal Shipping</v>
      </c>
      <c r="L471" t="str">
        <f>_xlfn.XLOOKUP(tbl_FACTS[[#This Row],[ProductID]],Πίνακας7[ProductID],Πίνακας7[ProductName])</f>
        <v>Raclette Courdavault</v>
      </c>
      <c r="M471">
        <f>_xlfn.XLOOKUP(tbl_FACTS[[#This Row],[ProductID]],Πίνακας7[ProductID],Πίνακας7[CategoryID])</f>
        <v>4</v>
      </c>
      <c r="N471" t="str">
        <f>_xlfn.XLOOKUP(tbl_FACTS[[#This Row],[CategoryID]],Πίνακας4[CategoryID],Πίνακας4[CategoryName])</f>
        <v>Dairy Products</v>
      </c>
      <c r="O471">
        <f>_xlfn.XLOOKUP(tbl_FACTS[[#This Row],[ProductID]],Πίνακας7[ProductID],Πίνακας7[SupplierID])</f>
        <v>28</v>
      </c>
      <c r="P471" t="str">
        <f>_xlfn.XLOOKUP(tbl_FACTS[[#This Row],[SupplierID]],Πίνακας9[SupplierID],Πίνακας9[SupplierName])</f>
        <v>Gai paturage</v>
      </c>
      <c r="Q471" s="21">
        <f>_xlfn.XLOOKUP(tbl_FACTS[[#This Row],[ProductID]],Πίνακας7[ProductID],Πίνακας7[Price])</f>
        <v>55</v>
      </c>
      <c r="R471" s="21">
        <f>tbl_FACTS[[#This Row],[Quantity]]*tbl_FACTS[[#This Row],[Price]]</f>
        <v>1100</v>
      </c>
      <c r="S471" s="19">
        <f>IF(COUNTIFS(tbl_FACTS[OrderID],tbl_FACTS[[#This Row],[OrderID]],tbl_FACTS[OrderDetailID],"&lt;"&amp;tbl_FACTS[[#This Row],[OrderDetailID]])=0,1,0)</f>
        <v>0</v>
      </c>
      <c r="T471" s="19">
        <f>YEAR(tbl_FACTS[[#This Row],[OrderDate]])</f>
        <v>1997</v>
      </c>
      <c r="U471" s="22">
        <f>DATE(YEAR(tbl_FACTS[[#This Row],[OrderDate]]),MONTH(tbl_FACTS[[#This Row],[OrderDate]]),1)</f>
        <v>35431</v>
      </c>
      <c r="V471" s="22" t="str">
        <f>IF(tbl_FACTS[[#This Row],[Quantity]]&lt;=10,"0–10",IF(tbl_FACTS[[#This Row],[Quantity]]&lt;=20,"11–20",IF(tbl_FACTS[[#This Row],[Quantity]]&lt;=30,"21–30",IF(tbl_FACTS[[#This Row],[Quantity]]&lt;=40,"31–40",IF(tbl_FACTS[[#This Row],[Quantity]]&lt;=50,"41–50","51+")))))</f>
        <v>11–20</v>
      </c>
    </row>
    <row r="472" spans="1:22">
      <c r="A472">
        <v>471</v>
      </c>
      <c r="B472">
        <v>10424</v>
      </c>
      <c r="C472">
        <v>35</v>
      </c>
      <c r="D472" s="19">
        <v>60</v>
      </c>
      <c r="E472" s="20">
        <f>_xlfn.XLOOKUP(tbl_FACTS[[#This Row],[OrderID]],Πίνακας64[OrderID],Πίνακας64[OrderDate])</f>
        <v>35453</v>
      </c>
      <c r="F472">
        <f>_xlfn.XLOOKUP(tbl_FACTS[[#This Row],[OrderID]],Πίνακας64[OrderID],Πίνακας64[CustomerID])</f>
        <v>51</v>
      </c>
      <c r="G472" t="str">
        <f>_xlfn.XLOOKUP(tbl_FACTS[[#This Row],[CustomerID]],Πίνακας1[CustomerID],Πίνακας1[CustomerName])</f>
        <v>Mere Paillarde</v>
      </c>
      <c r="H472" t="str">
        <f>_xlfn.XLOOKUP(tbl_FACTS[[#This Row],[CustomerID]],Πίνακας1[CustomerID],Πίνακας1[Country])</f>
        <v>Canada</v>
      </c>
      <c r="I472">
        <f>_xlfn.XLOOKUP(tbl_FACTS[[#This Row],[OrderID]],Πίνακας64[OrderID],Πίνακας64[EmployeeID])</f>
        <v>7</v>
      </c>
      <c r="J472">
        <f>_xlfn.XLOOKUP(tbl_FACTS[[#This Row],[OrderID]],Πίνακας64[OrderID],Πίνακας64[ShipperID])</f>
        <v>2</v>
      </c>
      <c r="K472" t="str">
        <f>_xlfn.XLOOKUP(tbl_FACTS[[#This Row],[ShipperID]],Πίνακας8[ShipperID],Πίνακας8[ShipperName])</f>
        <v>United Package</v>
      </c>
      <c r="L472" t="str">
        <f>_xlfn.XLOOKUP(tbl_FACTS[[#This Row],[ProductID]],Πίνακας7[ProductID],Πίνακας7[ProductName])</f>
        <v>Steeleye Stout</v>
      </c>
      <c r="M472">
        <f>_xlfn.XLOOKUP(tbl_FACTS[[#This Row],[ProductID]],Πίνακας7[ProductID],Πίνακας7[CategoryID])</f>
        <v>1</v>
      </c>
      <c r="N472" t="str">
        <f>_xlfn.XLOOKUP(tbl_FACTS[[#This Row],[CategoryID]],Πίνακας4[CategoryID],Πίνακας4[CategoryName])</f>
        <v>Beverages</v>
      </c>
      <c r="O472">
        <f>_xlfn.XLOOKUP(tbl_FACTS[[#This Row],[ProductID]],Πίνακας7[ProductID],Πίνακας7[SupplierID])</f>
        <v>16</v>
      </c>
      <c r="P472" t="str">
        <f>_xlfn.XLOOKUP(tbl_FACTS[[#This Row],[SupplierID]],Πίνακας9[SupplierID],Πίνακας9[SupplierName])</f>
        <v>Bigfoot Breweries</v>
      </c>
      <c r="Q472" s="21">
        <f>_xlfn.XLOOKUP(tbl_FACTS[[#This Row],[ProductID]],Πίνακας7[ProductID],Πίνακας7[Price])</f>
        <v>18</v>
      </c>
      <c r="R472" s="21">
        <f>tbl_FACTS[[#This Row],[Quantity]]*tbl_FACTS[[#This Row],[Price]]</f>
        <v>1080</v>
      </c>
      <c r="S472" s="19">
        <f>IF(COUNTIFS(tbl_FACTS[OrderID],tbl_FACTS[[#This Row],[OrderID]],tbl_FACTS[OrderDetailID],"&lt;"&amp;tbl_FACTS[[#This Row],[OrderDetailID]])=0,1,0)</f>
        <v>1</v>
      </c>
      <c r="T472" s="19">
        <f>YEAR(tbl_FACTS[[#This Row],[OrderDate]])</f>
        <v>1997</v>
      </c>
      <c r="U472" s="22">
        <f>DATE(YEAR(tbl_FACTS[[#This Row],[OrderDate]]),MONTH(tbl_FACTS[[#This Row],[OrderDate]]),1)</f>
        <v>35431</v>
      </c>
      <c r="V472" s="22" t="str">
        <f>IF(tbl_FACTS[[#This Row],[Quantity]]&lt;=10,"0–10",IF(tbl_FACTS[[#This Row],[Quantity]]&lt;=20,"11–20",IF(tbl_FACTS[[#This Row],[Quantity]]&lt;=30,"21–30",IF(tbl_FACTS[[#This Row],[Quantity]]&lt;=40,"31–40",IF(tbl_FACTS[[#This Row],[Quantity]]&lt;=50,"41–50","51+")))))</f>
        <v>51+</v>
      </c>
    </row>
    <row r="473" spans="1:22">
      <c r="A473">
        <v>472</v>
      </c>
      <c r="B473">
        <v>10424</v>
      </c>
      <c r="C473">
        <v>38</v>
      </c>
      <c r="D473" s="19">
        <v>49</v>
      </c>
      <c r="E473" s="20">
        <f>_xlfn.XLOOKUP(tbl_FACTS[[#This Row],[OrderID]],Πίνακας64[OrderID],Πίνακας64[OrderDate])</f>
        <v>35453</v>
      </c>
      <c r="F473">
        <f>_xlfn.XLOOKUP(tbl_FACTS[[#This Row],[OrderID]],Πίνακας64[OrderID],Πίνακας64[CustomerID])</f>
        <v>51</v>
      </c>
      <c r="G473" t="str">
        <f>_xlfn.XLOOKUP(tbl_FACTS[[#This Row],[CustomerID]],Πίνακας1[CustomerID],Πίνακας1[CustomerName])</f>
        <v>Mere Paillarde</v>
      </c>
      <c r="H473" t="str">
        <f>_xlfn.XLOOKUP(tbl_FACTS[[#This Row],[CustomerID]],Πίνακας1[CustomerID],Πίνακας1[Country])</f>
        <v>Canada</v>
      </c>
      <c r="I473">
        <f>_xlfn.XLOOKUP(tbl_FACTS[[#This Row],[OrderID]],Πίνακας64[OrderID],Πίνακας64[EmployeeID])</f>
        <v>7</v>
      </c>
      <c r="J473">
        <f>_xlfn.XLOOKUP(tbl_FACTS[[#This Row],[OrderID]],Πίνακας64[OrderID],Πίνακας64[ShipperID])</f>
        <v>2</v>
      </c>
      <c r="K473" t="str">
        <f>_xlfn.XLOOKUP(tbl_FACTS[[#This Row],[ShipperID]],Πίνακας8[ShipperID],Πίνακας8[ShipperName])</f>
        <v>United Package</v>
      </c>
      <c r="L473" t="str">
        <f>_xlfn.XLOOKUP(tbl_FACTS[[#This Row],[ProductID]],Πίνακας7[ProductID],Πίνακας7[ProductName])</f>
        <v>Cote de Blaye</v>
      </c>
      <c r="M473">
        <f>_xlfn.XLOOKUP(tbl_FACTS[[#This Row],[ProductID]],Πίνακας7[ProductID],Πίνακας7[CategoryID])</f>
        <v>1</v>
      </c>
      <c r="N473" t="str">
        <f>_xlfn.XLOOKUP(tbl_FACTS[[#This Row],[CategoryID]],Πίνακας4[CategoryID],Πίνακας4[CategoryName])</f>
        <v>Beverages</v>
      </c>
      <c r="O473">
        <f>_xlfn.XLOOKUP(tbl_FACTS[[#This Row],[ProductID]],Πίνακας7[ProductID],Πίνακας7[SupplierID])</f>
        <v>18</v>
      </c>
      <c r="P473" t="str">
        <f>_xlfn.XLOOKUP(tbl_FACTS[[#This Row],[SupplierID]],Πίνακας9[SupplierID],Πίνακας9[SupplierName])</f>
        <v>Aux joyeux ecclesiastiques</v>
      </c>
      <c r="Q473" s="21">
        <f>_xlfn.XLOOKUP(tbl_FACTS[[#This Row],[ProductID]],Πίνακας7[ProductID],Πίνακας7[Price])</f>
        <v>264</v>
      </c>
      <c r="R473" s="21">
        <f>tbl_FACTS[[#This Row],[Quantity]]*tbl_FACTS[[#This Row],[Price]]</f>
        <v>12936</v>
      </c>
      <c r="S473" s="19">
        <f>IF(COUNTIFS(tbl_FACTS[OrderID],tbl_FACTS[[#This Row],[OrderID]],tbl_FACTS[OrderDetailID],"&lt;"&amp;tbl_FACTS[[#This Row],[OrderDetailID]])=0,1,0)</f>
        <v>0</v>
      </c>
      <c r="T473" s="19">
        <f>YEAR(tbl_FACTS[[#This Row],[OrderDate]])</f>
        <v>1997</v>
      </c>
      <c r="U473" s="22">
        <f>DATE(YEAR(tbl_FACTS[[#This Row],[OrderDate]]),MONTH(tbl_FACTS[[#This Row],[OrderDate]]),1)</f>
        <v>35431</v>
      </c>
      <c r="V473" s="22" t="str">
        <f>IF(tbl_FACTS[[#This Row],[Quantity]]&lt;=10,"0–10",IF(tbl_FACTS[[#This Row],[Quantity]]&lt;=20,"11–20",IF(tbl_FACTS[[#This Row],[Quantity]]&lt;=30,"21–30",IF(tbl_FACTS[[#This Row],[Quantity]]&lt;=40,"31–40",IF(tbl_FACTS[[#This Row],[Quantity]]&lt;=50,"41–50","51+")))))</f>
        <v>41–50</v>
      </c>
    </row>
    <row r="474" spans="1:22">
      <c r="A474">
        <v>473</v>
      </c>
      <c r="B474">
        <v>10424</v>
      </c>
      <c r="C474">
        <v>68</v>
      </c>
      <c r="D474" s="19">
        <v>30</v>
      </c>
      <c r="E474" s="20">
        <f>_xlfn.XLOOKUP(tbl_FACTS[[#This Row],[OrderID]],Πίνακας64[OrderID],Πίνακας64[OrderDate])</f>
        <v>35453</v>
      </c>
      <c r="F474">
        <f>_xlfn.XLOOKUP(tbl_FACTS[[#This Row],[OrderID]],Πίνακας64[OrderID],Πίνακας64[CustomerID])</f>
        <v>51</v>
      </c>
      <c r="G474" t="str">
        <f>_xlfn.XLOOKUP(tbl_FACTS[[#This Row],[CustomerID]],Πίνακας1[CustomerID],Πίνακας1[CustomerName])</f>
        <v>Mere Paillarde</v>
      </c>
      <c r="H474" t="str">
        <f>_xlfn.XLOOKUP(tbl_FACTS[[#This Row],[CustomerID]],Πίνακας1[CustomerID],Πίνακας1[Country])</f>
        <v>Canada</v>
      </c>
      <c r="I474">
        <f>_xlfn.XLOOKUP(tbl_FACTS[[#This Row],[OrderID]],Πίνακας64[OrderID],Πίνακας64[EmployeeID])</f>
        <v>7</v>
      </c>
      <c r="J474">
        <f>_xlfn.XLOOKUP(tbl_FACTS[[#This Row],[OrderID]],Πίνακας64[OrderID],Πίνακας64[ShipperID])</f>
        <v>2</v>
      </c>
      <c r="K474" t="str">
        <f>_xlfn.XLOOKUP(tbl_FACTS[[#This Row],[ShipperID]],Πίνακας8[ShipperID],Πίνακας8[ShipperName])</f>
        <v>United Package</v>
      </c>
      <c r="L474" t="str">
        <f>_xlfn.XLOOKUP(tbl_FACTS[[#This Row],[ProductID]],Πίνακας7[ProductID],Πίνακας7[ProductName])</f>
        <v>Scottish Longbreads</v>
      </c>
      <c r="M474">
        <f>_xlfn.XLOOKUP(tbl_FACTS[[#This Row],[ProductID]],Πίνακας7[ProductID],Πίνακας7[CategoryID])</f>
        <v>3</v>
      </c>
      <c r="N474" t="str">
        <f>_xlfn.XLOOKUP(tbl_FACTS[[#This Row],[CategoryID]],Πίνακας4[CategoryID],Πίνακας4[CategoryName])</f>
        <v>Confections</v>
      </c>
      <c r="O474">
        <f>_xlfn.XLOOKUP(tbl_FACTS[[#This Row],[ProductID]],Πίνακας7[ProductID],Πίνακας7[SupplierID])</f>
        <v>8</v>
      </c>
      <c r="P474" t="str">
        <f>_xlfn.XLOOKUP(tbl_FACTS[[#This Row],[SupplierID]],Πίνακας9[SupplierID],Πίνακας9[SupplierName])</f>
        <v>Specialty Biscuits, Ltd.</v>
      </c>
      <c r="Q474" s="21">
        <f>_xlfn.XLOOKUP(tbl_FACTS[[#This Row],[ProductID]],Πίνακας7[ProductID],Πίνακας7[Price])</f>
        <v>13</v>
      </c>
      <c r="R474" s="21">
        <f>tbl_FACTS[[#This Row],[Quantity]]*tbl_FACTS[[#This Row],[Price]]</f>
        <v>390</v>
      </c>
      <c r="S474" s="19">
        <f>IF(COUNTIFS(tbl_FACTS[OrderID],tbl_FACTS[[#This Row],[OrderID]],tbl_FACTS[OrderDetailID],"&lt;"&amp;tbl_FACTS[[#This Row],[OrderDetailID]])=0,1,0)</f>
        <v>0</v>
      </c>
      <c r="T474" s="19">
        <f>YEAR(tbl_FACTS[[#This Row],[OrderDate]])</f>
        <v>1997</v>
      </c>
      <c r="U474" s="22">
        <f>DATE(YEAR(tbl_FACTS[[#This Row],[OrderDate]]),MONTH(tbl_FACTS[[#This Row],[OrderDate]]),1)</f>
        <v>35431</v>
      </c>
      <c r="V474" s="22" t="str">
        <f>IF(tbl_FACTS[[#This Row],[Quantity]]&lt;=10,"0–10",IF(tbl_FACTS[[#This Row],[Quantity]]&lt;=20,"11–20",IF(tbl_FACTS[[#This Row],[Quantity]]&lt;=30,"21–30",IF(tbl_FACTS[[#This Row],[Quantity]]&lt;=40,"31–40",IF(tbl_FACTS[[#This Row],[Quantity]]&lt;=50,"41–50","51+")))))</f>
        <v>21–30</v>
      </c>
    </row>
    <row r="475" spans="1:22">
      <c r="A475">
        <v>474</v>
      </c>
      <c r="B475">
        <v>10425</v>
      </c>
      <c r="C475">
        <v>55</v>
      </c>
      <c r="D475" s="19">
        <v>10</v>
      </c>
      <c r="E475" s="20">
        <f>_xlfn.XLOOKUP(tbl_FACTS[[#This Row],[OrderID]],Πίνακας64[OrderID],Πίνακας64[OrderDate])</f>
        <v>35454</v>
      </c>
      <c r="F475">
        <f>_xlfn.XLOOKUP(tbl_FACTS[[#This Row],[OrderID]],Πίνακας64[OrderID],Πίνακας64[CustomerID])</f>
        <v>41</v>
      </c>
      <c r="G475" t="str">
        <f>_xlfn.XLOOKUP(tbl_FACTS[[#This Row],[CustomerID]],Πίνακας1[CustomerID],Πίνακας1[CustomerName])</f>
        <v>La maison d''Asie</v>
      </c>
      <c r="H475" t="str">
        <f>_xlfn.XLOOKUP(tbl_FACTS[[#This Row],[CustomerID]],Πίνακας1[CustomerID],Πίνακας1[Country])</f>
        <v>France</v>
      </c>
      <c r="I475">
        <f>_xlfn.XLOOKUP(tbl_FACTS[[#This Row],[OrderID]],Πίνακας64[OrderID],Πίνακας64[EmployeeID])</f>
        <v>6</v>
      </c>
      <c r="J475">
        <f>_xlfn.XLOOKUP(tbl_FACTS[[#This Row],[OrderID]],Πίνακας64[OrderID],Πίνακας64[ShipperID])</f>
        <v>2</v>
      </c>
      <c r="K475" t="str">
        <f>_xlfn.XLOOKUP(tbl_FACTS[[#This Row],[ShipperID]],Πίνακας8[ShipperID],Πίνακας8[ShipperName])</f>
        <v>United Package</v>
      </c>
      <c r="L475" t="str">
        <f>_xlfn.XLOOKUP(tbl_FACTS[[#This Row],[ProductID]],Πίνακας7[ProductID],Πίνακας7[ProductName])</f>
        <v>Pate chinois</v>
      </c>
      <c r="M475">
        <f>_xlfn.XLOOKUP(tbl_FACTS[[#This Row],[ProductID]],Πίνακας7[ProductID],Πίνακας7[CategoryID])</f>
        <v>6</v>
      </c>
      <c r="N475" t="str">
        <f>_xlfn.XLOOKUP(tbl_FACTS[[#This Row],[CategoryID]],Πίνακας4[CategoryID],Πίνακας4[CategoryName])</f>
        <v>Meat/Poultry</v>
      </c>
      <c r="O475">
        <f>_xlfn.XLOOKUP(tbl_FACTS[[#This Row],[ProductID]],Πίνακας7[ProductID],Πίνακας7[SupplierID])</f>
        <v>25</v>
      </c>
      <c r="P475" t="str">
        <f>_xlfn.XLOOKUP(tbl_FACTS[[#This Row],[SupplierID]],Πίνακας9[SupplierID],Πίνακας9[SupplierName])</f>
        <v>Ma Maison</v>
      </c>
      <c r="Q475" s="21">
        <f>_xlfn.XLOOKUP(tbl_FACTS[[#This Row],[ProductID]],Πίνακας7[ProductID],Πίνακας7[Price])</f>
        <v>24</v>
      </c>
      <c r="R475" s="21">
        <f>tbl_FACTS[[#This Row],[Quantity]]*tbl_FACTS[[#This Row],[Price]]</f>
        <v>240</v>
      </c>
      <c r="S475" s="19">
        <f>IF(COUNTIFS(tbl_FACTS[OrderID],tbl_FACTS[[#This Row],[OrderID]],tbl_FACTS[OrderDetailID],"&lt;"&amp;tbl_FACTS[[#This Row],[OrderDetailID]])=0,1,0)</f>
        <v>1</v>
      </c>
      <c r="T475" s="19">
        <f>YEAR(tbl_FACTS[[#This Row],[OrderDate]])</f>
        <v>1997</v>
      </c>
      <c r="U475" s="22">
        <f>DATE(YEAR(tbl_FACTS[[#This Row],[OrderDate]]),MONTH(tbl_FACTS[[#This Row],[OrderDate]]),1)</f>
        <v>35431</v>
      </c>
      <c r="V475" s="22" t="str">
        <f>IF(tbl_FACTS[[#This Row],[Quantity]]&lt;=10,"0–10",IF(tbl_FACTS[[#This Row],[Quantity]]&lt;=20,"11–20",IF(tbl_FACTS[[#This Row],[Quantity]]&lt;=30,"21–30",IF(tbl_FACTS[[#This Row],[Quantity]]&lt;=40,"31–40",IF(tbl_FACTS[[#This Row],[Quantity]]&lt;=50,"41–50","51+")))))</f>
        <v>0–10</v>
      </c>
    </row>
    <row r="476" spans="1:22">
      <c r="A476">
        <v>475</v>
      </c>
      <c r="B476">
        <v>10425</v>
      </c>
      <c r="C476">
        <v>76</v>
      </c>
      <c r="D476" s="19">
        <v>20</v>
      </c>
      <c r="E476" s="20">
        <f>_xlfn.XLOOKUP(tbl_FACTS[[#This Row],[OrderID]],Πίνακας64[OrderID],Πίνακας64[OrderDate])</f>
        <v>35454</v>
      </c>
      <c r="F476">
        <f>_xlfn.XLOOKUP(tbl_FACTS[[#This Row],[OrderID]],Πίνακας64[OrderID],Πίνακας64[CustomerID])</f>
        <v>41</v>
      </c>
      <c r="G476" t="str">
        <f>_xlfn.XLOOKUP(tbl_FACTS[[#This Row],[CustomerID]],Πίνακας1[CustomerID],Πίνακας1[CustomerName])</f>
        <v>La maison d''Asie</v>
      </c>
      <c r="H476" t="str">
        <f>_xlfn.XLOOKUP(tbl_FACTS[[#This Row],[CustomerID]],Πίνακας1[CustomerID],Πίνακας1[Country])</f>
        <v>France</v>
      </c>
      <c r="I476">
        <f>_xlfn.XLOOKUP(tbl_FACTS[[#This Row],[OrderID]],Πίνακας64[OrderID],Πίνακας64[EmployeeID])</f>
        <v>6</v>
      </c>
      <c r="J476">
        <f>_xlfn.XLOOKUP(tbl_FACTS[[#This Row],[OrderID]],Πίνακας64[OrderID],Πίνακας64[ShipperID])</f>
        <v>2</v>
      </c>
      <c r="K476" t="str">
        <f>_xlfn.XLOOKUP(tbl_FACTS[[#This Row],[ShipperID]],Πίνακας8[ShipperID],Πίνακας8[ShipperName])</f>
        <v>United Package</v>
      </c>
      <c r="L476" t="str">
        <f>_xlfn.XLOOKUP(tbl_FACTS[[#This Row],[ProductID]],Πίνακας7[ProductID],Πίνακας7[ProductName])</f>
        <v>Lakkalikoori</v>
      </c>
      <c r="M476">
        <f>_xlfn.XLOOKUP(tbl_FACTS[[#This Row],[ProductID]],Πίνακας7[ProductID],Πίνακας7[CategoryID])</f>
        <v>1</v>
      </c>
      <c r="N476" t="str">
        <f>_xlfn.XLOOKUP(tbl_FACTS[[#This Row],[CategoryID]],Πίνακας4[CategoryID],Πίνακας4[CategoryName])</f>
        <v>Beverages</v>
      </c>
      <c r="O476">
        <f>_xlfn.XLOOKUP(tbl_FACTS[[#This Row],[ProductID]],Πίνακας7[ProductID],Πίνακας7[SupplierID])</f>
        <v>23</v>
      </c>
      <c r="P476" t="str">
        <f>_xlfn.XLOOKUP(tbl_FACTS[[#This Row],[SupplierID]],Πίνακας9[SupplierID],Πίνακας9[SupplierName])</f>
        <v>Karkki Oy</v>
      </c>
      <c r="Q476" s="21">
        <f>_xlfn.XLOOKUP(tbl_FACTS[[#This Row],[ProductID]],Πίνακας7[ProductID],Πίνακας7[Price])</f>
        <v>18</v>
      </c>
      <c r="R476" s="21">
        <f>tbl_FACTS[[#This Row],[Quantity]]*tbl_FACTS[[#This Row],[Price]]</f>
        <v>360</v>
      </c>
      <c r="S476" s="19">
        <f>IF(COUNTIFS(tbl_FACTS[OrderID],tbl_FACTS[[#This Row],[OrderID]],tbl_FACTS[OrderDetailID],"&lt;"&amp;tbl_FACTS[[#This Row],[OrderDetailID]])=0,1,0)</f>
        <v>0</v>
      </c>
      <c r="T476" s="19">
        <f>YEAR(tbl_FACTS[[#This Row],[OrderDate]])</f>
        <v>1997</v>
      </c>
      <c r="U476" s="22">
        <f>DATE(YEAR(tbl_FACTS[[#This Row],[OrderDate]]),MONTH(tbl_FACTS[[#This Row],[OrderDate]]),1)</f>
        <v>35431</v>
      </c>
      <c r="V476" s="22" t="str">
        <f>IF(tbl_FACTS[[#This Row],[Quantity]]&lt;=10,"0–10",IF(tbl_FACTS[[#This Row],[Quantity]]&lt;=20,"11–20",IF(tbl_FACTS[[#This Row],[Quantity]]&lt;=30,"21–30",IF(tbl_FACTS[[#This Row],[Quantity]]&lt;=40,"31–40",IF(tbl_FACTS[[#This Row],[Quantity]]&lt;=50,"41–50","51+")))))</f>
        <v>11–20</v>
      </c>
    </row>
    <row r="477" spans="1:22">
      <c r="A477">
        <v>476</v>
      </c>
      <c r="B477">
        <v>10426</v>
      </c>
      <c r="C477">
        <v>56</v>
      </c>
      <c r="D477" s="19">
        <v>5</v>
      </c>
      <c r="E477" s="20">
        <f>_xlfn.XLOOKUP(tbl_FACTS[[#This Row],[OrderID]],Πίνακας64[OrderID],Πίνακας64[OrderDate])</f>
        <v>35457</v>
      </c>
      <c r="F477">
        <f>_xlfn.XLOOKUP(tbl_FACTS[[#This Row],[OrderID]],Πίνακας64[OrderID],Πίνακας64[CustomerID])</f>
        <v>29</v>
      </c>
      <c r="G477" t="str">
        <f>_xlfn.XLOOKUP(tbl_FACTS[[#This Row],[CustomerID]],Πίνακας1[CustomerID],Πίνακας1[CustomerName])</f>
        <v>Galeria del gastronomo</v>
      </c>
      <c r="H477" t="str">
        <f>_xlfn.XLOOKUP(tbl_FACTS[[#This Row],[CustomerID]],Πίνακας1[CustomerID],Πίνακας1[Country])</f>
        <v>Spain</v>
      </c>
      <c r="I477">
        <f>_xlfn.XLOOKUP(tbl_FACTS[[#This Row],[OrderID]],Πίνακας64[OrderID],Πίνακας64[EmployeeID])</f>
        <v>4</v>
      </c>
      <c r="J477">
        <f>_xlfn.XLOOKUP(tbl_FACTS[[#This Row],[OrderID]],Πίνακας64[OrderID],Πίνακας64[ShipperID])</f>
        <v>1</v>
      </c>
      <c r="K477" t="str">
        <f>_xlfn.XLOOKUP(tbl_FACTS[[#This Row],[ShipperID]],Πίνακας8[ShipperID],Πίνακας8[ShipperName])</f>
        <v>Speedy Express</v>
      </c>
      <c r="L477" t="str">
        <f>_xlfn.XLOOKUP(tbl_FACTS[[#This Row],[ProductID]],Πίνακας7[ProductID],Πίνακας7[ProductName])</f>
        <v>Gnocchi di nonna Alice</v>
      </c>
      <c r="M477">
        <f>_xlfn.XLOOKUP(tbl_FACTS[[#This Row],[ProductID]],Πίνακας7[ProductID],Πίνακας7[CategoryID])</f>
        <v>5</v>
      </c>
      <c r="N477" t="str">
        <f>_xlfn.XLOOKUP(tbl_FACTS[[#This Row],[CategoryID]],Πίνακας4[CategoryID],Πίνακας4[CategoryName])</f>
        <v>Grains/Cereals</v>
      </c>
      <c r="O477">
        <f>_xlfn.XLOOKUP(tbl_FACTS[[#This Row],[ProductID]],Πίνακας7[ProductID],Πίνακας7[SupplierID])</f>
        <v>26</v>
      </c>
      <c r="P477" t="str">
        <f>_xlfn.XLOOKUP(tbl_FACTS[[#This Row],[SupplierID]],Πίνακας9[SupplierID],Πίνακας9[SupplierName])</f>
        <v>Pasta Buttini s.r.l.</v>
      </c>
      <c r="Q477" s="21">
        <f>_xlfn.XLOOKUP(tbl_FACTS[[#This Row],[ProductID]],Πίνακας7[ProductID],Πίνακας7[Price])</f>
        <v>38</v>
      </c>
      <c r="R477" s="21">
        <f>tbl_FACTS[[#This Row],[Quantity]]*tbl_FACTS[[#This Row],[Price]]</f>
        <v>190</v>
      </c>
      <c r="S477" s="19">
        <f>IF(COUNTIFS(tbl_FACTS[OrderID],tbl_FACTS[[#This Row],[OrderID]],tbl_FACTS[OrderDetailID],"&lt;"&amp;tbl_FACTS[[#This Row],[OrderDetailID]])=0,1,0)</f>
        <v>1</v>
      </c>
      <c r="T477" s="19">
        <f>YEAR(tbl_FACTS[[#This Row],[OrderDate]])</f>
        <v>1997</v>
      </c>
      <c r="U477" s="22">
        <f>DATE(YEAR(tbl_FACTS[[#This Row],[OrderDate]]),MONTH(tbl_FACTS[[#This Row],[OrderDate]]),1)</f>
        <v>35431</v>
      </c>
      <c r="V477" s="22" t="str">
        <f>IF(tbl_FACTS[[#This Row],[Quantity]]&lt;=10,"0–10",IF(tbl_FACTS[[#This Row],[Quantity]]&lt;=20,"11–20",IF(tbl_FACTS[[#This Row],[Quantity]]&lt;=30,"21–30",IF(tbl_FACTS[[#This Row],[Quantity]]&lt;=40,"31–40",IF(tbl_FACTS[[#This Row],[Quantity]]&lt;=50,"41–50","51+")))))</f>
        <v>0–10</v>
      </c>
    </row>
    <row r="478" spans="1:22">
      <c r="A478">
        <v>477</v>
      </c>
      <c r="B478">
        <v>10426</v>
      </c>
      <c r="C478">
        <v>64</v>
      </c>
      <c r="D478" s="19">
        <v>7</v>
      </c>
      <c r="E478" s="20">
        <f>_xlfn.XLOOKUP(tbl_FACTS[[#This Row],[OrderID]],Πίνακας64[OrderID],Πίνακας64[OrderDate])</f>
        <v>35457</v>
      </c>
      <c r="F478">
        <f>_xlfn.XLOOKUP(tbl_FACTS[[#This Row],[OrderID]],Πίνακας64[OrderID],Πίνακας64[CustomerID])</f>
        <v>29</v>
      </c>
      <c r="G478" t="str">
        <f>_xlfn.XLOOKUP(tbl_FACTS[[#This Row],[CustomerID]],Πίνακας1[CustomerID],Πίνακας1[CustomerName])</f>
        <v>Galeria del gastronomo</v>
      </c>
      <c r="H478" t="str">
        <f>_xlfn.XLOOKUP(tbl_FACTS[[#This Row],[CustomerID]],Πίνακας1[CustomerID],Πίνακας1[Country])</f>
        <v>Spain</v>
      </c>
      <c r="I478">
        <f>_xlfn.XLOOKUP(tbl_FACTS[[#This Row],[OrderID]],Πίνακας64[OrderID],Πίνακας64[EmployeeID])</f>
        <v>4</v>
      </c>
      <c r="J478">
        <f>_xlfn.XLOOKUP(tbl_FACTS[[#This Row],[OrderID]],Πίνακας64[OrderID],Πίνακας64[ShipperID])</f>
        <v>1</v>
      </c>
      <c r="K478" t="str">
        <f>_xlfn.XLOOKUP(tbl_FACTS[[#This Row],[ShipperID]],Πίνακας8[ShipperID],Πίνακας8[ShipperName])</f>
        <v>Speedy Express</v>
      </c>
      <c r="L478" t="str">
        <f>_xlfn.XLOOKUP(tbl_FACTS[[#This Row],[ProductID]],Πίνακας7[ProductID],Πίνακας7[ProductName])</f>
        <v>Wimmers gute Semmelknodel</v>
      </c>
      <c r="M478">
        <f>_xlfn.XLOOKUP(tbl_FACTS[[#This Row],[ProductID]],Πίνακας7[ProductID],Πίνακας7[CategoryID])</f>
        <v>5</v>
      </c>
      <c r="N478" t="str">
        <f>_xlfn.XLOOKUP(tbl_FACTS[[#This Row],[CategoryID]],Πίνακας4[CategoryID],Πίνακας4[CategoryName])</f>
        <v>Grains/Cereals</v>
      </c>
      <c r="O478">
        <f>_xlfn.XLOOKUP(tbl_FACTS[[#This Row],[ProductID]],Πίνακας7[ProductID],Πίνακας7[SupplierID])</f>
        <v>12</v>
      </c>
      <c r="P478" t="str">
        <f>_xlfn.XLOOKUP(tbl_FACTS[[#This Row],[SupplierID]],Πίνακας9[SupplierID],Πίνακας9[SupplierName])</f>
        <v>Plutzer Lebensmittelgro├ƒmarkte AG</v>
      </c>
      <c r="Q478" s="21">
        <f>_xlfn.XLOOKUP(tbl_FACTS[[#This Row],[ProductID]],Πίνακας7[ProductID],Πίνακας7[Price])</f>
        <v>33</v>
      </c>
      <c r="R478" s="21">
        <f>tbl_FACTS[[#This Row],[Quantity]]*tbl_FACTS[[#This Row],[Price]]</f>
        <v>231</v>
      </c>
      <c r="S478" s="19">
        <f>IF(COUNTIFS(tbl_FACTS[OrderID],tbl_FACTS[[#This Row],[OrderID]],tbl_FACTS[OrderDetailID],"&lt;"&amp;tbl_FACTS[[#This Row],[OrderDetailID]])=0,1,0)</f>
        <v>0</v>
      </c>
      <c r="T478" s="19">
        <f>YEAR(tbl_FACTS[[#This Row],[OrderDate]])</f>
        <v>1997</v>
      </c>
      <c r="U478" s="22">
        <f>DATE(YEAR(tbl_FACTS[[#This Row],[OrderDate]]),MONTH(tbl_FACTS[[#This Row],[OrderDate]]),1)</f>
        <v>35431</v>
      </c>
      <c r="V478" s="22" t="str">
        <f>IF(tbl_FACTS[[#This Row],[Quantity]]&lt;=10,"0–10",IF(tbl_FACTS[[#This Row],[Quantity]]&lt;=20,"11–20",IF(tbl_FACTS[[#This Row],[Quantity]]&lt;=30,"21–30",IF(tbl_FACTS[[#This Row],[Quantity]]&lt;=40,"31–40",IF(tbl_FACTS[[#This Row],[Quantity]]&lt;=50,"41–50","51+")))))</f>
        <v>0–10</v>
      </c>
    </row>
    <row r="479" spans="1:22">
      <c r="A479">
        <v>478</v>
      </c>
      <c r="B479">
        <v>10427</v>
      </c>
      <c r="C479">
        <v>14</v>
      </c>
      <c r="D479" s="19">
        <v>35</v>
      </c>
      <c r="E479" s="20">
        <f>_xlfn.XLOOKUP(tbl_FACTS[[#This Row],[OrderID]],Πίνακας64[OrderID],Πίνακας64[OrderDate])</f>
        <v>35457</v>
      </c>
      <c r="F479">
        <f>_xlfn.XLOOKUP(tbl_FACTS[[#This Row],[OrderID]],Πίνακας64[OrderID],Πίνακας64[CustomerID])</f>
        <v>59</v>
      </c>
      <c r="G479" t="str">
        <f>_xlfn.XLOOKUP(tbl_FACTS[[#This Row],[CustomerID]],Πίνακας1[CustomerID],Πίνακας1[CustomerName])</f>
        <v>Piccolo und mehr</v>
      </c>
      <c r="H479" t="str">
        <f>_xlfn.XLOOKUP(tbl_FACTS[[#This Row],[CustomerID]],Πίνακας1[CustomerID],Πίνακας1[Country])</f>
        <v>Austria</v>
      </c>
      <c r="I479">
        <f>_xlfn.XLOOKUP(tbl_FACTS[[#This Row],[OrderID]],Πίνακας64[OrderID],Πίνακας64[EmployeeID])</f>
        <v>4</v>
      </c>
      <c r="J479">
        <f>_xlfn.XLOOKUP(tbl_FACTS[[#This Row],[OrderID]],Πίνακας64[OrderID],Πίνακας64[ShipperID])</f>
        <v>2</v>
      </c>
      <c r="K479" t="str">
        <f>_xlfn.XLOOKUP(tbl_FACTS[[#This Row],[ShipperID]],Πίνακας8[ShipperID],Πίνακας8[ShipperName])</f>
        <v>United Package</v>
      </c>
      <c r="L479" t="str">
        <f>_xlfn.XLOOKUP(tbl_FACTS[[#This Row],[ProductID]],Πίνακας7[ProductID],Πίνακας7[ProductName])</f>
        <v>Tofu</v>
      </c>
      <c r="M479">
        <f>_xlfn.XLOOKUP(tbl_FACTS[[#This Row],[ProductID]],Πίνακας7[ProductID],Πίνακας7[CategoryID])</f>
        <v>7</v>
      </c>
      <c r="N479" t="str">
        <f>_xlfn.XLOOKUP(tbl_FACTS[[#This Row],[CategoryID]],Πίνακας4[CategoryID],Πίνακας4[CategoryName])</f>
        <v>Produce</v>
      </c>
      <c r="O479">
        <f>_xlfn.XLOOKUP(tbl_FACTS[[#This Row],[ProductID]],Πίνακας7[ProductID],Πίνακας7[SupplierID])</f>
        <v>6</v>
      </c>
      <c r="P479" t="str">
        <f>_xlfn.XLOOKUP(tbl_FACTS[[#This Row],[SupplierID]],Πίνακας9[SupplierID],Πίνακας9[SupplierName])</f>
        <v>Mayumi's</v>
      </c>
      <c r="Q479" s="21">
        <f>_xlfn.XLOOKUP(tbl_FACTS[[#This Row],[ProductID]],Πίνακας7[ProductID],Πίνακας7[Price])</f>
        <v>23</v>
      </c>
      <c r="R479" s="21">
        <f>tbl_FACTS[[#This Row],[Quantity]]*tbl_FACTS[[#This Row],[Price]]</f>
        <v>805</v>
      </c>
      <c r="S479" s="19">
        <f>IF(COUNTIFS(tbl_FACTS[OrderID],tbl_FACTS[[#This Row],[OrderID]],tbl_FACTS[OrderDetailID],"&lt;"&amp;tbl_FACTS[[#This Row],[OrderDetailID]])=0,1,0)</f>
        <v>1</v>
      </c>
      <c r="T479" s="19">
        <f>YEAR(tbl_FACTS[[#This Row],[OrderDate]])</f>
        <v>1997</v>
      </c>
      <c r="U479" s="22">
        <f>DATE(YEAR(tbl_FACTS[[#This Row],[OrderDate]]),MONTH(tbl_FACTS[[#This Row],[OrderDate]]),1)</f>
        <v>35431</v>
      </c>
      <c r="V479" s="22" t="str">
        <f>IF(tbl_FACTS[[#This Row],[Quantity]]&lt;=10,"0–10",IF(tbl_FACTS[[#This Row],[Quantity]]&lt;=20,"11–20",IF(tbl_FACTS[[#This Row],[Quantity]]&lt;=30,"21–30",IF(tbl_FACTS[[#This Row],[Quantity]]&lt;=40,"31–40",IF(tbl_FACTS[[#This Row],[Quantity]]&lt;=50,"41–50","51+")))))</f>
        <v>31–40</v>
      </c>
    </row>
    <row r="480" spans="1:22">
      <c r="A480">
        <v>479</v>
      </c>
      <c r="B480">
        <v>10428</v>
      </c>
      <c r="C480">
        <v>46</v>
      </c>
      <c r="D480" s="19">
        <v>20</v>
      </c>
      <c r="E480" s="20">
        <f>_xlfn.XLOOKUP(tbl_FACTS[[#This Row],[OrderID]],Πίνακας64[OrderID],Πίνακας64[OrderDate])</f>
        <v>35458</v>
      </c>
      <c r="F480">
        <f>_xlfn.XLOOKUP(tbl_FACTS[[#This Row],[OrderID]],Πίνακας64[OrderID],Πίνακας64[CustomerID])</f>
        <v>66</v>
      </c>
      <c r="G480" t="str">
        <f>_xlfn.XLOOKUP(tbl_FACTS[[#This Row],[CustomerID]],Πίνακας1[CustomerID],Πίνακας1[CustomerName])</f>
        <v>Reggiani Caseifici</v>
      </c>
      <c r="H480" t="str">
        <f>_xlfn.XLOOKUP(tbl_FACTS[[#This Row],[CustomerID]],Πίνακας1[CustomerID],Πίνακας1[Country])</f>
        <v>Italy</v>
      </c>
      <c r="I480">
        <f>_xlfn.XLOOKUP(tbl_FACTS[[#This Row],[OrderID]],Πίνακας64[OrderID],Πίνακας64[EmployeeID])</f>
        <v>7</v>
      </c>
      <c r="J480">
        <f>_xlfn.XLOOKUP(tbl_FACTS[[#This Row],[OrderID]],Πίνακας64[OrderID],Πίνακας64[ShipperID])</f>
        <v>1</v>
      </c>
      <c r="K480" t="str">
        <f>_xlfn.XLOOKUP(tbl_FACTS[[#This Row],[ShipperID]],Πίνακας8[ShipperID],Πίνακας8[ShipperName])</f>
        <v>Speedy Express</v>
      </c>
      <c r="L480" t="str">
        <f>_xlfn.XLOOKUP(tbl_FACTS[[#This Row],[ProductID]],Πίνακας7[ProductID],Πίνακας7[ProductName])</f>
        <v>Spegesild</v>
      </c>
      <c r="M480">
        <f>_xlfn.XLOOKUP(tbl_FACTS[[#This Row],[ProductID]],Πίνακας7[ProductID],Πίνακας7[CategoryID])</f>
        <v>8</v>
      </c>
      <c r="N480" t="str">
        <f>_xlfn.XLOOKUP(tbl_FACTS[[#This Row],[CategoryID]],Πίνακας4[CategoryID],Πίνακας4[CategoryName])</f>
        <v>Seafood</v>
      </c>
      <c r="O480">
        <f>_xlfn.XLOOKUP(tbl_FACTS[[#This Row],[ProductID]],Πίνακας7[ProductID],Πίνακας7[SupplierID])</f>
        <v>21</v>
      </c>
      <c r="P480" t="str">
        <f>_xlfn.XLOOKUP(tbl_FACTS[[#This Row],[SupplierID]],Πίνακας9[SupplierID],Πίνακας9[SupplierName])</f>
        <v>Lyngbysild</v>
      </c>
      <c r="Q480" s="21">
        <f>_xlfn.XLOOKUP(tbl_FACTS[[#This Row],[ProductID]],Πίνακας7[ProductID],Πίνακας7[Price])</f>
        <v>12</v>
      </c>
      <c r="R480" s="21">
        <f>tbl_FACTS[[#This Row],[Quantity]]*tbl_FACTS[[#This Row],[Price]]</f>
        <v>240</v>
      </c>
      <c r="S480" s="19">
        <f>IF(COUNTIFS(tbl_FACTS[OrderID],tbl_FACTS[[#This Row],[OrderID]],tbl_FACTS[OrderDetailID],"&lt;"&amp;tbl_FACTS[[#This Row],[OrderDetailID]])=0,1,0)</f>
        <v>1</v>
      </c>
      <c r="T480" s="19">
        <f>YEAR(tbl_FACTS[[#This Row],[OrderDate]])</f>
        <v>1997</v>
      </c>
      <c r="U480" s="22">
        <f>DATE(YEAR(tbl_FACTS[[#This Row],[OrderDate]]),MONTH(tbl_FACTS[[#This Row],[OrderDate]]),1)</f>
        <v>35431</v>
      </c>
      <c r="V480" s="22" t="str">
        <f>IF(tbl_FACTS[[#This Row],[Quantity]]&lt;=10,"0–10",IF(tbl_FACTS[[#This Row],[Quantity]]&lt;=20,"11–20",IF(tbl_FACTS[[#This Row],[Quantity]]&lt;=30,"21–30",IF(tbl_FACTS[[#This Row],[Quantity]]&lt;=40,"31–40",IF(tbl_FACTS[[#This Row],[Quantity]]&lt;=50,"41–50","51+")))))</f>
        <v>11–20</v>
      </c>
    </row>
    <row r="481" spans="1:22">
      <c r="A481">
        <v>480</v>
      </c>
      <c r="B481">
        <v>10429</v>
      </c>
      <c r="C481">
        <v>50</v>
      </c>
      <c r="D481" s="19">
        <v>40</v>
      </c>
      <c r="E481" s="20">
        <f>_xlfn.XLOOKUP(tbl_FACTS[[#This Row],[OrderID]],Πίνακας64[OrderID],Πίνακας64[OrderDate])</f>
        <v>35459</v>
      </c>
      <c r="F481">
        <f>_xlfn.XLOOKUP(tbl_FACTS[[#This Row],[OrderID]],Πίνακας64[OrderID],Πίνακας64[CustomerID])</f>
        <v>37</v>
      </c>
      <c r="G481" t="str">
        <f>_xlfn.XLOOKUP(tbl_FACTS[[#This Row],[CustomerID]],Πίνακας1[CustomerID],Πίνακας1[CustomerName])</f>
        <v>Hungry Owl All-Night Grocers</v>
      </c>
      <c r="H481" t="str">
        <f>_xlfn.XLOOKUP(tbl_FACTS[[#This Row],[CustomerID]],Πίνακας1[CustomerID],Πίνακας1[Country])</f>
        <v>Ireland</v>
      </c>
      <c r="I481">
        <f>_xlfn.XLOOKUP(tbl_FACTS[[#This Row],[OrderID]],Πίνακας64[OrderID],Πίνακας64[EmployeeID])</f>
        <v>3</v>
      </c>
      <c r="J481">
        <f>_xlfn.XLOOKUP(tbl_FACTS[[#This Row],[OrderID]],Πίνακας64[OrderID],Πίνακας64[ShipperID])</f>
        <v>2</v>
      </c>
      <c r="K481" t="str">
        <f>_xlfn.XLOOKUP(tbl_FACTS[[#This Row],[ShipperID]],Πίνακας8[ShipperID],Πίνακας8[ShipperName])</f>
        <v>United Package</v>
      </c>
      <c r="L481" t="str">
        <f>_xlfn.XLOOKUP(tbl_FACTS[[#This Row],[ProductID]],Πίνακας7[ProductID],Πίνακας7[ProductName])</f>
        <v>Valkoinen suklaa</v>
      </c>
      <c r="M481">
        <f>_xlfn.XLOOKUP(tbl_FACTS[[#This Row],[ProductID]],Πίνακας7[ProductID],Πίνακας7[CategoryID])</f>
        <v>3</v>
      </c>
      <c r="N481" t="str">
        <f>_xlfn.XLOOKUP(tbl_FACTS[[#This Row],[CategoryID]],Πίνακας4[CategoryID],Πίνακας4[CategoryName])</f>
        <v>Confections</v>
      </c>
      <c r="O481">
        <f>_xlfn.XLOOKUP(tbl_FACTS[[#This Row],[ProductID]],Πίνακας7[ProductID],Πίνακας7[SupplierID])</f>
        <v>23</v>
      </c>
      <c r="P481" t="str">
        <f>_xlfn.XLOOKUP(tbl_FACTS[[#This Row],[SupplierID]],Πίνακας9[SupplierID],Πίνακας9[SupplierName])</f>
        <v>Karkki Oy</v>
      </c>
      <c r="Q481" s="21">
        <f>_xlfn.XLOOKUP(tbl_FACTS[[#This Row],[ProductID]],Πίνακας7[ProductID],Πίνακας7[Price])</f>
        <v>16</v>
      </c>
      <c r="R481" s="21">
        <f>tbl_FACTS[[#This Row],[Quantity]]*tbl_FACTS[[#This Row],[Price]]</f>
        <v>640</v>
      </c>
      <c r="S481" s="19">
        <f>IF(COUNTIFS(tbl_FACTS[OrderID],tbl_FACTS[[#This Row],[OrderID]],tbl_FACTS[OrderDetailID],"&lt;"&amp;tbl_FACTS[[#This Row],[OrderDetailID]])=0,1,0)</f>
        <v>1</v>
      </c>
      <c r="T481" s="19">
        <f>YEAR(tbl_FACTS[[#This Row],[OrderDate]])</f>
        <v>1997</v>
      </c>
      <c r="U481" s="22">
        <f>DATE(YEAR(tbl_FACTS[[#This Row],[OrderDate]]),MONTH(tbl_FACTS[[#This Row],[OrderDate]]),1)</f>
        <v>35431</v>
      </c>
      <c r="V481" s="22" t="str">
        <f>IF(tbl_FACTS[[#This Row],[Quantity]]&lt;=10,"0–10",IF(tbl_FACTS[[#This Row],[Quantity]]&lt;=20,"11–20",IF(tbl_FACTS[[#This Row],[Quantity]]&lt;=30,"21–30",IF(tbl_FACTS[[#This Row],[Quantity]]&lt;=40,"31–40",IF(tbl_FACTS[[#This Row],[Quantity]]&lt;=50,"41–50","51+")))))</f>
        <v>31–40</v>
      </c>
    </row>
    <row r="482" spans="1:22">
      <c r="A482">
        <v>481</v>
      </c>
      <c r="B482">
        <v>10429</v>
      </c>
      <c r="C482">
        <v>63</v>
      </c>
      <c r="D482" s="19">
        <v>35</v>
      </c>
      <c r="E482" s="20">
        <f>_xlfn.XLOOKUP(tbl_FACTS[[#This Row],[OrderID]],Πίνακας64[OrderID],Πίνακας64[OrderDate])</f>
        <v>35459</v>
      </c>
      <c r="F482">
        <f>_xlfn.XLOOKUP(tbl_FACTS[[#This Row],[OrderID]],Πίνακας64[OrderID],Πίνακας64[CustomerID])</f>
        <v>37</v>
      </c>
      <c r="G482" t="str">
        <f>_xlfn.XLOOKUP(tbl_FACTS[[#This Row],[CustomerID]],Πίνακας1[CustomerID],Πίνακας1[CustomerName])</f>
        <v>Hungry Owl All-Night Grocers</v>
      </c>
      <c r="H482" t="str">
        <f>_xlfn.XLOOKUP(tbl_FACTS[[#This Row],[CustomerID]],Πίνακας1[CustomerID],Πίνακας1[Country])</f>
        <v>Ireland</v>
      </c>
      <c r="I482">
        <f>_xlfn.XLOOKUP(tbl_FACTS[[#This Row],[OrderID]],Πίνακας64[OrderID],Πίνακας64[EmployeeID])</f>
        <v>3</v>
      </c>
      <c r="J482">
        <f>_xlfn.XLOOKUP(tbl_FACTS[[#This Row],[OrderID]],Πίνακας64[OrderID],Πίνακας64[ShipperID])</f>
        <v>2</v>
      </c>
      <c r="K482" t="str">
        <f>_xlfn.XLOOKUP(tbl_FACTS[[#This Row],[ShipperID]],Πίνακας8[ShipperID],Πίνακας8[ShipperName])</f>
        <v>United Package</v>
      </c>
      <c r="L482" t="str">
        <f>_xlfn.XLOOKUP(tbl_FACTS[[#This Row],[ProductID]],Πίνακας7[ProductID],Πίνακας7[ProductName])</f>
        <v>Vegie-spread</v>
      </c>
      <c r="M482">
        <f>_xlfn.XLOOKUP(tbl_FACTS[[#This Row],[ProductID]],Πίνακας7[ProductID],Πίνακας7[CategoryID])</f>
        <v>2</v>
      </c>
      <c r="N482" t="str">
        <f>_xlfn.XLOOKUP(tbl_FACTS[[#This Row],[CategoryID]],Πίνακας4[CategoryID],Πίνακας4[CategoryName])</f>
        <v>Condiments</v>
      </c>
      <c r="O482">
        <f>_xlfn.XLOOKUP(tbl_FACTS[[#This Row],[ProductID]],Πίνακας7[ProductID],Πίνακας7[SupplierID])</f>
        <v>7</v>
      </c>
      <c r="P482" t="str">
        <f>_xlfn.XLOOKUP(tbl_FACTS[[#This Row],[SupplierID]],Πίνακας9[SupplierID],Πίνακας9[SupplierName])</f>
        <v>Pavlova, Ltd.</v>
      </c>
      <c r="Q482" s="21">
        <f>_xlfn.XLOOKUP(tbl_FACTS[[#This Row],[ProductID]],Πίνακας7[ProductID],Πίνακας7[Price])</f>
        <v>44</v>
      </c>
      <c r="R482" s="21">
        <f>tbl_FACTS[[#This Row],[Quantity]]*tbl_FACTS[[#This Row],[Price]]</f>
        <v>1540</v>
      </c>
      <c r="S482" s="19">
        <f>IF(COUNTIFS(tbl_FACTS[OrderID],tbl_FACTS[[#This Row],[OrderID]],tbl_FACTS[OrderDetailID],"&lt;"&amp;tbl_FACTS[[#This Row],[OrderDetailID]])=0,1,0)</f>
        <v>0</v>
      </c>
      <c r="T482" s="19">
        <f>YEAR(tbl_FACTS[[#This Row],[OrderDate]])</f>
        <v>1997</v>
      </c>
      <c r="U482" s="22">
        <f>DATE(YEAR(tbl_FACTS[[#This Row],[OrderDate]]),MONTH(tbl_FACTS[[#This Row],[OrderDate]]),1)</f>
        <v>35431</v>
      </c>
      <c r="V482" s="22" t="str">
        <f>IF(tbl_FACTS[[#This Row],[Quantity]]&lt;=10,"0–10",IF(tbl_FACTS[[#This Row],[Quantity]]&lt;=20,"11–20",IF(tbl_FACTS[[#This Row],[Quantity]]&lt;=30,"21–30",IF(tbl_FACTS[[#This Row],[Quantity]]&lt;=40,"31–40",IF(tbl_FACTS[[#This Row],[Quantity]]&lt;=50,"41–50","51+")))))</f>
        <v>31–40</v>
      </c>
    </row>
    <row r="483" spans="1:22">
      <c r="A483">
        <v>482</v>
      </c>
      <c r="B483">
        <v>10430</v>
      </c>
      <c r="C483">
        <v>17</v>
      </c>
      <c r="D483" s="19">
        <v>45</v>
      </c>
      <c r="E483" s="20">
        <f>_xlfn.XLOOKUP(tbl_FACTS[[#This Row],[OrderID]],Πίνακας64[OrderID],Πίνακας64[OrderDate])</f>
        <v>35460</v>
      </c>
      <c r="F483">
        <f>_xlfn.XLOOKUP(tbl_FACTS[[#This Row],[OrderID]],Πίνακας64[OrderID],Πίνακας64[CustomerID])</f>
        <v>20</v>
      </c>
      <c r="G483" t="str">
        <f>_xlfn.XLOOKUP(tbl_FACTS[[#This Row],[CustomerID]],Πίνακας1[CustomerID],Πίνακας1[CustomerName])</f>
        <v>Ernst Handel</v>
      </c>
      <c r="H483" t="str">
        <f>_xlfn.XLOOKUP(tbl_FACTS[[#This Row],[CustomerID]],Πίνακας1[CustomerID],Πίνακας1[Country])</f>
        <v>Austria</v>
      </c>
      <c r="I483">
        <f>_xlfn.XLOOKUP(tbl_FACTS[[#This Row],[OrderID]],Πίνακας64[OrderID],Πίνακας64[EmployeeID])</f>
        <v>4</v>
      </c>
      <c r="J483">
        <f>_xlfn.XLOOKUP(tbl_FACTS[[#This Row],[OrderID]],Πίνακας64[OrderID],Πίνακας64[ShipperID])</f>
        <v>1</v>
      </c>
      <c r="K483" t="str">
        <f>_xlfn.XLOOKUP(tbl_FACTS[[#This Row],[ShipperID]],Πίνακας8[ShipperID],Πίνακας8[ShipperName])</f>
        <v>Speedy Express</v>
      </c>
      <c r="L483" t="str">
        <f>_xlfn.XLOOKUP(tbl_FACTS[[#This Row],[ProductID]],Πίνακας7[ProductID],Πίνακας7[ProductName])</f>
        <v>Alice Mutton</v>
      </c>
      <c r="M483">
        <f>_xlfn.XLOOKUP(tbl_FACTS[[#This Row],[ProductID]],Πίνακας7[ProductID],Πίνακας7[CategoryID])</f>
        <v>6</v>
      </c>
      <c r="N483" t="str">
        <f>_xlfn.XLOOKUP(tbl_FACTS[[#This Row],[CategoryID]],Πίνακας4[CategoryID],Πίνακας4[CategoryName])</f>
        <v>Meat/Poultry</v>
      </c>
      <c r="O483">
        <f>_xlfn.XLOOKUP(tbl_FACTS[[#This Row],[ProductID]],Πίνακας7[ProductID],Πίνακας7[SupplierID])</f>
        <v>7</v>
      </c>
      <c r="P483" t="str">
        <f>_xlfn.XLOOKUP(tbl_FACTS[[#This Row],[SupplierID]],Πίνακας9[SupplierID],Πίνακας9[SupplierName])</f>
        <v>Pavlova, Ltd.</v>
      </c>
      <c r="Q483" s="21">
        <f>_xlfn.XLOOKUP(tbl_FACTS[[#This Row],[ProductID]],Πίνακας7[ProductID],Πίνακας7[Price])</f>
        <v>39</v>
      </c>
      <c r="R483" s="21">
        <f>tbl_FACTS[[#This Row],[Quantity]]*tbl_FACTS[[#This Row],[Price]]</f>
        <v>1755</v>
      </c>
      <c r="S483" s="19">
        <f>IF(COUNTIFS(tbl_FACTS[OrderID],tbl_FACTS[[#This Row],[OrderID]],tbl_FACTS[OrderDetailID],"&lt;"&amp;tbl_FACTS[[#This Row],[OrderDetailID]])=0,1,0)</f>
        <v>1</v>
      </c>
      <c r="T483" s="19">
        <f>YEAR(tbl_FACTS[[#This Row],[OrderDate]])</f>
        <v>1997</v>
      </c>
      <c r="U483" s="22">
        <f>DATE(YEAR(tbl_FACTS[[#This Row],[OrderDate]]),MONTH(tbl_FACTS[[#This Row],[OrderDate]]),1)</f>
        <v>35431</v>
      </c>
      <c r="V483" s="22" t="str">
        <f>IF(tbl_FACTS[[#This Row],[Quantity]]&lt;=10,"0–10",IF(tbl_FACTS[[#This Row],[Quantity]]&lt;=20,"11–20",IF(tbl_FACTS[[#This Row],[Quantity]]&lt;=30,"21–30",IF(tbl_FACTS[[#This Row],[Quantity]]&lt;=40,"31–40",IF(tbl_FACTS[[#This Row],[Quantity]]&lt;=50,"41–50","51+")))))</f>
        <v>41–50</v>
      </c>
    </row>
    <row r="484" spans="1:22">
      <c r="A484">
        <v>483</v>
      </c>
      <c r="B484">
        <v>10430</v>
      </c>
      <c r="C484">
        <v>21</v>
      </c>
      <c r="D484" s="19">
        <v>50</v>
      </c>
      <c r="E484" s="20">
        <f>_xlfn.XLOOKUP(tbl_FACTS[[#This Row],[OrderID]],Πίνακας64[OrderID],Πίνακας64[OrderDate])</f>
        <v>35460</v>
      </c>
      <c r="F484">
        <f>_xlfn.XLOOKUP(tbl_FACTS[[#This Row],[OrderID]],Πίνακας64[OrderID],Πίνακας64[CustomerID])</f>
        <v>20</v>
      </c>
      <c r="G484" t="str">
        <f>_xlfn.XLOOKUP(tbl_FACTS[[#This Row],[CustomerID]],Πίνακας1[CustomerID],Πίνακας1[CustomerName])</f>
        <v>Ernst Handel</v>
      </c>
      <c r="H484" t="str">
        <f>_xlfn.XLOOKUP(tbl_FACTS[[#This Row],[CustomerID]],Πίνακας1[CustomerID],Πίνακας1[Country])</f>
        <v>Austria</v>
      </c>
      <c r="I484">
        <f>_xlfn.XLOOKUP(tbl_FACTS[[#This Row],[OrderID]],Πίνακας64[OrderID],Πίνακας64[EmployeeID])</f>
        <v>4</v>
      </c>
      <c r="J484">
        <f>_xlfn.XLOOKUP(tbl_FACTS[[#This Row],[OrderID]],Πίνακας64[OrderID],Πίνακας64[ShipperID])</f>
        <v>1</v>
      </c>
      <c r="K484" t="str">
        <f>_xlfn.XLOOKUP(tbl_FACTS[[#This Row],[ShipperID]],Πίνακας8[ShipperID],Πίνακας8[ShipperName])</f>
        <v>Speedy Express</v>
      </c>
      <c r="L484" t="str">
        <f>_xlfn.XLOOKUP(tbl_FACTS[[#This Row],[ProductID]],Πίνακας7[ProductID],Πίνακας7[ProductName])</f>
        <v>Sir Rodney's Scones</v>
      </c>
      <c r="M484">
        <f>_xlfn.XLOOKUP(tbl_FACTS[[#This Row],[ProductID]],Πίνακας7[ProductID],Πίνακας7[CategoryID])</f>
        <v>3</v>
      </c>
      <c r="N484" t="str">
        <f>_xlfn.XLOOKUP(tbl_FACTS[[#This Row],[CategoryID]],Πίνακας4[CategoryID],Πίνακας4[CategoryName])</f>
        <v>Confections</v>
      </c>
      <c r="O484">
        <f>_xlfn.XLOOKUP(tbl_FACTS[[#This Row],[ProductID]],Πίνακας7[ProductID],Πίνακας7[SupplierID])</f>
        <v>8</v>
      </c>
      <c r="P484" t="str">
        <f>_xlfn.XLOOKUP(tbl_FACTS[[#This Row],[SupplierID]],Πίνακας9[SupplierID],Πίνακας9[SupplierName])</f>
        <v>Specialty Biscuits, Ltd.</v>
      </c>
      <c r="Q484" s="21">
        <f>_xlfn.XLOOKUP(tbl_FACTS[[#This Row],[ProductID]],Πίνακας7[ProductID],Πίνακας7[Price])</f>
        <v>10</v>
      </c>
      <c r="R484" s="21">
        <f>tbl_FACTS[[#This Row],[Quantity]]*tbl_FACTS[[#This Row],[Price]]</f>
        <v>500</v>
      </c>
      <c r="S484" s="19">
        <f>IF(COUNTIFS(tbl_FACTS[OrderID],tbl_FACTS[[#This Row],[OrderID]],tbl_FACTS[OrderDetailID],"&lt;"&amp;tbl_FACTS[[#This Row],[OrderDetailID]])=0,1,0)</f>
        <v>0</v>
      </c>
      <c r="T484" s="19">
        <f>YEAR(tbl_FACTS[[#This Row],[OrderDate]])</f>
        <v>1997</v>
      </c>
      <c r="U484" s="22">
        <f>DATE(YEAR(tbl_FACTS[[#This Row],[OrderDate]]),MONTH(tbl_FACTS[[#This Row],[OrderDate]]),1)</f>
        <v>35431</v>
      </c>
      <c r="V484" s="22" t="str">
        <f>IF(tbl_FACTS[[#This Row],[Quantity]]&lt;=10,"0–10",IF(tbl_FACTS[[#This Row],[Quantity]]&lt;=20,"11–20",IF(tbl_FACTS[[#This Row],[Quantity]]&lt;=30,"21–30",IF(tbl_FACTS[[#This Row],[Quantity]]&lt;=40,"31–40",IF(tbl_FACTS[[#This Row],[Quantity]]&lt;=50,"41–50","51+")))))</f>
        <v>41–50</v>
      </c>
    </row>
    <row r="485" spans="1:22">
      <c r="A485">
        <v>484</v>
      </c>
      <c r="B485">
        <v>10430</v>
      </c>
      <c r="C485">
        <v>56</v>
      </c>
      <c r="D485" s="19">
        <v>30</v>
      </c>
      <c r="E485" s="20">
        <f>_xlfn.XLOOKUP(tbl_FACTS[[#This Row],[OrderID]],Πίνακας64[OrderID],Πίνακας64[OrderDate])</f>
        <v>35460</v>
      </c>
      <c r="F485">
        <f>_xlfn.XLOOKUP(tbl_FACTS[[#This Row],[OrderID]],Πίνακας64[OrderID],Πίνακας64[CustomerID])</f>
        <v>20</v>
      </c>
      <c r="G485" t="str">
        <f>_xlfn.XLOOKUP(tbl_FACTS[[#This Row],[CustomerID]],Πίνακας1[CustomerID],Πίνακας1[CustomerName])</f>
        <v>Ernst Handel</v>
      </c>
      <c r="H485" t="str">
        <f>_xlfn.XLOOKUP(tbl_FACTS[[#This Row],[CustomerID]],Πίνακας1[CustomerID],Πίνακας1[Country])</f>
        <v>Austria</v>
      </c>
      <c r="I485">
        <f>_xlfn.XLOOKUP(tbl_FACTS[[#This Row],[OrderID]],Πίνακας64[OrderID],Πίνακας64[EmployeeID])</f>
        <v>4</v>
      </c>
      <c r="J485">
        <f>_xlfn.XLOOKUP(tbl_FACTS[[#This Row],[OrderID]],Πίνακας64[OrderID],Πίνακας64[ShipperID])</f>
        <v>1</v>
      </c>
      <c r="K485" t="str">
        <f>_xlfn.XLOOKUP(tbl_FACTS[[#This Row],[ShipperID]],Πίνακας8[ShipperID],Πίνακας8[ShipperName])</f>
        <v>Speedy Express</v>
      </c>
      <c r="L485" t="str">
        <f>_xlfn.XLOOKUP(tbl_FACTS[[#This Row],[ProductID]],Πίνακας7[ProductID],Πίνακας7[ProductName])</f>
        <v>Gnocchi di nonna Alice</v>
      </c>
      <c r="M485">
        <f>_xlfn.XLOOKUP(tbl_FACTS[[#This Row],[ProductID]],Πίνακας7[ProductID],Πίνακας7[CategoryID])</f>
        <v>5</v>
      </c>
      <c r="N485" t="str">
        <f>_xlfn.XLOOKUP(tbl_FACTS[[#This Row],[CategoryID]],Πίνακας4[CategoryID],Πίνακας4[CategoryName])</f>
        <v>Grains/Cereals</v>
      </c>
      <c r="O485">
        <f>_xlfn.XLOOKUP(tbl_FACTS[[#This Row],[ProductID]],Πίνακας7[ProductID],Πίνακας7[SupplierID])</f>
        <v>26</v>
      </c>
      <c r="P485" t="str">
        <f>_xlfn.XLOOKUP(tbl_FACTS[[#This Row],[SupplierID]],Πίνακας9[SupplierID],Πίνακας9[SupplierName])</f>
        <v>Pasta Buttini s.r.l.</v>
      </c>
      <c r="Q485" s="21">
        <f>_xlfn.XLOOKUP(tbl_FACTS[[#This Row],[ProductID]],Πίνακας7[ProductID],Πίνακας7[Price])</f>
        <v>38</v>
      </c>
      <c r="R485" s="21">
        <f>tbl_FACTS[[#This Row],[Quantity]]*tbl_FACTS[[#This Row],[Price]]</f>
        <v>1140</v>
      </c>
      <c r="S485" s="19">
        <f>IF(COUNTIFS(tbl_FACTS[OrderID],tbl_FACTS[[#This Row],[OrderID]],tbl_FACTS[OrderDetailID],"&lt;"&amp;tbl_FACTS[[#This Row],[OrderDetailID]])=0,1,0)</f>
        <v>0</v>
      </c>
      <c r="T485" s="19">
        <f>YEAR(tbl_FACTS[[#This Row],[OrderDate]])</f>
        <v>1997</v>
      </c>
      <c r="U485" s="22">
        <f>DATE(YEAR(tbl_FACTS[[#This Row],[OrderDate]]),MONTH(tbl_FACTS[[#This Row],[OrderDate]]),1)</f>
        <v>35431</v>
      </c>
      <c r="V485" s="22" t="str">
        <f>IF(tbl_FACTS[[#This Row],[Quantity]]&lt;=10,"0–10",IF(tbl_FACTS[[#This Row],[Quantity]]&lt;=20,"11–20",IF(tbl_FACTS[[#This Row],[Quantity]]&lt;=30,"21–30",IF(tbl_FACTS[[#This Row],[Quantity]]&lt;=40,"31–40",IF(tbl_FACTS[[#This Row],[Quantity]]&lt;=50,"41–50","51+")))))</f>
        <v>21–30</v>
      </c>
    </row>
    <row r="486" spans="1:22">
      <c r="A486">
        <v>485</v>
      </c>
      <c r="B486">
        <v>10430</v>
      </c>
      <c r="C486">
        <v>59</v>
      </c>
      <c r="D486" s="19">
        <v>70</v>
      </c>
      <c r="E486" s="20">
        <f>_xlfn.XLOOKUP(tbl_FACTS[[#This Row],[OrderID]],Πίνακας64[OrderID],Πίνακας64[OrderDate])</f>
        <v>35460</v>
      </c>
      <c r="F486">
        <f>_xlfn.XLOOKUP(tbl_FACTS[[#This Row],[OrderID]],Πίνακας64[OrderID],Πίνακας64[CustomerID])</f>
        <v>20</v>
      </c>
      <c r="G486" t="str">
        <f>_xlfn.XLOOKUP(tbl_FACTS[[#This Row],[CustomerID]],Πίνακας1[CustomerID],Πίνακας1[CustomerName])</f>
        <v>Ernst Handel</v>
      </c>
      <c r="H486" t="str">
        <f>_xlfn.XLOOKUP(tbl_FACTS[[#This Row],[CustomerID]],Πίνακας1[CustomerID],Πίνακας1[Country])</f>
        <v>Austria</v>
      </c>
      <c r="I486">
        <f>_xlfn.XLOOKUP(tbl_FACTS[[#This Row],[OrderID]],Πίνακας64[OrderID],Πίνακας64[EmployeeID])</f>
        <v>4</v>
      </c>
      <c r="J486">
        <f>_xlfn.XLOOKUP(tbl_FACTS[[#This Row],[OrderID]],Πίνακας64[OrderID],Πίνακας64[ShipperID])</f>
        <v>1</v>
      </c>
      <c r="K486" t="str">
        <f>_xlfn.XLOOKUP(tbl_FACTS[[#This Row],[ShipperID]],Πίνακας8[ShipperID],Πίνακας8[ShipperName])</f>
        <v>Speedy Express</v>
      </c>
      <c r="L486" t="str">
        <f>_xlfn.XLOOKUP(tbl_FACTS[[#This Row],[ProductID]],Πίνακας7[ProductID],Πίνακας7[ProductName])</f>
        <v>Raclette Courdavault</v>
      </c>
      <c r="M486">
        <f>_xlfn.XLOOKUP(tbl_FACTS[[#This Row],[ProductID]],Πίνακας7[ProductID],Πίνακας7[CategoryID])</f>
        <v>4</v>
      </c>
      <c r="N486" t="str">
        <f>_xlfn.XLOOKUP(tbl_FACTS[[#This Row],[CategoryID]],Πίνακας4[CategoryID],Πίνακας4[CategoryName])</f>
        <v>Dairy Products</v>
      </c>
      <c r="O486">
        <f>_xlfn.XLOOKUP(tbl_FACTS[[#This Row],[ProductID]],Πίνακας7[ProductID],Πίνακας7[SupplierID])</f>
        <v>28</v>
      </c>
      <c r="P486" t="str">
        <f>_xlfn.XLOOKUP(tbl_FACTS[[#This Row],[SupplierID]],Πίνακας9[SupplierID],Πίνακας9[SupplierName])</f>
        <v>Gai paturage</v>
      </c>
      <c r="Q486" s="21">
        <f>_xlfn.XLOOKUP(tbl_FACTS[[#This Row],[ProductID]],Πίνακας7[ProductID],Πίνακας7[Price])</f>
        <v>55</v>
      </c>
      <c r="R486" s="21">
        <f>tbl_FACTS[[#This Row],[Quantity]]*tbl_FACTS[[#This Row],[Price]]</f>
        <v>3850</v>
      </c>
      <c r="S486" s="19">
        <f>IF(COUNTIFS(tbl_FACTS[OrderID],tbl_FACTS[[#This Row],[OrderID]],tbl_FACTS[OrderDetailID],"&lt;"&amp;tbl_FACTS[[#This Row],[OrderDetailID]])=0,1,0)</f>
        <v>0</v>
      </c>
      <c r="T486" s="19">
        <f>YEAR(tbl_FACTS[[#This Row],[OrderDate]])</f>
        <v>1997</v>
      </c>
      <c r="U486" s="22">
        <f>DATE(YEAR(tbl_FACTS[[#This Row],[OrderDate]]),MONTH(tbl_FACTS[[#This Row],[OrderDate]]),1)</f>
        <v>35431</v>
      </c>
      <c r="V486" s="22" t="str">
        <f>IF(tbl_FACTS[[#This Row],[Quantity]]&lt;=10,"0–10",IF(tbl_FACTS[[#This Row],[Quantity]]&lt;=20,"11–20",IF(tbl_FACTS[[#This Row],[Quantity]]&lt;=30,"21–30",IF(tbl_FACTS[[#This Row],[Quantity]]&lt;=40,"31–40",IF(tbl_FACTS[[#This Row],[Quantity]]&lt;=50,"41–50","51+")))))</f>
        <v>51+</v>
      </c>
    </row>
    <row r="487" spans="1:22">
      <c r="A487">
        <v>486</v>
      </c>
      <c r="B487">
        <v>10431</v>
      </c>
      <c r="C487">
        <v>17</v>
      </c>
      <c r="D487" s="19">
        <v>50</v>
      </c>
      <c r="E487" s="20">
        <f>_xlfn.XLOOKUP(tbl_FACTS[[#This Row],[OrderID]],Πίνακας64[OrderID],Πίνακας64[OrderDate])</f>
        <v>35460</v>
      </c>
      <c r="F487">
        <f>_xlfn.XLOOKUP(tbl_FACTS[[#This Row],[OrderID]],Πίνακας64[OrderID],Πίνακας64[CustomerID])</f>
        <v>10</v>
      </c>
      <c r="G487" t="str">
        <f>_xlfn.XLOOKUP(tbl_FACTS[[#This Row],[CustomerID]],Πίνακας1[CustomerID],Πίνακας1[CustomerName])</f>
        <v>Bottom-Dollar Marketse</v>
      </c>
      <c r="H487" t="str">
        <f>_xlfn.XLOOKUP(tbl_FACTS[[#This Row],[CustomerID]],Πίνακας1[CustomerID],Πίνακας1[Country])</f>
        <v>Canada</v>
      </c>
      <c r="I487">
        <f>_xlfn.XLOOKUP(tbl_FACTS[[#This Row],[OrderID]],Πίνακας64[OrderID],Πίνακας64[EmployeeID])</f>
        <v>4</v>
      </c>
      <c r="J487">
        <f>_xlfn.XLOOKUP(tbl_FACTS[[#This Row],[OrderID]],Πίνακας64[OrderID],Πίνακας64[ShipperID])</f>
        <v>2</v>
      </c>
      <c r="K487" t="str">
        <f>_xlfn.XLOOKUP(tbl_FACTS[[#This Row],[ShipperID]],Πίνακας8[ShipperID],Πίνακας8[ShipperName])</f>
        <v>United Package</v>
      </c>
      <c r="L487" t="str">
        <f>_xlfn.XLOOKUP(tbl_FACTS[[#This Row],[ProductID]],Πίνακας7[ProductID],Πίνακας7[ProductName])</f>
        <v>Alice Mutton</v>
      </c>
      <c r="M487">
        <f>_xlfn.XLOOKUP(tbl_FACTS[[#This Row],[ProductID]],Πίνακας7[ProductID],Πίνακας7[CategoryID])</f>
        <v>6</v>
      </c>
      <c r="N487" t="str">
        <f>_xlfn.XLOOKUP(tbl_FACTS[[#This Row],[CategoryID]],Πίνακας4[CategoryID],Πίνακας4[CategoryName])</f>
        <v>Meat/Poultry</v>
      </c>
      <c r="O487">
        <f>_xlfn.XLOOKUP(tbl_FACTS[[#This Row],[ProductID]],Πίνακας7[ProductID],Πίνακας7[SupplierID])</f>
        <v>7</v>
      </c>
      <c r="P487" t="str">
        <f>_xlfn.XLOOKUP(tbl_FACTS[[#This Row],[SupplierID]],Πίνακας9[SupplierID],Πίνακας9[SupplierName])</f>
        <v>Pavlova, Ltd.</v>
      </c>
      <c r="Q487" s="21">
        <f>_xlfn.XLOOKUP(tbl_FACTS[[#This Row],[ProductID]],Πίνακας7[ProductID],Πίνακας7[Price])</f>
        <v>39</v>
      </c>
      <c r="R487" s="21">
        <f>tbl_FACTS[[#This Row],[Quantity]]*tbl_FACTS[[#This Row],[Price]]</f>
        <v>1950</v>
      </c>
      <c r="S487" s="19">
        <f>IF(COUNTIFS(tbl_FACTS[OrderID],tbl_FACTS[[#This Row],[OrderID]],tbl_FACTS[OrderDetailID],"&lt;"&amp;tbl_FACTS[[#This Row],[OrderDetailID]])=0,1,0)</f>
        <v>1</v>
      </c>
      <c r="T487" s="19">
        <f>YEAR(tbl_FACTS[[#This Row],[OrderDate]])</f>
        <v>1997</v>
      </c>
      <c r="U487" s="22">
        <f>DATE(YEAR(tbl_FACTS[[#This Row],[OrderDate]]),MONTH(tbl_FACTS[[#This Row],[OrderDate]]),1)</f>
        <v>35431</v>
      </c>
      <c r="V487" s="22" t="str">
        <f>IF(tbl_FACTS[[#This Row],[Quantity]]&lt;=10,"0–10",IF(tbl_FACTS[[#This Row],[Quantity]]&lt;=20,"11–20",IF(tbl_FACTS[[#This Row],[Quantity]]&lt;=30,"21–30",IF(tbl_FACTS[[#This Row],[Quantity]]&lt;=40,"31–40",IF(tbl_FACTS[[#This Row],[Quantity]]&lt;=50,"41–50","51+")))))</f>
        <v>41–50</v>
      </c>
    </row>
    <row r="488" spans="1:22">
      <c r="A488">
        <v>487</v>
      </c>
      <c r="B488">
        <v>10431</v>
      </c>
      <c r="C488">
        <v>40</v>
      </c>
      <c r="D488" s="19">
        <v>50</v>
      </c>
      <c r="E488" s="20">
        <f>_xlfn.XLOOKUP(tbl_FACTS[[#This Row],[OrderID]],Πίνακας64[OrderID],Πίνακας64[OrderDate])</f>
        <v>35460</v>
      </c>
      <c r="F488">
        <f>_xlfn.XLOOKUP(tbl_FACTS[[#This Row],[OrderID]],Πίνακας64[OrderID],Πίνακας64[CustomerID])</f>
        <v>10</v>
      </c>
      <c r="G488" t="str">
        <f>_xlfn.XLOOKUP(tbl_FACTS[[#This Row],[CustomerID]],Πίνακας1[CustomerID],Πίνακας1[CustomerName])</f>
        <v>Bottom-Dollar Marketse</v>
      </c>
      <c r="H488" t="str">
        <f>_xlfn.XLOOKUP(tbl_FACTS[[#This Row],[CustomerID]],Πίνακας1[CustomerID],Πίνακας1[Country])</f>
        <v>Canada</v>
      </c>
      <c r="I488">
        <f>_xlfn.XLOOKUP(tbl_FACTS[[#This Row],[OrderID]],Πίνακας64[OrderID],Πίνακας64[EmployeeID])</f>
        <v>4</v>
      </c>
      <c r="J488">
        <f>_xlfn.XLOOKUP(tbl_FACTS[[#This Row],[OrderID]],Πίνακας64[OrderID],Πίνακας64[ShipperID])</f>
        <v>2</v>
      </c>
      <c r="K488" t="str">
        <f>_xlfn.XLOOKUP(tbl_FACTS[[#This Row],[ShipperID]],Πίνακας8[ShipperID],Πίνακας8[ShipperName])</f>
        <v>United Package</v>
      </c>
      <c r="L488" t="str">
        <f>_xlfn.XLOOKUP(tbl_FACTS[[#This Row],[ProductID]],Πίνακας7[ProductID],Πίνακας7[ProductName])</f>
        <v>Boston Crab Meat</v>
      </c>
      <c r="M488">
        <f>_xlfn.XLOOKUP(tbl_FACTS[[#This Row],[ProductID]],Πίνακας7[ProductID],Πίνακας7[CategoryID])</f>
        <v>8</v>
      </c>
      <c r="N488" t="str">
        <f>_xlfn.XLOOKUP(tbl_FACTS[[#This Row],[CategoryID]],Πίνακας4[CategoryID],Πίνακας4[CategoryName])</f>
        <v>Seafood</v>
      </c>
      <c r="O488">
        <f>_xlfn.XLOOKUP(tbl_FACTS[[#This Row],[ProductID]],Πίνακας7[ProductID],Πίνακας7[SupplierID])</f>
        <v>19</v>
      </c>
      <c r="P488" t="str">
        <f>_xlfn.XLOOKUP(tbl_FACTS[[#This Row],[SupplierID]],Πίνακας9[SupplierID],Πίνακας9[SupplierName])</f>
        <v>New England Seafood Cannery</v>
      </c>
      <c r="Q488" s="21">
        <f>_xlfn.XLOOKUP(tbl_FACTS[[#This Row],[ProductID]],Πίνακας7[ProductID],Πίνακας7[Price])</f>
        <v>18</v>
      </c>
      <c r="R488" s="21">
        <f>tbl_FACTS[[#This Row],[Quantity]]*tbl_FACTS[[#This Row],[Price]]</f>
        <v>900</v>
      </c>
      <c r="S488" s="19">
        <f>IF(COUNTIFS(tbl_FACTS[OrderID],tbl_FACTS[[#This Row],[OrderID]],tbl_FACTS[OrderDetailID],"&lt;"&amp;tbl_FACTS[[#This Row],[OrderDetailID]])=0,1,0)</f>
        <v>0</v>
      </c>
      <c r="T488" s="19">
        <f>YEAR(tbl_FACTS[[#This Row],[OrderDate]])</f>
        <v>1997</v>
      </c>
      <c r="U488" s="22">
        <f>DATE(YEAR(tbl_FACTS[[#This Row],[OrderDate]]),MONTH(tbl_FACTS[[#This Row],[OrderDate]]),1)</f>
        <v>35431</v>
      </c>
      <c r="V488" s="22" t="str">
        <f>IF(tbl_FACTS[[#This Row],[Quantity]]&lt;=10,"0–10",IF(tbl_FACTS[[#This Row],[Quantity]]&lt;=20,"11–20",IF(tbl_FACTS[[#This Row],[Quantity]]&lt;=30,"21–30",IF(tbl_FACTS[[#This Row],[Quantity]]&lt;=40,"31–40",IF(tbl_FACTS[[#This Row],[Quantity]]&lt;=50,"41–50","51+")))))</f>
        <v>41–50</v>
      </c>
    </row>
    <row r="489" spans="1:22">
      <c r="A489">
        <v>488</v>
      </c>
      <c r="B489">
        <v>10431</v>
      </c>
      <c r="C489">
        <v>47</v>
      </c>
      <c r="D489" s="19">
        <v>30</v>
      </c>
      <c r="E489" s="20">
        <f>_xlfn.XLOOKUP(tbl_FACTS[[#This Row],[OrderID]],Πίνακας64[OrderID],Πίνακας64[OrderDate])</f>
        <v>35460</v>
      </c>
      <c r="F489">
        <f>_xlfn.XLOOKUP(tbl_FACTS[[#This Row],[OrderID]],Πίνακας64[OrderID],Πίνακας64[CustomerID])</f>
        <v>10</v>
      </c>
      <c r="G489" t="str">
        <f>_xlfn.XLOOKUP(tbl_FACTS[[#This Row],[CustomerID]],Πίνακας1[CustomerID],Πίνακας1[CustomerName])</f>
        <v>Bottom-Dollar Marketse</v>
      </c>
      <c r="H489" t="str">
        <f>_xlfn.XLOOKUP(tbl_FACTS[[#This Row],[CustomerID]],Πίνακας1[CustomerID],Πίνακας1[Country])</f>
        <v>Canada</v>
      </c>
      <c r="I489">
        <f>_xlfn.XLOOKUP(tbl_FACTS[[#This Row],[OrderID]],Πίνακας64[OrderID],Πίνακας64[EmployeeID])</f>
        <v>4</v>
      </c>
      <c r="J489">
        <f>_xlfn.XLOOKUP(tbl_FACTS[[#This Row],[OrderID]],Πίνακας64[OrderID],Πίνακας64[ShipperID])</f>
        <v>2</v>
      </c>
      <c r="K489" t="str">
        <f>_xlfn.XLOOKUP(tbl_FACTS[[#This Row],[ShipperID]],Πίνακας8[ShipperID],Πίνακας8[ShipperName])</f>
        <v>United Package</v>
      </c>
      <c r="L489" t="str">
        <f>_xlfn.XLOOKUP(tbl_FACTS[[#This Row],[ProductID]],Πίνακας7[ProductID],Πίνακας7[ProductName])</f>
        <v>Zaanse koeken</v>
      </c>
      <c r="M489">
        <f>_xlfn.XLOOKUP(tbl_FACTS[[#This Row],[ProductID]],Πίνακας7[ProductID],Πίνακας7[CategoryID])</f>
        <v>3</v>
      </c>
      <c r="N489" t="str">
        <f>_xlfn.XLOOKUP(tbl_FACTS[[#This Row],[CategoryID]],Πίνακας4[CategoryID],Πίνακας4[CategoryName])</f>
        <v>Confections</v>
      </c>
      <c r="O489">
        <f>_xlfn.XLOOKUP(tbl_FACTS[[#This Row],[ProductID]],Πίνακας7[ProductID],Πίνακας7[SupplierID])</f>
        <v>22</v>
      </c>
      <c r="P489" t="str">
        <f>_xlfn.XLOOKUP(tbl_FACTS[[#This Row],[SupplierID]],Πίνακας9[SupplierID],Πίνακας9[SupplierName])</f>
        <v>Zaanse Snoepfabriek</v>
      </c>
      <c r="Q489" s="21">
        <f>_xlfn.XLOOKUP(tbl_FACTS[[#This Row],[ProductID]],Πίνακας7[ProductID],Πίνακας7[Price])</f>
        <v>10</v>
      </c>
      <c r="R489" s="21">
        <f>tbl_FACTS[[#This Row],[Quantity]]*tbl_FACTS[[#This Row],[Price]]</f>
        <v>300</v>
      </c>
      <c r="S489" s="19">
        <f>IF(COUNTIFS(tbl_FACTS[OrderID],tbl_FACTS[[#This Row],[OrderID]],tbl_FACTS[OrderDetailID],"&lt;"&amp;tbl_FACTS[[#This Row],[OrderDetailID]])=0,1,0)</f>
        <v>0</v>
      </c>
      <c r="T489" s="19">
        <f>YEAR(tbl_FACTS[[#This Row],[OrderDate]])</f>
        <v>1997</v>
      </c>
      <c r="U489" s="22">
        <f>DATE(YEAR(tbl_FACTS[[#This Row],[OrderDate]]),MONTH(tbl_FACTS[[#This Row],[OrderDate]]),1)</f>
        <v>35431</v>
      </c>
      <c r="V489" s="22" t="str">
        <f>IF(tbl_FACTS[[#This Row],[Quantity]]&lt;=10,"0–10",IF(tbl_FACTS[[#This Row],[Quantity]]&lt;=20,"11–20",IF(tbl_FACTS[[#This Row],[Quantity]]&lt;=30,"21–30",IF(tbl_FACTS[[#This Row],[Quantity]]&lt;=40,"31–40",IF(tbl_FACTS[[#This Row],[Quantity]]&lt;=50,"41–50","51+")))))</f>
        <v>21–30</v>
      </c>
    </row>
    <row r="490" spans="1:22">
      <c r="A490">
        <v>489</v>
      </c>
      <c r="B490">
        <v>10432</v>
      </c>
      <c r="C490">
        <v>26</v>
      </c>
      <c r="D490" s="19">
        <v>10</v>
      </c>
      <c r="E490" s="20">
        <f>_xlfn.XLOOKUP(tbl_FACTS[[#This Row],[OrderID]],Πίνακας64[OrderID],Πίνακας64[OrderDate])</f>
        <v>35461</v>
      </c>
      <c r="F490">
        <f>_xlfn.XLOOKUP(tbl_FACTS[[#This Row],[OrderID]],Πίνακας64[OrderID],Πίνακας64[CustomerID])</f>
        <v>75</v>
      </c>
      <c r="G490" t="str">
        <f>_xlfn.XLOOKUP(tbl_FACTS[[#This Row],[CustomerID]],Πίνακας1[CustomerID],Πίνακας1[CustomerName])</f>
        <v>Split Rail Beer &amp; Ale</v>
      </c>
      <c r="H490" t="str">
        <f>_xlfn.XLOOKUP(tbl_FACTS[[#This Row],[CustomerID]],Πίνακας1[CustomerID],Πίνακας1[Country])</f>
        <v>USA</v>
      </c>
      <c r="I490">
        <f>_xlfn.XLOOKUP(tbl_FACTS[[#This Row],[OrderID]],Πίνακας64[OrderID],Πίνακας64[EmployeeID])</f>
        <v>3</v>
      </c>
      <c r="J490">
        <f>_xlfn.XLOOKUP(tbl_FACTS[[#This Row],[OrderID]],Πίνακας64[OrderID],Πίνακας64[ShipperID])</f>
        <v>2</v>
      </c>
      <c r="K490" t="str">
        <f>_xlfn.XLOOKUP(tbl_FACTS[[#This Row],[ShipperID]],Πίνακας8[ShipperID],Πίνακας8[ShipperName])</f>
        <v>United Package</v>
      </c>
      <c r="L490" t="str">
        <f>_xlfn.XLOOKUP(tbl_FACTS[[#This Row],[ProductID]],Πίνακας7[ProductID],Πίνακας7[ProductName])</f>
        <v>Gumbar Gummibarchen</v>
      </c>
      <c r="M490">
        <f>_xlfn.XLOOKUP(tbl_FACTS[[#This Row],[ProductID]],Πίνακας7[ProductID],Πίνακας7[CategoryID])</f>
        <v>3</v>
      </c>
      <c r="N490" t="str">
        <f>_xlfn.XLOOKUP(tbl_FACTS[[#This Row],[CategoryID]],Πίνακας4[CategoryID],Πίνακας4[CategoryName])</f>
        <v>Confections</v>
      </c>
      <c r="O490">
        <f>_xlfn.XLOOKUP(tbl_FACTS[[#This Row],[ProductID]],Πίνακας7[ProductID],Πίνακας7[SupplierID])</f>
        <v>11</v>
      </c>
      <c r="P490" t="str">
        <f>_xlfn.XLOOKUP(tbl_FACTS[[#This Row],[SupplierID]],Πίνακας9[SupplierID],Πίνακας9[SupplierName])</f>
        <v>Heli Su├ƒwaren GmbH &amp; Co. KG</v>
      </c>
      <c r="Q490" s="21">
        <f>_xlfn.XLOOKUP(tbl_FACTS[[#This Row],[ProductID]],Πίνακας7[ProductID],Πίνακας7[Price])</f>
        <v>31</v>
      </c>
      <c r="R490" s="21">
        <f>tbl_FACTS[[#This Row],[Quantity]]*tbl_FACTS[[#This Row],[Price]]</f>
        <v>310</v>
      </c>
      <c r="S490" s="19">
        <f>IF(COUNTIFS(tbl_FACTS[OrderID],tbl_FACTS[[#This Row],[OrderID]],tbl_FACTS[OrderDetailID],"&lt;"&amp;tbl_FACTS[[#This Row],[OrderDetailID]])=0,1,0)</f>
        <v>1</v>
      </c>
      <c r="T490" s="19">
        <f>YEAR(tbl_FACTS[[#This Row],[OrderDate]])</f>
        <v>1997</v>
      </c>
      <c r="U490" s="22">
        <f>DATE(YEAR(tbl_FACTS[[#This Row],[OrderDate]]),MONTH(tbl_FACTS[[#This Row],[OrderDate]]),1)</f>
        <v>35431</v>
      </c>
      <c r="V490" s="22" t="str">
        <f>IF(tbl_FACTS[[#This Row],[Quantity]]&lt;=10,"0–10",IF(tbl_FACTS[[#This Row],[Quantity]]&lt;=20,"11–20",IF(tbl_FACTS[[#This Row],[Quantity]]&lt;=30,"21–30",IF(tbl_FACTS[[#This Row],[Quantity]]&lt;=40,"31–40",IF(tbl_FACTS[[#This Row],[Quantity]]&lt;=50,"41–50","51+")))))</f>
        <v>0–10</v>
      </c>
    </row>
    <row r="491" spans="1:22">
      <c r="A491">
        <v>490</v>
      </c>
      <c r="B491">
        <v>10432</v>
      </c>
      <c r="C491">
        <v>54</v>
      </c>
      <c r="D491" s="19">
        <v>40</v>
      </c>
      <c r="E491" s="20">
        <f>_xlfn.XLOOKUP(tbl_FACTS[[#This Row],[OrderID]],Πίνακας64[OrderID],Πίνακας64[OrderDate])</f>
        <v>35461</v>
      </c>
      <c r="F491">
        <f>_xlfn.XLOOKUP(tbl_FACTS[[#This Row],[OrderID]],Πίνακας64[OrderID],Πίνακας64[CustomerID])</f>
        <v>75</v>
      </c>
      <c r="G491" t="str">
        <f>_xlfn.XLOOKUP(tbl_FACTS[[#This Row],[CustomerID]],Πίνακας1[CustomerID],Πίνακας1[CustomerName])</f>
        <v>Split Rail Beer &amp; Ale</v>
      </c>
      <c r="H491" t="str">
        <f>_xlfn.XLOOKUP(tbl_FACTS[[#This Row],[CustomerID]],Πίνακας1[CustomerID],Πίνακας1[Country])</f>
        <v>USA</v>
      </c>
      <c r="I491">
        <f>_xlfn.XLOOKUP(tbl_FACTS[[#This Row],[OrderID]],Πίνακας64[OrderID],Πίνακας64[EmployeeID])</f>
        <v>3</v>
      </c>
      <c r="J491">
        <f>_xlfn.XLOOKUP(tbl_FACTS[[#This Row],[OrderID]],Πίνακας64[OrderID],Πίνακας64[ShipperID])</f>
        <v>2</v>
      </c>
      <c r="K491" t="str">
        <f>_xlfn.XLOOKUP(tbl_FACTS[[#This Row],[ShipperID]],Πίνακας8[ShipperID],Πίνακας8[ShipperName])</f>
        <v>United Package</v>
      </c>
      <c r="L491" t="str">
        <f>_xlfn.XLOOKUP(tbl_FACTS[[#This Row],[ProductID]],Πίνακας7[ProductID],Πίνακας7[ProductName])</f>
        <v>Tourtiere</v>
      </c>
      <c r="M491">
        <f>_xlfn.XLOOKUP(tbl_FACTS[[#This Row],[ProductID]],Πίνακας7[ProductID],Πίνακας7[CategoryID])</f>
        <v>6</v>
      </c>
      <c r="N491" t="str">
        <f>_xlfn.XLOOKUP(tbl_FACTS[[#This Row],[CategoryID]],Πίνακας4[CategoryID],Πίνακας4[CategoryName])</f>
        <v>Meat/Poultry</v>
      </c>
      <c r="O491">
        <f>_xlfn.XLOOKUP(tbl_FACTS[[#This Row],[ProductID]],Πίνακας7[ProductID],Πίνακας7[SupplierID])</f>
        <v>25</v>
      </c>
      <c r="P491" t="str">
        <f>_xlfn.XLOOKUP(tbl_FACTS[[#This Row],[SupplierID]],Πίνακας9[SupplierID],Πίνακας9[SupplierName])</f>
        <v>Ma Maison</v>
      </c>
      <c r="Q491" s="21">
        <f>_xlfn.XLOOKUP(tbl_FACTS[[#This Row],[ProductID]],Πίνακας7[ProductID],Πίνακας7[Price])</f>
        <v>7</v>
      </c>
      <c r="R491" s="21">
        <f>tbl_FACTS[[#This Row],[Quantity]]*tbl_FACTS[[#This Row],[Price]]</f>
        <v>280</v>
      </c>
      <c r="S491" s="19">
        <f>IF(COUNTIFS(tbl_FACTS[OrderID],tbl_FACTS[[#This Row],[OrderID]],tbl_FACTS[OrderDetailID],"&lt;"&amp;tbl_FACTS[[#This Row],[OrderDetailID]])=0,1,0)</f>
        <v>0</v>
      </c>
      <c r="T491" s="19">
        <f>YEAR(tbl_FACTS[[#This Row],[OrderDate]])</f>
        <v>1997</v>
      </c>
      <c r="U491" s="22">
        <f>DATE(YEAR(tbl_FACTS[[#This Row],[OrderDate]]),MONTH(tbl_FACTS[[#This Row],[OrderDate]]),1)</f>
        <v>35431</v>
      </c>
      <c r="V491" s="22" t="str">
        <f>IF(tbl_FACTS[[#This Row],[Quantity]]&lt;=10,"0–10",IF(tbl_FACTS[[#This Row],[Quantity]]&lt;=20,"11–20",IF(tbl_FACTS[[#This Row],[Quantity]]&lt;=30,"21–30",IF(tbl_FACTS[[#This Row],[Quantity]]&lt;=40,"31–40",IF(tbl_FACTS[[#This Row],[Quantity]]&lt;=50,"41–50","51+")))))</f>
        <v>31–40</v>
      </c>
    </row>
    <row r="492" spans="1:22">
      <c r="A492">
        <v>491</v>
      </c>
      <c r="B492">
        <v>10433</v>
      </c>
      <c r="C492">
        <v>56</v>
      </c>
      <c r="D492" s="19">
        <v>28</v>
      </c>
      <c r="E492" s="20">
        <f>_xlfn.XLOOKUP(tbl_FACTS[[#This Row],[OrderID]],Πίνακας64[OrderID],Πίνακας64[OrderDate])</f>
        <v>35464</v>
      </c>
      <c r="F492">
        <f>_xlfn.XLOOKUP(tbl_FACTS[[#This Row],[OrderID]],Πίνακας64[OrderID],Πίνακας64[CustomerID])</f>
        <v>60</v>
      </c>
      <c r="G492" t="str">
        <f>_xlfn.XLOOKUP(tbl_FACTS[[#This Row],[CustomerID]],Πίνακας1[CustomerID],Πίνακας1[CustomerName])</f>
        <v>Princesa Isabel Vinhoss</v>
      </c>
      <c r="H492" t="str">
        <f>_xlfn.XLOOKUP(tbl_FACTS[[#This Row],[CustomerID]],Πίνακας1[CustomerID],Πίνακας1[Country])</f>
        <v>Portugal</v>
      </c>
      <c r="I492">
        <f>_xlfn.XLOOKUP(tbl_FACTS[[#This Row],[OrderID]],Πίνακας64[OrderID],Πίνακας64[EmployeeID])</f>
        <v>3</v>
      </c>
      <c r="J492">
        <f>_xlfn.XLOOKUP(tbl_FACTS[[#This Row],[OrderID]],Πίνακας64[OrderID],Πίνακας64[ShipperID])</f>
        <v>3</v>
      </c>
      <c r="K492" t="str">
        <f>_xlfn.XLOOKUP(tbl_FACTS[[#This Row],[ShipperID]],Πίνακας8[ShipperID],Πίνακας8[ShipperName])</f>
        <v>Federal Shipping</v>
      </c>
      <c r="L492" t="str">
        <f>_xlfn.XLOOKUP(tbl_FACTS[[#This Row],[ProductID]],Πίνακας7[ProductID],Πίνακας7[ProductName])</f>
        <v>Gnocchi di nonna Alice</v>
      </c>
      <c r="M492">
        <f>_xlfn.XLOOKUP(tbl_FACTS[[#This Row],[ProductID]],Πίνακας7[ProductID],Πίνακας7[CategoryID])</f>
        <v>5</v>
      </c>
      <c r="N492" t="str">
        <f>_xlfn.XLOOKUP(tbl_FACTS[[#This Row],[CategoryID]],Πίνακας4[CategoryID],Πίνακας4[CategoryName])</f>
        <v>Grains/Cereals</v>
      </c>
      <c r="O492">
        <f>_xlfn.XLOOKUP(tbl_FACTS[[#This Row],[ProductID]],Πίνακας7[ProductID],Πίνακας7[SupplierID])</f>
        <v>26</v>
      </c>
      <c r="P492" t="str">
        <f>_xlfn.XLOOKUP(tbl_FACTS[[#This Row],[SupplierID]],Πίνακας9[SupplierID],Πίνακας9[SupplierName])</f>
        <v>Pasta Buttini s.r.l.</v>
      </c>
      <c r="Q492" s="21">
        <f>_xlfn.XLOOKUP(tbl_FACTS[[#This Row],[ProductID]],Πίνακας7[ProductID],Πίνακας7[Price])</f>
        <v>38</v>
      </c>
      <c r="R492" s="21">
        <f>tbl_FACTS[[#This Row],[Quantity]]*tbl_FACTS[[#This Row],[Price]]</f>
        <v>1064</v>
      </c>
      <c r="S492" s="19">
        <f>IF(COUNTIFS(tbl_FACTS[OrderID],tbl_FACTS[[#This Row],[OrderID]],tbl_FACTS[OrderDetailID],"&lt;"&amp;tbl_FACTS[[#This Row],[OrderDetailID]])=0,1,0)</f>
        <v>1</v>
      </c>
      <c r="T492" s="19">
        <f>YEAR(tbl_FACTS[[#This Row],[OrderDate]])</f>
        <v>1997</v>
      </c>
      <c r="U492" s="22">
        <f>DATE(YEAR(tbl_FACTS[[#This Row],[OrderDate]]),MONTH(tbl_FACTS[[#This Row],[OrderDate]]),1)</f>
        <v>35462</v>
      </c>
      <c r="V492" s="22" t="str">
        <f>IF(tbl_FACTS[[#This Row],[Quantity]]&lt;=10,"0–10",IF(tbl_FACTS[[#This Row],[Quantity]]&lt;=20,"11–20",IF(tbl_FACTS[[#This Row],[Quantity]]&lt;=30,"21–30",IF(tbl_FACTS[[#This Row],[Quantity]]&lt;=40,"31–40",IF(tbl_FACTS[[#This Row],[Quantity]]&lt;=50,"41–50","51+")))))</f>
        <v>21–30</v>
      </c>
    </row>
    <row r="493" spans="1:22">
      <c r="A493">
        <v>492</v>
      </c>
      <c r="B493">
        <v>10434</v>
      </c>
      <c r="C493">
        <v>11</v>
      </c>
      <c r="D493" s="19">
        <v>6</v>
      </c>
      <c r="E493" s="20">
        <f>_xlfn.XLOOKUP(tbl_FACTS[[#This Row],[OrderID]],Πίνακας64[OrderID],Πίνακας64[OrderDate])</f>
        <v>35464</v>
      </c>
      <c r="F493">
        <f>_xlfn.XLOOKUP(tbl_FACTS[[#This Row],[OrderID]],Πίνακας64[OrderID],Πίνακας64[CustomerID])</f>
        <v>24</v>
      </c>
      <c r="G493" t="str">
        <f>_xlfn.XLOOKUP(tbl_FACTS[[#This Row],[CustomerID]],Πίνακας1[CustomerID],Πίνακας1[CustomerName])</f>
        <v>Folk och fa HB</v>
      </c>
      <c r="H493" t="str">
        <f>_xlfn.XLOOKUP(tbl_FACTS[[#This Row],[CustomerID]],Πίνακας1[CustomerID],Πίνακας1[Country])</f>
        <v>Sweden</v>
      </c>
      <c r="I493">
        <f>_xlfn.XLOOKUP(tbl_FACTS[[#This Row],[OrderID]],Πίνακας64[OrderID],Πίνακας64[EmployeeID])</f>
        <v>3</v>
      </c>
      <c r="J493">
        <f>_xlfn.XLOOKUP(tbl_FACTS[[#This Row],[OrderID]],Πίνακας64[OrderID],Πίνακας64[ShipperID])</f>
        <v>2</v>
      </c>
      <c r="K493" t="str">
        <f>_xlfn.XLOOKUP(tbl_FACTS[[#This Row],[ShipperID]],Πίνακας8[ShipperID],Πίνακας8[ShipperName])</f>
        <v>United Package</v>
      </c>
      <c r="L493" t="str">
        <f>_xlfn.XLOOKUP(tbl_FACTS[[#This Row],[ProductID]],Πίνακας7[ProductID],Πίνακας7[ProductName])</f>
        <v>Queso Cabrales</v>
      </c>
      <c r="M493">
        <f>_xlfn.XLOOKUP(tbl_FACTS[[#This Row],[ProductID]],Πίνακας7[ProductID],Πίνακας7[CategoryID])</f>
        <v>4</v>
      </c>
      <c r="N493" t="str">
        <f>_xlfn.XLOOKUP(tbl_FACTS[[#This Row],[CategoryID]],Πίνακας4[CategoryID],Πίνακας4[CategoryName])</f>
        <v>Dairy Products</v>
      </c>
      <c r="O493">
        <f>_xlfn.XLOOKUP(tbl_FACTS[[#This Row],[ProductID]],Πίνακας7[ProductID],Πίνακας7[SupplierID])</f>
        <v>5</v>
      </c>
      <c r="P493" t="str">
        <f>_xlfn.XLOOKUP(tbl_FACTS[[#This Row],[SupplierID]],Πίνακας9[SupplierID],Πίνακας9[SupplierName])</f>
        <v>Cooperativa de Quesos 'Las Cabras'</v>
      </c>
      <c r="Q493" s="21">
        <f>_xlfn.XLOOKUP(tbl_FACTS[[#This Row],[ProductID]],Πίνακας7[ProductID],Πίνακας7[Price])</f>
        <v>21</v>
      </c>
      <c r="R493" s="21">
        <f>tbl_FACTS[[#This Row],[Quantity]]*tbl_FACTS[[#This Row],[Price]]</f>
        <v>126</v>
      </c>
      <c r="S493" s="19">
        <f>IF(COUNTIFS(tbl_FACTS[OrderID],tbl_FACTS[[#This Row],[OrderID]],tbl_FACTS[OrderDetailID],"&lt;"&amp;tbl_FACTS[[#This Row],[OrderDetailID]])=0,1,0)</f>
        <v>1</v>
      </c>
      <c r="T493" s="19">
        <f>YEAR(tbl_FACTS[[#This Row],[OrderDate]])</f>
        <v>1997</v>
      </c>
      <c r="U493" s="22">
        <f>DATE(YEAR(tbl_FACTS[[#This Row],[OrderDate]]),MONTH(tbl_FACTS[[#This Row],[OrderDate]]),1)</f>
        <v>35462</v>
      </c>
      <c r="V493" s="22" t="str">
        <f>IF(tbl_FACTS[[#This Row],[Quantity]]&lt;=10,"0–10",IF(tbl_FACTS[[#This Row],[Quantity]]&lt;=20,"11–20",IF(tbl_FACTS[[#This Row],[Quantity]]&lt;=30,"21–30",IF(tbl_FACTS[[#This Row],[Quantity]]&lt;=40,"31–40",IF(tbl_FACTS[[#This Row],[Quantity]]&lt;=50,"41–50","51+")))))</f>
        <v>0–10</v>
      </c>
    </row>
    <row r="494" spans="1:22">
      <c r="A494">
        <v>493</v>
      </c>
      <c r="B494">
        <v>10434</v>
      </c>
      <c r="C494">
        <v>76</v>
      </c>
      <c r="D494" s="19">
        <v>18</v>
      </c>
      <c r="E494" s="20">
        <f>_xlfn.XLOOKUP(tbl_FACTS[[#This Row],[OrderID]],Πίνακας64[OrderID],Πίνακας64[OrderDate])</f>
        <v>35464</v>
      </c>
      <c r="F494">
        <f>_xlfn.XLOOKUP(tbl_FACTS[[#This Row],[OrderID]],Πίνακας64[OrderID],Πίνακας64[CustomerID])</f>
        <v>24</v>
      </c>
      <c r="G494" t="str">
        <f>_xlfn.XLOOKUP(tbl_FACTS[[#This Row],[CustomerID]],Πίνακας1[CustomerID],Πίνακας1[CustomerName])</f>
        <v>Folk och fa HB</v>
      </c>
      <c r="H494" t="str">
        <f>_xlfn.XLOOKUP(tbl_FACTS[[#This Row],[CustomerID]],Πίνακας1[CustomerID],Πίνακας1[Country])</f>
        <v>Sweden</v>
      </c>
      <c r="I494">
        <f>_xlfn.XLOOKUP(tbl_FACTS[[#This Row],[OrderID]],Πίνακας64[OrderID],Πίνακας64[EmployeeID])</f>
        <v>3</v>
      </c>
      <c r="J494">
        <f>_xlfn.XLOOKUP(tbl_FACTS[[#This Row],[OrderID]],Πίνακας64[OrderID],Πίνακας64[ShipperID])</f>
        <v>2</v>
      </c>
      <c r="K494" t="str">
        <f>_xlfn.XLOOKUP(tbl_FACTS[[#This Row],[ShipperID]],Πίνακας8[ShipperID],Πίνακας8[ShipperName])</f>
        <v>United Package</v>
      </c>
      <c r="L494" t="str">
        <f>_xlfn.XLOOKUP(tbl_FACTS[[#This Row],[ProductID]],Πίνακας7[ProductID],Πίνακας7[ProductName])</f>
        <v>Lakkalikoori</v>
      </c>
      <c r="M494">
        <f>_xlfn.XLOOKUP(tbl_FACTS[[#This Row],[ProductID]],Πίνακας7[ProductID],Πίνακας7[CategoryID])</f>
        <v>1</v>
      </c>
      <c r="N494" t="str">
        <f>_xlfn.XLOOKUP(tbl_FACTS[[#This Row],[CategoryID]],Πίνακας4[CategoryID],Πίνακας4[CategoryName])</f>
        <v>Beverages</v>
      </c>
      <c r="O494">
        <f>_xlfn.XLOOKUP(tbl_FACTS[[#This Row],[ProductID]],Πίνακας7[ProductID],Πίνακας7[SupplierID])</f>
        <v>23</v>
      </c>
      <c r="P494" t="str">
        <f>_xlfn.XLOOKUP(tbl_FACTS[[#This Row],[SupplierID]],Πίνακας9[SupplierID],Πίνακας9[SupplierName])</f>
        <v>Karkki Oy</v>
      </c>
      <c r="Q494" s="21">
        <f>_xlfn.XLOOKUP(tbl_FACTS[[#This Row],[ProductID]],Πίνακας7[ProductID],Πίνακας7[Price])</f>
        <v>18</v>
      </c>
      <c r="R494" s="21">
        <f>tbl_FACTS[[#This Row],[Quantity]]*tbl_FACTS[[#This Row],[Price]]</f>
        <v>324</v>
      </c>
      <c r="S494" s="19">
        <f>IF(COUNTIFS(tbl_FACTS[OrderID],tbl_FACTS[[#This Row],[OrderID]],tbl_FACTS[OrderDetailID],"&lt;"&amp;tbl_FACTS[[#This Row],[OrderDetailID]])=0,1,0)</f>
        <v>0</v>
      </c>
      <c r="T494" s="19">
        <f>YEAR(tbl_FACTS[[#This Row],[OrderDate]])</f>
        <v>1997</v>
      </c>
      <c r="U494" s="22">
        <f>DATE(YEAR(tbl_FACTS[[#This Row],[OrderDate]]),MONTH(tbl_FACTS[[#This Row],[OrderDate]]),1)</f>
        <v>35462</v>
      </c>
      <c r="V494" s="22" t="str">
        <f>IF(tbl_FACTS[[#This Row],[Quantity]]&lt;=10,"0–10",IF(tbl_FACTS[[#This Row],[Quantity]]&lt;=20,"11–20",IF(tbl_FACTS[[#This Row],[Quantity]]&lt;=30,"21–30",IF(tbl_FACTS[[#This Row],[Quantity]]&lt;=40,"31–40",IF(tbl_FACTS[[#This Row],[Quantity]]&lt;=50,"41–50","51+")))))</f>
        <v>11–20</v>
      </c>
    </row>
    <row r="495" spans="1:22">
      <c r="A495">
        <v>494</v>
      </c>
      <c r="B495">
        <v>10435</v>
      </c>
      <c r="C495">
        <v>2</v>
      </c>
      <c r="D495" s="19">
        <v>10</v>
      </c>
      <c r="E495" s="20">
        <f>_xlfn.XLOOKUP(tbl_FACTS[[#This Row],[OrderID]],Πίνακας64[OrderID],Πίνακας64[OrderDate])</f>
        <v>35465</v>
      </c>
      <c r="F495">
        <f>_xlfn.XLOOKUP(tbl_FACTS[[#This Row],[OrderID]],Πίνακας64[OrderID],Πίνακας64[CustomerID])</f>
        <v>16</v>
      </c>
      <c r="G495" t="str">
        <f>_xlfn.XLOOKUP(tbl_FACTS[[#This Row],[CustomerID]],Πίνακας1[CustomerID],Πίνακας1[CustomerName])</f>
        <v>Consolidated Holdings</v>
      </c>
      <c r="H495" t="str">
        <f>_xlfn.XLOOKUP(tbl_FACTS[[#This Row],[CustomerID]],Πίνακας1[CustomerID],Πίνακας1[Country])</f>
        <v>UK</v>
      </c>
      <c r="I495">
        <f>_xlfn.XLOOKUP(tbl_FACTS[[#This Row],[OrderID]],Πίνακας64[OrderID],Πίνακας64[EmployeeID])</f>
        <v>8</v>
      </c>
      <c r="J495">
        <f>_xlfn.XLOOKUP(tbl_FACTS[[#This Row],[OrderID]],Πίνακας64[OrderID],Πίνακας64[ShipperID])</f>
        <v>2</v>
      </c>
      <c r="K495" t="str">
        <f>_xlfn.XLOOKUP(tbl_FACTS[[#This Row],[ShipperID]],Πίνακας8[ShipperID],Πίνακας8[ShipperName])</f>
        <v>United Package</v>
      </c>
      <c r="L495" t="str">
        <f>_xlfn.XLOOKUP(tbl_FACTS[[#This Row],[ProductID]],Πίνακας7[ProductID],Πίνακας7[ProductName])</f>
        <v>Chang</v>
      </c>
      <c r="M495">
        <f>_xlfn.XLOOKUP(tbl_FACTS[[#This Row],[ProductID]],Πίνακας7[ProductID],Πίνακας7[CategoryID])</f>
        <v>1</v>
      </c>
      <c r="N495" t="str">
        <f>_xlfn.XLOOKUP(tbl_FACTS[[#This Row],[CategoryID]],Πίνακας4[CategoryID],Πίνακας4[CategoryName])</f>
        <v>Beverages</v>
      </c>
      <c r="O495">
        <f>_xlfn.XLOOKUP(tbl_FACTS[[#This Row],[ProductID]],Πίνακας7[ProductID],Πίνακας7[SupplierID])</f>
        <v>1</v>
      </c>
      <c r="P495" t="str">
        <f>_xlfn.XLOOKUP(tbl_FACTS[[#This Row],[SupplierID]],Πίνακας9[SupplierID],Πίνακας9[SupplierName])</f>
        <v>Exotic Liquid</v>
      </c>
      <c r="Q495" s="21">
        <f>_xlfn.XLOOKUP(tbl_FACTS[[#This Row],[ProductID]],Πίνακας7[ProductID],Πίνακας7[Price])</f>
        <v>19</v>
      </c>
      <c r="R495" s="21">
        <f>tbl_FACTS[[#This Row],[Quantity]]*tbl_FACTS[[#This Row],[Price]]</f>
        <v>190</v>
      </c>
      <c r="S495" s="19">
        <f>IF(COUNTIFS(tbl_FACTS[OrderID],tbl_FACTS[[#This Row],[OrderID]],tbl_FACTS[OrderDetailID],"&lt;"&amp;tbl_FACTS[[#This Row],[OrderDetailID]])=0,1,0)</f>
        <v>1</v>
      </c>
      <c r="T495" s="19">
        <f>YEAR(tbl_FACTS[[#This Row],[OrderDate]])</f>
        <v>1997</v>
      </c>
      <c r="U495" s="22">
        <f>DATE(YEAR(tbl_FACTS[[#This Row],[OrderDate]]),MONTH(tbl_FACTS[[#This Row],[OrderDate]]),1)</f>
        <v>35462</v>
      </c>
      <c r="V495" s="22" t="str">
        <f>IF(tbl_FACTS[[#This Row],[Quantity]]&lt;=10,"0–10",IF(tbl_FACTS[[#This Row],[Quantity]]&lt;=20,"11–20",IF(tbl_FACTS[[#This Row],[Quantity]]&lt;=30,"21–30",IF(tbl_FACTS[[#This Row],[Quantity]]&lt;=40,"31–40",IF(tbl_FACTS[[#This Row],[Quantity]]&lt;=50,"41–50","51+")))))</f>
        <v>0–10</v>
      </c>
    </row>
    <row r="496" spans="1:22">
      <c r="A496">
        <v>495</v>
      </c>
      <c r="B496">
        <v>10435</v>
      </c>
      <c r="C496">
        <v>22</v>
      </c>
      <c r="D496" s="19">
        <v>12</v>
      </c>
      <c r="E496" s="20">
        <f>_xlfn.XLOOKUP(tbl_FACTS[[#This Row],[OrderID]],Πίνακας64[OrderID],Πίνακας64[OrderDate])</f>
        <v>35465</v>
      </c>
      <c r="F496">
        <f>_xlfn.XLOOKUP(tbl_FACTS[[#This Row],[OrderID]],Πίνακας64[OrderID],Πίνακας64[CustomerID])</f>
        <v>16</v>
      </c>
      <c r="G496" t="str">
        <f>_xlfn.XLOOKUP(tbl_FACTS[[#This Row],[CustomerID]],Πίνακας1[CustomerID],Πίνακας1[CustomerName])</f>
        <v>Consolidated Holdings</v>
      </c>
      <c r="H496" t="str">
        <f>_xlfn.XLOOKUP(tbl_FACTS[[#This Row],[CustomerID]],Πίνακας1[CustomerID],Πίνακας1[Country])</f>
        <v>UK</v>
      </c>
      <c r="I496">
        <f>_xlfn.XLOOKUP(tbl_FACTS[[#This Row],[OrderID]],Πίνακας64[OrderID],Πίνακας64[EmployeeID])</f>
        <v>8</v>
      </c>
      <c r="J496">
        <f>_xlfn.XLOOKUP(tbl_FACTS[[#This Row],[OrderID]],Πίνακας64[OrderID],Πίνακας64[ShipperID])</f>
        <v>2</v>
      </c>
      <c r="K496" t="str">
        <f>_xlfn.XLOOKUP(tbl_FACTS[[#This Row],[ShipperID]],Πίνακας8[ShipperID],Πίνακας8[ShipperName])</f>
        <v>United Package</v>
      </c>
      <c r="L496" t="str">
        <f>_xlfn.XLOOKUP(tbl_FACTS[[#This Row],[ProductID]],Πίνακας7[ProductID],Πίνακας7[ProductName])</f>
        <v>Gustaf's Knackebrod</v>
      </c>
      <c r="M496">
        <f>_xlfn.XLOOKUP(tbl_FACTS[[#This Row],[ProductID]],Πίνακας7[ProductID],Πίνακας7[CategoryID])</f>
        <v>5</v>
      </c>
      <c r="N496" t="str">
        <f>_xlfn.XLOOKUP(tbl_FACTS[[#This Row],[CategoryID]],Πίνακας4[CategoryID],Πίνακας4[CategoryName])</f>
        <v>Grains/Cereals</v>
      </c>
      <c r="O496">
        <f>_xlfn.XLOOKUP(tbl_FACTS[[#This Row],[ProductID]],Πίνακας7[ProductID],Πίνακας7[SupplierID])</f>
        <v>9</v>
      </c>
      <c r="P496" t="str">
        <f>_xlfn.XLOOKUP(tbl_FACTS[[#This Row],[SupplierID]],Πίνακας9[SupplierID],Πίνακας9[SupplierName])</f>
        <v>PB Knackebrod AB</v>
      </c>
      <c r="Q496" s="21">
        <f>_xlfn.XLOOKUP(tbl_FACTS[[#This Row],[ProductID]],Πίνακας7[ProductID],Πίνακας7[Price])</f>
        <v>21</v>
      </c>
      <c r="R496" s="21">
        <f>tbl_FACTS[[#This Row],[Quantity]]*tbl_FACTS[[#This Row],[Price]]</f>
        <v>252</v>
      </c>
      <c r="S496" s="19">
        <f>IF(COUNTIFS(tbl_FACTS[OrderID],tbl_FACTS[[#This Row],[OrderID]],tbl_FACTS[OrderDetailID],"&lt;"&amp;tbl_FACTS[[#This Row],[OrderDetailID]])=0,1,0)</f>
        <v>0</v>
      </c>
      <c r="T496" s="19">
        <f>YEAR(tbl_FACTS[[#This Row],[OrderDate]])</f>
        <v>1997</v>
      </c>
      <c r="U496" s="22">
        <f>DATE(YEAR(tbl_FACTS[[#This Row],[OrderDate]]),MONTH(tbl_FACTS[[#This Row],[OrderDate]]),1)</f>
        <v>35462</v>
      </c>
      <c r="V496" s="22" t="str">
        <f>IF(tbl_FACTS[[#This Row],[Quantity]]&lt;=10,"0–10",IF(tbl_FACTS[[#This Row],[Quantity]]&lt;=20,"11–20",IF(tbl_FACTS[[#This Row],[Quantity]]&lt;=30,"21–30",IF(tbl_FACTS[[#This Row],[Quantity]]&lt;=40,"31–40",IF(tbl_FACTS[[#This Row],[Quantity]]&lt;=50,"41–50","51+")))))</f>
        <v>11–20</v>
      </c>
    </row>
    <row r="497" spans="1:22">
      <c r="A497">
        <v>496</v>
      </c>
      <c r="B497">
        <v>10435</v>
      </c>
      <c r="C497">
        <v>72</v>
      </c>
      <c r="D497" s="19">
        <v>10</v>
      </c>
      <c r="E497" s="20">
        <f>_xlfn.XLOOKUP(tbl_FACTS[[#This Row],[OrderID]],Πίνακας64[OrderID],Πίνακας64[OrderDate])</f>
        <v>35465</v>
      </c>
      <c r="F497">
        <f>_xlfn.XLOOKUP(tbl_FACTS[[#This Row],[OrderID]],Πίνακας64[OrderID],Πίνακας64[CustomerID])</f>
        <v>16</v>
      </c>
      <c r="G497" t="str">
        <f>_xlfn.XLOOKUP(tbl_FACTS[[#This Row],[CustomerID]],Πίνακας1[CustomerID],Πίνακας1[CustomerName])</f>
        <v>Consolidated Holdings</v>
      </c>
      <c r="H497" t="str">
        <f>_xlfn.XLOOKUP(tbl_FACTS[[#This Row],[CustomerID]],Πίνακας1[CustomerID],Πίνακας1[Country])</f>
        <v>UK</v>
      </c>
      <c r="I497">
        <f>_xlfn.XLOOKUP(tbl_FACTS[[#This Row],[OrderID]],Πίνακας64[OrderID],Πίνακας64[EmployeeID])</f>
        <v>8</v>
      </c>
      <c r="J497">
        <f>_xlfn.XLOOKUP(tbl_FACTS[[#This Row],[OrderID]],Πίνακας64[OrderID],Πίνακας64[ShipperID])</f>
        <v>2</v>
      </c>
      <c r="K497" t="str">
        <f>_xlfn.XLOOKUP(tbl_FACTS[[#This Row],[ShipperID]],Πίνακας8[ShipperID],Πίνακας8[ShipperName])</f>
        <v>United Package</v>
      </c>
      <c r="L497" t="str">
        <f>_xlfn.XLOOKUP(tbl_FACTS[[#This Row],[ProductID]],Πίνακας7[ProductID],Πίνακας7[ProductName])</f>
        <v>Mozzarella di Giovanni</v>
      </c>
      <c r="M497">
        <f>_xlfn.XLOOKUP(tbl_FACTS[[#This Row],[ProductID]],Πίνακας7[ProductID],Πίνακας7[CategoryID])</f>
        <v>4</v>
      </c>
      <c r="N497" t="str">
        <f>_xlfn.XLOOKUP(tbl_FACTS[[#This Row],[CategoryID]],Πίνακας4[CategoryID],Πίνακας4[CategoryName])</f>
        <v>Dairy Products</v>
      </c>
      <c r="O497">
        <f>_xlfn.XLOOKUP(tbl_FACTS[[#This Row],[ProductID]],Πίνακας7[ProductID],Πίνακας7[SupplierID])</f>
        <v>14</v>
      </c>
      <c r="P497" t="str">
        <f>_xlfn.XLOOKUP(tbl_FACTS[[#This Row],[SupplierID]],Πίνακας9[SupplierID],Πίνακας9[SupplierName])</f>
        <v>Formaggi Fortini s.r.l.</v>
      </c>
      <c r="Q497" s="21">
        <f>_xlfn.XLOOKUP(tbl_FACTS[[#This Row],[ProductID]],Πίνακας7[ProductID],Πίνακας7[Price])</f>
        <v>35</v>
      </c>
      <c r="R497" s="21">
        <f>tbl_FACTS[[#This Row],[Quantity]]*tbl_FACTS[[#This Row],[Price]]</f>
        <v>350</v>
      </c>
      <c r="S497" s="19">
        <f>IF(COUNTIFS(tbl_FACTS[OrderID],tbl_FACTS[[#This Row],[OrderID]],tbl_FACTS[OrderDetailID],"&lt;"&amp;tbl_FACTS[[#This Row],[OrderDetailID]])=0,1,0)</f>
        <v>0</v>
      </c>
      <c r="T497" s="19">
        <f>YEAR(tbl_FACTS[[#This Row],[OrderDate]])</f>
        <v>1997</v>
      </c>
      <c r="U497" s="22">
        <f>DATE(YEAR(tbl_FACTS[[#This Row],[OrderDate]]),MONTH(tbl_FACTS[[#This Row],[OrderDate]]),1)</f>
        <v>35462</v>
      </c>
      <c r="V497" s="22" t="str">
        <f>IF(tbl_FACTS[[#This Row],[Quantity]]&lt;=10,"0–10",IF(tbl_FACTS[[#This Row],[Quantity]]&lt;=20,"11–20",IF(tbl_FACTS[[#This Row],[Quantity]]&lt;=30,"21–30",IF(tbl_FACTS[[#This Row],[Quantity]]&lt;=40,"31–40",IF(tbl_FACTS[[#This Row],[Quantity]]&lt;=50,"41–50","51+")))))</f>
        <v>0–10</v>
      </c>
    </row>
    <row r="498" spans="1:22">
      <c r="A498">
        <v>497</v>
      </c>
      <c r="B498">
        <v>10436</v>
      </c>
      <c r="C498">
        <v>46</v>
      </c>
      <c r="D498" s="19">
        <v>5</v>
      </c>
      <c r="E498" s="20">
        <f>_xlfn.XLOOKUP(tbl_FACTS[[#This Row],[OrderID]],Πίνακας64[OrderID],Πίνακας64[OrderDate])</f>
        <v>35466</v>
      </c>
      <c r="F498">
        <f>_xlfn.XLOOKUP(tbl_FACTS[[#This Row],[OrderID]],Πίνακας64[OrderID],Πίνακας64[CustomerID])</f>
        <v>7</v>
      </c>
      <c r="G498" t="str">
        <f>_xlfn.XLOOKUP(tbl_FACTS[[#This Row],[CustomerID]],Πίνακας1[CustomerID],Πίνακας1[CustomerName])</f>
        <v>Blondel pere et fils</v>
      </c>
      <c r="H498" t="str">
        <f>_xlfn.XLOOKUP(tbl_FACTS[[#This Row],[CustomerID]],Πίνακας1[CustomerID],Πίνακας1[Country])</f>
        <v>France</v>
      </c>
      <c r="I498">
        <f>_xlfn.XLOOKUP(tbl_FACTS[[#This Row],[OrderID]],Πίνακας64[OrderID],Πίνακας64[EmployeeID])</f>
        <v>3</v>
      </c>
      <c r="J498">
        <f>_xlfn.XLOOKUP(tbl_FACTS[[#This Row],[OrderID]],Πίνακας64[OrderID],Πίνακας64[ShipperID])</f>
        <v>2</v>
      </c>
      <c r="K498" t="str">
        <f>_xlfn.XLOOKUP(tbl_FACTS[[#This Row],[ShipperID]],Πίνακας8[ShipperID],Πίνακας8[ShipperName])</f>
        <v>United Package</v>
      </c>
      <c r="L498" t="str">
        <f>_xlfn.XLOOKUP(tbl_FACTS[[#This Row],[ProductID]],Πίνακας7[ProductID],Πίνακας7[ProductName])</f>
        <v>Spegesild</v>
      </c>
      <c r="M498">
        <f>_xlfn.XLOOKUP(tbl_FACTS[[#This Row],[ProductID]],Πίνακας7[ProductID],Πίνακας7[CategoryID])</f>
        <v>8</v>
      </c>
      <c r="N498" t="str">
        <f>_xlfn.XLOOKUP(tbl_FACTS[[#This Row],[CategoryID]],Πίνακας4[CategoryID],Πίνακας4[CategoryName])</f>
        <v>Seafood</v>
      </c>
      <c r="O498">
        <f>_xlfn.XLOOKUP(tbl_FACTS[[#This Row],[ProductID]],Πίνακας7[ProductID],Πίνακας7[SupplierID])</f>
        <v>21</v>
      </c>
      <c r="P498" t="str">
        <f>_xlfn.XLOOKUP(tbl_FACTS[[#This Row],[SupplierID]],Πίνακας9[SupplierID],Πίνακας9[SupplierName])</f>
        <v>Lyngbysild</v>
      </c>
      <c r="Q498" s="21">
        <f>_xlfn.XLOOKUP(tbl_FACTS[[#This Row],[ProductID]],Πίνακας7[ProductID],Πίνακας7[Price])</f>
        <v>12</v>
      </c>
      <c r="R498" s="21">
        <f>tbl_FACTS[[#This Row],[Quantity]]*tbl_FACTS[[#This Row],[Price]]</f>
        <v>60</v>
      </c>
      <c r="S498" s="19">
        <f>IF(COUNTIFS(tbl_FACTS[OrderID],tbl_FACTS[[#This Row],[OrderID]],tbl_FACTS[OrderDetailID],"&lt;"&amp;tbl_FACTS[[#This Row],[OrderDetailID]])=0,1,0)</f>
        <v>1</v>
      </c>
      <c r="T498" s="19">
        <f>YEAR(tbl_FACTS[[#This Row],[OrderDate]])</f>
        <v>1997</v>
      </c>
      <c r="U498" s="22">
        <f>DATE(YEAR(tbl_FACTS[[#This Row],[OrderDate]]),MONTH(tbl_FACTS[[#This Row],[OrderDate]]),1)</f>
        <v>35462</v>
      </c>
      <c r="V498" s="22" t="str">
        <f>IF(tbl_FACTS[[#This Row],[Quantity]]&lt;=10,"0–10",IF(tbl_FACTS[[#This Row],[Quantity]]&lt;=20,"11–20",IF(tbl_FACTS[[#This Row],[Quantity]]&lt;=30,"21–30",IF(tbl_FACTS[[#This Row],[Quantity]]&lt;=40,"31–40",IF(tbl_FACTS[[#This Row],[Quantity]]&lt;=50,"41–50","51+")))))</f>
        <v>0–10</v>
      </c>
    </row>
    <row r="499" spans="1:22">
      <c r="A499">
        <v>498</v>
      </c>
      <c r="B499">
        <v>10436</v>
      </c>
      <c r="C499">
        <v>56</v>
      </c>
      <c r="D499" s="19">
        <v>40</v>
      </c>
      <c r="E499" s="20">
        <f>_xlfn.XLOOKUP(tbl_FACTS[[#This Row],[OrderID]],Πίνακας64[OrderID],Πίνακας64[OrderDate])</f>
        <v>35466</v>
      </c>
      <c r="F499">
        <f>_xlfn.XLOOKUP(tbl_FACTS[[#This Row],[OrderID]],Πίνακας64[OrderID],Πίνακας64[CustomerID])</f>
        <v>7</v>
      </c>
      <c r="G499" t="str">
        <f>_xlfn.XLOOKUP(tbl_FACTS[[#This Row],[CustomerID]],Πίνακας1[CustomerID],Πίνακας1[CustomerName])</f>
        <v>Blondel pere et fils</v>
      </c>
      <c r="H499" t="str">
        <f>_xlfn.XLOOKUP(tbl_FACTS[[#This Row],[CustomerID]],Πίνακας1[CustomerID],Πίνακας1[Country])</f>
        <v>France</v>
      </c>
      <c r="I499">
        <f>_xlfn.XLOOKUP(tbl_FACTS[[#This Row],[OrderID]],Πίνακας64[OrderID],Πίνακας64[EmployeeID])</f>
        <v>3</v>
      </c>
      <c r="J499">
        <f>_xlfn.XLOOKUP(tbl_FACTS[[#This Row],[OrderID]],Πίνακας64[OrderID],Πίνακας64[ShipperID])</f>
        <v>2</v>
      </c>
      <c r="K499" t="str">
        <f>_xlfn.XLOOKUP(tbl_FACTS[[#This Row],[ShipperID]],Πίνακας8[ShipperID],Πίνακας8[ShipperName])</f>
        <v>United Package</v>
      </c>
      <c r="L499" t="str">
        <f>_xlfn.XLOOKUP(tbl_FACTS[[#This Row],[ProductID]],Πίνακας7[ProductID],Πίνακας7[ProductName])</f>
        <v>Gnocchi di nonna Alice</v>
      </c>
      <c r="M499">
        <f>_xlfn.XLOOKUP(tbl_FACTS[[#This Row],[ProductID]],Πίνακας7[ProductID],Πίνακας7[CategoryID])</f>
        <v>5</v>
      </c>
      <c r="N499" t="str">
        <f>_xlfn.XLOOKUP(tbl_FACTS[[#This Row],[CategoryID]],Πίνακας4[CategoryID],Πίνακας4[CategoryName])</f>
        <v>Grains/Cereals</v>
      </c>
      <c r="O499">
        <f>_xlfn.XLOOKUP(tbl_FACTS[[#This Row],[ProductID]],Πίνακας7[ProductID],Πίνακας7[SupplierID])</f>
        <v>26</v>
      </c>
      <c r="P499" t="str">
        <f>_xlfn.XLOOKUP(tbl_FACTS[[#This Row],[SupplierID]],Πίνακας9[SupplierID],Πίνακας9[SupplierName])</f>
        <v>Pasta Buttini s.r.l.</v>
      </c>
      <c r="Q499" s="21">
        <f>_xlfn.XLOOKUP(tbl_FACTS[[#This Row],[ProductID]],Πίνακας7[ProductID],Πίνακας7[Price])</f>
        <v>38</v>
      </c>
      <c r="R499" s="21">
        <f>tbl_FACTS[[#This Row],[Quantity]]*tbl_FACTS[[#This Row],[Price]]</f>
        <v>1520</v>
      </c>
      <c r="S499" s="19">
        <f>IF(COUNTIFS(tbl_FACTS[OrderID],tbl_FACTS[[#This Row],[OrderID]],tbl_FACTS[OrderDetailID],"&lt;"&amp;tbl_FACTS[[#This Row],[OrderDetailID]])=0,1,0)</f>
        <v>0</v>
      </c>
      <c r="T499" s="19">
        <f>YEAR(tbl_FACTS[[#This Row],[OrderDate]])</f>
        <v>1997</v>
      </c>
      <c r="U499" s="22">
        <f>DATE(YEAR(tbl_FACTS[[#This Row],[OrderDate]]),MONTH(tbl_FACTS[[#This Row],[OrderDate]]),1)</f>
        <v>35462</v>
      </c>
      <c r="V499" s="22" t="str">
        <f>IF(tbl_FACTS[[#This Row],[Quantity]]&lt;=10,"0–10",IF(tbl_FACTS[[#This Row],[Quantity]]&lt;=20,"11–20",IF(tbl_FACTS[[#This Row],[Quantity]]&lt;=30,"21–30",IF(tbl_FACTS[[#This Row],[Quantity]]&lt;=40,"31–40",IF(tbl_FACTS[[#This Row],[Quantity]]&lt;=50,"41–50","51+")))))</f>
        <v>31–40</v>
      </c>
    </row>
    <row r="500" spans="1:22">
      <c r="A500">
        <v>499</v>
      </c>
      <c r="B500">
        <v>10436</v>
      </c>
      <c r="C500">
        <v>64</v>
      </c>
      <c r="D500" s="19">
        <v>30</v>
      </c>
      <c r="E500" s="20">
        <f>_xlfn.XLOOKUP(tbl_FACTS[[#This Row],[OrderID]],Πίνακας64[OrderID],Πίνακας64[OrderDate])</f>
        <v>35466</v>
      </c>
      <c r="F500">
        <f>_xlfn.XLOOKUP(tbl_FACTS[[#This Row],[OrderID]],Πίνακας64[OrderID],Πίνακας64[CustomerID])</f>
        <v>7</v>
      </c>
      <c r="G500" t="str">
        <f>_xlfn.XLOOKUP(tbl_FACTS[[#This Row],[CustomerID]],Πίνακας1[CustomerID],Πίνακας1[CustomerName])</f>
        <v>Blondel pere et fils</v>
      </c>
      <c r="H500" t="str">
        <f>_xlfn.XLOOKUP(tbl_FACTS[[#This Row],[CustomerID]],Πίνακας1[CustomerID],Πίνακας1[Country])</f>
        <v>France</v>
      </c>
      <c r="I500">
        <f>_xlfn.XLOOKUP(tbl_FACTS[[#This Row],[OrderID]],Πίνακας64[OrderID],Πίνακας64[EmployeeID])</f>
        <v>3</v>
      </c>
      <c r="J500">
        <f>_xlfn.XLOOKUP(tbl_FACTS[[#This Row],[OrderID]],Πίνακας64[OrderID],Πίνακας64[ShipperID])</f>
        <v>2</v>
      </c>
      <c r="K500" t="str">
        <f>_xlfn.XLOOKUP(tbl_FACTS[[#This Row],[ShipperID]],Πίνακας8[ShipperID],Πίνακας8[ShipperName])</f>
        <v>United Package</v>
      </c>
      <c r="L500" t="str">
        <f>_xlfn.XLOOKUP(tbl_FACTS[[#This Row],[ProductID]],Πίνακας7[ProductID],Πίνακας7[ProductName])</f>
        <v>Wimmers gute Semmelknodel</v>
      </c>
      <c r="M500">
        <f>_xlfn.XLOOKUP(tbl_FACTS[[#This Row],[ProductID]],Πίνακας7[ProductID],Πίνακας7[CategoryID])</f>
        <v>5</v>
      </c>
      <c r="N500" t="str">
        <f>_xlfn.XLOOKUP(tbl_FACTS[[#This Row],[CategoryID]],Πίνακας4[CategoryID],Πίνακας4[CategoryName])</f>
        <v>Grains/Cereals</v>
      </c>
      <c r="O500">
        <f>_xlfn.XLOOKUP(tbl_FACTS[[#This Row],[ProductID]],Πίνακας7[ProductID],Πίνακας7[SupplierID])</f>
        <v>12</v>
      </c>
      <c r="P500" t="str">
        <f>_xlfn.XLOOKUP(tbl_FACTS[[#This Row],[SupplierID]],Πίνακας9[SupplierID],Πίνακας9[SupplierName])</f>
        <v>Plutzer Lebensmittelgro├ƒmarkte AG</v>
      </c>
      <c r="Q500" s="21">
        <f>_xlfn.XLOOKUP(tbl_FACTS[[#This Row],[ProductID]],Πίνακας7[ProductID],Πίνακας7[Price])</f>
        <v>33</v>
      </c>
      <c r="R500" s="21">
        <f>tbl_FACTS[[#This Row],[Quantity]]*tbl_FACTS[[#This Row],[Price]]</f>
        <v>990</v>
      </c>
      <c r="S500" s="19">
        <f>IF(COUNTIFS(tbl_FACTS[OrderID],tbl_FACTS[[#This Row],[OrderID]],tbl_FACTS[OrderDetailID],"&lt;"&amp;tbl_FACTS[[#This Row],[OrderDetailID]])=0,1,0)</f>
        <v>0</v>
      </c>
      <c r="T500" s="19">
        <f>YEAR(tbl_FACTS[[#This Row],[OrderDate]])</f>
        <v>1997</v>
      </c>
      <c r="U500" s="22">
        <f>DATE(YEAR(tbl_FACTS[[#This Row],[OrderDate]]),MONTH(tbl_FACTS[[#This Row],[OrderDate]]),1)</f>
        <v>35462</v>
      </c>
      <c r="V500" s="22" t="str">
        <f>IF(tbl_FACTS[[#This Row],[Quantity]]&lt;=10,"0–10",IF(tbl_FACTS[[#This Row],[Quantity]]&lt;=20,"11–20",IF(tbl_FACTS[[#This Row],[Quantity]]&lt;=30,"21–30",IF(tbl_FACTS[[#This Row],[Quantity]]&lt;=40,"31–40",IF(tbl_FACTS[[#This Row],[Quantity]]&lt;=50,"41–50","51+")))))</f>
        <v>21–30</v>
      </c>
    </row>
    <row r="501" spans="1:22">
      <c r="A501">
        <v>500</v>
      </c>
      <c r="B501">
        <v>10436</v>
      </c>
      <c r="C501">
        <v>75</v>
      </c>
      <c r="D501" s="19">
        <v>24</v>
      </c>
      <c r="E501" s="20">
        <f>_xlfn.XLOOKUP(tbl_FACTS[[#This Row],[OrderID]],Πίνακας64[OrderID],Πίνακας64[OrderDate])</f>
        <v>35466</v>
      </c>
      <c r="F501">
        <f>_xlfn.XLOOKUP(tbl_FACTS[[#This Row],[OrderID]],Πίνακας64[OrderID],Πίνακας64[CustomerID])</f>
        <v>7</v>
      </c>
      <c r="G501" t="str">
        <f>_xlfn.XLOOKUP(tbl_FACTS[[#This Row],[CustomerID]],Πίνακας1[CustomerID],Πίνακας1[CustomerName])</f>
        <v>Blondel pere et fils</v>
      </c>
      <c r="H501" t="str">
        <f>_xlfn.XLOOKUP(tbl_FACTS[[#This Row],[CustomerID]],Πίνακας1[CustomerID],Πίνακας1[Country])</f>
        <v>France</v>
      </c>
      <c r="I501">
        <f>_xlfn.XLOOKUP(tbl_FACTS[[#This Row],[OrderID]],Πίνακας64[OrderID],Πίνακας64[EmployeeID])</f>
        <v>3</v>
      </c>
      <c r="J501">
        <f>_xlfn.XLOOKUP(tbl_FACTS[[#This Row],[OrderID]],Πίνακας64[OrderID],Πίνακας64[ShipperID])</f>
        <v>2</v>
      </c>
      <c r="K501" t="str">
        <f>_xlfn.XLOOKUP(tbl_FACTS[[#This Row],[ShipperID]],Πίνακας8[ShipperID],Πίνακας8[ShipperName])</f>
        <v>United Package</v>
      </c>
      <c r="L501" t="str">
        <f>_xlfn.XLOOKUP(tbl_FACTS[[#This Row],[ProductID]],Πίνακας7[ProductID],Πίνακας7[ProductName])</f>
        <v>Rhonbrau Klosterbier</v>
      </c>
      <c r="M501">
        <f>_xlfn.XLOOKUP(tbl_FACTS[[#This Row],[ProductID]],Πίνακας7[ProductID],Πίνακας7[CategoryID])</f>
        <v>1</v>
      </c>
      <c r="N501" t="str">
        <f>_xlfn.XLOOKUP(tbl_FACTS[[#This Row],[CategoryID]],Πίνακας4[CategoryID],Πίνακας4[CategoryName])</f>
        <v>Beverages</v>
      </c>
      <c r="O501">
        <f>_xlfn.XLOOKUP(tbl_FACTS[[#This Row],[ProductID]],Πίνακας7[ProductID],Πίνακας7[SupplierID])</f>
        <v>12</v>
      </c>
      <c r="P501" t="str">
        <f>_xlfn.XLOOKUP(tbl_FACTS[[#This Row],[SupplierID]],Πίνακας9[SupplierID],Πίνακας9[SupplierName])</f>
        <v>Plutzer Lebensmittelgro├ƒmarkte AG</v>
      </c>
      <c r="Q501" s="21">
        <f>_xlfn.XLOOKUP(tbl_FACTS[[#This Row],[ProductID]],Πίνακας7[ProductID],Πίνακας7[Price])</f>
        <v>8</v>
      </c>
      <c r="R501" s="21">
        <f>tbl_FACTS[[#This Row],[Quantity]]*tbl_FACTS[[#This Row],[Price]]</f>
        <v>192</v>
      </c>
      <c r="S501" s="19">
        <f>IF(COUNTIFS(tbl_FACTS[OrderID],tbl_FACTS[[#This Row],[OrderID]],tbl_FACTS[OrderDetailID],"&lt;"&amp;tbl_FACTS[[#This Row],[OrderDetailID]])=0,1,0)</f>
        <v>0</v>
      </c>
      <c r="T501" s="19">
        <f>YEAR(tbl_FACTS[[#This Row],[OrderDate]])</f>
        <v>1997</v>
      </c>
      <c r="U501" s="22">
        <f>DATE(YEAR(tbl_FACTS[[#This Row],[OrderDate]]),MONTH(tbl_FACTS[[#This Row],[OrderDate]]),1)</f>
        <v>35462</v>
      </c>
      <c r="V501" s="22" t="str">
        <f>IF(tbl_FACTS[[#This Row],[Quantity]]&lt;=10,"0–10",IF(tbl_FACTS[[#This Row],[Quantity]]&lt;=20,"11–20",IF(tbl_FACTS[[#This Row],[Quantity]]&lt;=30,"21–30",IF(tbl_FACTS[[#This Row],[Quantity]]&lt;=40,"31–40",IF(tbl_FACTS[[#This Row],[Quantity]]&lt;=50,"41–50","51+")))))</f>
        <v>21–30</v>
      </c>
    </row>
    <row r="502" spans="1:22">
      <c r="A502">
        <v>501</v>
      </c>
      <c r="B502">
        <v>10437</v>
      </c>
      <c r="C502">
        <v>53</v>
      </c>
      <c r="D502" s="19">
        <v>15</v>
      </c>
      <c r="E502" s="20">
        <f>_xlfn.XLOOKUP(tbl_FACTS[[#This Row],[OrderID]],Πίνακας64[OrderID],Πίνακας64[OrderDate])</f>
        <v>35466</v>
      </c>
      <c r="F502">
        <f>_xlfn.XLOOKUP(tbl_FACTS[[#This Row],[OrderID]],Πίνακας64[OrderID],Πίνακας64[CustomerID])</f>
        <v>87</v>
      </c>
      <c r="G502" t="str">
        <f>_xlfn.XLOOKUP(tbl_FACTS[[#This Row],[CustomerID]],Πίνακας1[CustomerID],Πίνακας1[CustomerName])</f>
        <v>Wartian Herkku</v>
      </c>
      <c r="H502" t="str">
        <f>_xlfn.XLOOKUP(tbl_FACTS[[#This Row],[CustomerID]],Πίνακας1[CustomerID],Πίνακας1[Country])</f>
        <v>Finland</v>
      </c>
      <c r="I502">
        <f>_xlfn.XLOOKUP(tbl_FACTS[[#This Row],[OrderID]],Πίνακας64[OrderID],Πίνακας64[EmployeeID])</f>
        <v>8</v>
      </c>
      <c r="J502">
        <f>_xlfn.XLOOKUP(tbl_FACTS[[#This Row],[OrderID]],Πίνακας64[OrderID],Πίνακας64[ShipperID])</f>
        <v>1</v>
      </c>
      <c r="K502" t="str">
        <f>_xlfn.XLOOKUP(tbl_FACTS[[#This Row],[ShipperID]],Πίνακας8[ShipperID],Πίνακας8[ShipperName])</f>
        <v>Speedy Express</v>
      </c>
      <c r="L502" t="str">
        <f>_xlfn.XLOOKUP(tbl_FACTS[[#This Row],[ProductID]],Πίνακας7[ProductID],Πίνακας7[ProductName])</f>
        <v>Perth Pasties</v>
      </c>
      <c r="M502">
        <f>_xlfn.XLOOKUP(tbl_FACTS[[#This Row],[ProductID]],Πίνακας7[ProductID],Πίνακας7[CategoryID])</f>
        <v>6</v>
      </c>
      <c r="N502" t="str">
        <f>_xlfn.XLOOKUP(tbl_FACTS[[#This Row],[CategoryID]],Πίνακας4[CategoryID],Πίνακας4[CategoryName])</f>
        <v>Meat/Poultry</v>
      </c>
      <c r="O502">
        <f>_xlfn.XLOOKUP(tbl_FACTS[[#This Row],[ProductID]],Πίνακας7[ProductID],Πίνακας7[SupplierID])</f>
        <v>24</v>
      </c>
      <c r="P502" t="str">
        <f>_xlfn.XLOOKUP(tbl_FACTS[[#This Row],[SupplierID]],Πίνακας9[SupplierID],Πίνακας9[SupplierName])</f>
        <v>G'day, Mate</v>
      </c>
      <c r="Q502" s="21">
        <f>_xlfn.XLOOKUP(tbl_FACTS[[#This Row],[ProductID]],Πίνακας7[ProductID],Πίνακας7[Price])</f>
        <v>33</v>
      </c>
      <c r="R502" s="21">
        <f>tbl_FACTS[[#This Row],[Quantity]]*tbl_FACTS[[#This Row],[Price]]</f>
        <v>495</v>
      </c>
      <c r="S502" s="19">
        <f>IF(COUNTIFS(tbl_FACTS[OrderID],tbl_FACTS[[#This Row],[OrderID]],tbl_FACTS[OrderDetailID],"&lt;"&amp;tbl_FACTS[[#This Row],[OrderDetailID]])=0,1,0)</f>
        <v>1</v>
      </c>
      <c r="T502" s="19">
        <f>YEAR(tbl_FACTS[[#This Row],[OrderDate]])</f>
        <v>1997</v>
      </c>
      <c r="U502" s="22">
        <f>DATE(YEAR(tbl_FACTS[[#This Row],[OrderDate]]),MONTH(tbl_FACTS[[#This Row],[OrderDate]]),1)</f>
        <v>35462</v>
      </c>
      <c r="V502" s="22" t="str">
        <f>IF(tbl_FACTS[[#This Row],[Quantity]]&lt;=10,"0–10",IF(tbl_FACTS[[#This Row],[Quantity]]&lt;=20,"11–20",IF(tbl_FACTS[[#This Row],[Quantity]]&lt;=30,"21–30",IF(tbl_FACTS[[#This Row],[Quantity]]&lt;=40,"31–40",IF(tbl_FACTS[[#This Row],[Quantity]]&lt;=50,"41–50","51+")))))</f>
        <v>11–20</v>
      </c>
    </row>
    <row r="503" spans="1:22">
      <c r="A503">
        <v>502</v>
      </c>
      <c r="B503">
        <v>10438</v>
      </c>
      <c r="C503">
        <v>19</v>
      </c>
      <c r="D503" s="19">
        <v>15</v>
      </c>
      <c r="E503" s="20">
        <f>_xlfn.XLOOKUP(tbl_FACTS[[#This Row],[OrderID]],Πίνακας64[OrderID],Πίνακας64[OrderDate])</f>
        <v>35467</v>
      </c>
      <c r="F503">
        <f>_xlfn.XLOOKUP(tbl_FACTS[[#This Row],[OrderID]],Πίνακας64[OrderID],Πίνακας64[CustomerID])</f>
        <v>79</v>
      </c>
      <c r="G503" t="str">
        <f>_xlfn.XLOOKUP(tbl_FACTS[[#This Row],[CustomerID]],Πίνακας1[CustomerID],Πίνακας1[CustomerName])</f>
        <v>Toms Spezialitaten</v>
      </c>
      <c r="H503" t="str">
        <f>_xlfn.XLOOKUP(tbl_FACTS[[#This Row],[CustomerID]],Πίνακας1[CustomerID],Πίνακας1[Country])</f>
        <v>Germany</v>
      </c>
      <c r="I503">
        <f>_xlfn.XLOOKUP(tbl_FACTS[[#This Row],[OrderID]],Πίνακας64[OrderID],Πίνακας64[EmployeeID])</f>
        <v>3</v>
      </c>
      <c r="J503">
        <f>_xlfn.XLOOKUP(tbl_FACTS[[#This Row],[OrderID]],Πίνακας64[OrderID],Πίνακας64[ShipperID])</f>
        <v>2</v>
      </c>
      <c r="K503" t="str">
        <f>_xlfn.XLOOKUP(tbl_FACTS[[#This Row],[ShipperID]],Πίνακας8[ShipperID],Πίνακας8[ShipperName])</f>
        <v>United Package</v>
      </c>
      <c r="L503" t="str">
        <f>_xlfn.XLOOKUP(tbl_FACTS[[#This Row],[ProductID]],Πίνακας7[ProductID],Πίνακας7[ProductName])</f>
        <v>Teatime Chocolate Biscuits</v>
      </c>
      <c r="M503">
        <f>_xlfn.XLOOKUP(tbl_FACTS[[#This Row],[ProductID]],Πίνακας7[ProductID],Πίνακας7[CategoryID])</f>
        <v>3</v>
      </c>
      <c r="N503" t="str">
        <f>_xlfn.XLOOKUP(tbl_FACTS[[#This Row],[CategoryID]],Πίνακας4[CategoryID],Πίνακας4[CategoryName])</f>
        <v>Confections</v>
      </c>
      <c r="O503">
        <f>_xlfn.XLOOKUP(tbl_FACTS[[#This Row],[ProductID]],Πίνακας7[ProductID],Πίνακας7[SupplierID])</f>
        <v>8</v>
      </c>
      <c r="P503" t="str">
        <f>_xlfn.XLOOKUP(tbl_FACTS[[#This Row],[SupplierID]],Πίνακας9[SupplierID],Πίνακας9[SupplierName])</f>
        <v>Specialty Biscuits, Ltd.</v>
      </c>
      <c r="Q503" s="21">
        <f>_xlfn.XLOOKUP(tbl_FACTS[[#This Row],[ProductID]],Πίνακας7[ProductID],Πίνακας7[Price])</f>
        <v>9</v>
      </c>
      <c r="R503" s="21">
        <f>tbl_FACTS[[#This Row],[Quantity]]*tbl_FACTS[[#This Row],[Price]]</f>
        <v>135</v>
      </c>
      <c r="S503" s="19">
        <f>IF(COUNTIFS(tbl_FACTS[OrderID],tbl_FACTS[[#This Row],[OrderID]],tbl_FACTS[OrderDetailID],"&lt;"&amp;tbl_FACTS[[#This Row],[OrderDetailID]])=0,1,0)</f>
        <v>1</v>
      </c>
      <c r="T503" s="19">
        <f>YEAR(tbl_FACTS[[#This Row],[OrderDate]])</f>
        <v>1997</v>
      </c>
      <c r="U503" s="22">
        <f>DATE(YEAR(tbl_FACTS[[#This Row],[OrderDate]]),MONTH(tbl_FACTS[[#This Row],[OrderDate]]),1)</f>
        <v>35462</v>
      </c>
      <c r="V503" s="22" t="str">
        <f>IF(tbl_FACTS[[#This Row],[Quantity]]&lt;=10,"0–10",IF(tbl_FACTS[[#This Row],[Quantity]]&lt;=20,"11–20",IF(tbl_FACTS[[#This Row],[Quantity]]&lt;=30,"21–30",IF(tbl_FACTS[[#This Row],[Quantity]]&lt;=40,"31–40",IF(tbl_FACTS[[#This Row],[Quantity]]&lt;=50,"41–50","51+")))))</f>
        <v>11–20</v>
      </c>
    </row>
    <row r="504" spans="1:22">
      <c r="A504">
        <v>503</v>
      </c>
      <c r="B504">
        <v>10438</v>
      </c>
      <c r="C504">
        <v>34</v>
      </c>
      <c r="D504" s="19">
        <v>20</v>
      </c>
      <c r="E504" s="20">
        <f>_xlfn.XLOOKUP(tbl_FACTS[[#This Row],[OrderID]],Πίνακας64[OrderID],Πίνακας64[OrderDate])</f>
        <v>35467</v>
      </c>
      <c r="F504">
        <f>_xlfn.XLOOKUP(tbl_FACTS[[#This Row],[OrderID]],Πίνακας64[OrderID],Πίνακας64[CustomerID])</f>
        <v>79</v>
      </c>
      <c r="G504" t="str">
        <f>_xlfn.XLOOKUP(tbl_FACTS[[#This Row],[CustomerID]],Πίνακας1[CustomerID],Πίνακας1[CustomerName])</f>
        <v>Toms Spezialitaten</v>
      </c>
      <c r="H504" t="str">
        <f>_xlfn.XLOOKUP(tbl_FACTS[[#This Row],[CustomerID]],Πίνακας1[CustomerID],Πίνακας1[Country])</f>
        <v>Germany</v>
      </c>
      <c r="I504">
        <f>_xlfn.XLOOKUP(tbl_FACTS[[#This Row],[OrderID]],Πίνακας64[OrderID],Πίνακας64[EmployeeID])</f>
        <v>3</v>
      </c>
      <c r="J504">
        <f>_xlfn.XLOOKUP(tbl_FACTS[[#This Row],[OrderID]],Πίνακας64[OrderID],Πίνακας64[ShipperID])</f>
        <v>2</v>
      </c>
      <c r="K504" t="str">
        <f>_xlfn.XLOOKUP(tbl_FACTS[[#This Row],[ShipperID]],Πίνακας8[ShipperID],Πίνακας8[ShipperName])</f>
        <v>United Package</v>
      </c>
      <c r="L504" t="str">
        <f>_xlfn.XLOOKUP(tbl_FACTS[[#This Row],[ProductID]],Πίνακας7[ProductID],Πίνακας7[ProductName])</f>
        <v>Sasquatch Ale</v>
      </c>
      <c r="M504">
        <f>_xlfn.XLOOKUP(tbl_FACTS[[#This Row],[ProductID]],Πίνακας7[ProductID],Πίνακας7[CategoryID])</f>
        <v>1</v>
      </c>
      <c r="N504" t="str">
        <f>_xlfn.XLOOKUP(tbl_FACTS[[#This Row],[CategoryID]],Πίνακας4[CategoryID],Πίνακας4[CategoryName])</f>
        <v>Beverages</v>
      </c>
      <c r="O504">
        <f>_xlfn.XLOOKUP(tbl_FACTS[[#This Row],[ProductID]],Πίνακας7[ProductID],Πίνακας7[SupplierID])</f>
        <v>16</v>
      </c>
      <c r="P504" t="str">
        <f>_xlfn.XLOOKUP(tbl_FACTS[[#This Row],[SupplierID]],Πίνακας9[SupplierID],Πίνακας9[SupplierName])</f>
        <v>Bigfoot Breweries</v>
      </c>
      <c r="Q504" s="21">
        <f>_xlfn.XLOOKUP(tbl_FACTS[[#This Row],[ProductID]],Πίνακας7[ProductID],Πίνακας7[Price])</f>
        <v>14</v>
      </c>
      <c r="R504" s="21">
        <f>tbl_FACTS[[#This Row],[Quantity]]*tbl_FACTS[[#This Row],[Price]]</f>
        <v>280</v>
      </c>
      <c r="S504" s="19">
        <f>IF(COUNTIFS(tbl_FACTS[OrderID],tbl_FACTS[[#This Row],[OrderID]],tbl_FACTS[OrderDetailID],"&lt;"&amp;tbl_FACTS[[#This Row],[OrderDetailID]])=0,1,0)</f>
        <v>0</v>
      </c>
      <c r="T504" s="19">
        <f>YEAR(tbl_FACTS[[#This Row],[OrderDate]])</f>
        <v>1997</v>
      </c>
      <c r="U504" s="22">
        <f>DATE(YEAR(tbl_FACTS[[#This Row],[OrderDate]]),MONTH(tbl_FACTS[[#This Row],[OrderDate]]),1)</f>
        <v>35462</v>
      </c>
      <c r="V504" s="22" t="str">
        <f>IF(tbl_FACTS[[#This Row],[Quantity]]&lt;=10,"0–10",IF(tbl_FACTS[[#This Row],[Quantity]]&lt;=20,"11–20",IF(tbl_FACTS[[#This Row],[Quantity]]&lt;=30,"21–30",IF(tbl_FACTS[[#This Row],[Quantity]]&lt;=40,"31–40",IF(tbl_FACTS[[#This Row],[Quantity]]&lt;=50,"41–50","51+")))))</f>
        <v>11–20</v>
      </c>
    </row>
    <row r="505" spans="1:22">
      <c r="A505">
        <v>504</v>
      </c>
      <c r="B505">
        <v>10438</v>
      </c>
      <c r="C505">
        <v>57</v>
      </c>
      <c r="D505" s="19">
        <v>15</v>
      </c>
      <c r="E505" s="20">
        <f>_xlfn.XLOOKUP(tbl_FACTS[[#This Row],[OrderID]],Πίνακας64[OrderID],Πίνακας64[OrderDate])</f>
        <v>35467</v>
      </c>
      <c r="F505">
        <f>_xlfn.XLOOKUP(tbl_FACTS[[#This Row],[OrderID]],Πίνακας64[OrderID],Πίνακας64[CustomerID])</f>
        <v>79</v>
      </c>
      <c r="G505" t="str">
        <f>_xlfn.XLOOKUP(tbl_FACTS[[#This Row],[CustomerID]],Πίνακας1[CustomerID],Πίνακας1[CustomerName])</f>
        <v>Toms Spezialitaten</v>
      </c>
      <c r="H505" t="str">
        <f>_xlfn.XLOOKUP(tbl_FACTS[[#This Row],[CustomerID]],Πίνακας1[CustomerID],Πίνακας1[Country])</f>
        <v>Germany</v>
      </c>
      <c r="I505">
        <f>_xlfn.XLOOKUP(tbl_FACTS[[#This Row],[OrderID]],Πίνακας64[OrderID],Πίνακας64[EmployeeID])</f>
        <v>3</v>
      </c>
      <c r="J505">
        <f>_xlfn.XLOOKUP(tbl_FACTS[[#This Row],[OrderID]],Πίνακας64[OrderID],Πίνακας64[ShipperID])</f>
        <v>2</v>
      </c>
      <c r="K505" t="str">
        <f>_xlfn.XLOOKUP(tbl_FACTS[[#This Row],[ShipperID]],Πίνακας8[ShipperID],Πίνακας8[ShipperName])</f>
        <v>United Package</v>
      </c>
      <c r="L505" t="str">
        <f>_xlfn.XLOOKUP(tbl_FACTS[[#This Row],[ProductID]],Πίνακας7[ProductID],Πίνακας7[ProductName])</f>
        <v>Ravioli Angelo</v>
      </c>
      <c r="M505">
        <f>_xlfn.XLOOKUP(tbl_FACTS[[#This Row],[ProductID]],Πίνακας7[ProductID],Πίνακας7[CategoryID])</f>
        <v>5</v>
      </c>
      <c r="N505" t="str">
        <f>_xlfn.XLOOKUP(tbl_FACTS[[#This Row],[CategoryID]],Πίνακας4[CategoryID],Πίνακας4[CategoryName])</f>
        <v>Grains/Cereals</v>
      </c>
      <c r="O505">
        <f>_xlfn.XLOOKUP(tbl_FACTS[[#This Row],[ProductID]],Πίνακας7[ProductID],Πίνακας7[SupplierID])</f>
        <v>26</v>
      </c>
      <c r="P505" t="str">
        <f>_xlfn.XLOOKUP(tbl_FACTS[[#This Row],[SupplierID]],Πίνακας9[SupplierID],Πίνακας9[SupplierName])</f>
        <v>Pasta Buttini s.r.l.</v>
      </c>
      <c r="Q505" s="21">
        <f>_xlfn.XLOOKUP(tbl_FACTS[[#This Row],[ProductID]],Πίνακας7[ProductID],Πίνακας7[Price])</f>
        <v>20</v>
      </c>
      <c r="R505" s="21">
        <f>tbl_FACTS[[#This Row],[Quantity]]*tbl_FACTS[[#This Row],[Price]]</f>
        <v>300</v>
      </c>
      <c r="S505" s="19">
        <f>IF(COUNTIFS(tbl_FACTS[OrderID],tbl_FACTS[[#This Row],[OrderID]],tbl_FACTS[OrderDetailID],"&lt;"&amp;tbl_FACTS[[#This Row],[OrderDetailID]])=0,1,0)</f>
        <v>0</v>
      </c>
      <c r="T505" s="19">
        <f>YEAR(tbl_FACTS[[#This Row],[OrderDate]])</f>
        <v>1997</v>
      </c>
      <c r="U505" s="22">
        <f>DATE(YEAR(tbl_FACTS[[#This Row],[OrderDate]]),MONTH(tbl_FACTS[[#This Row],[OrderDate]]),1)</f>
        <v>35462</v>
      </c>
      <c r="V505" s="22" t="str">
        <f>IF(tbl_FACTS[[#This Row],[Quantity]]&lt;=10,"0–10",IF(tbl_FACTS[[#This Row],[Quantity]]&lt;=20,"11–20",IF(tbl_FACTS[[#This Row],[Quantity]]&lt;=30,"21–30",IF(tbl_FACTS[[#This Row],[Quantity]]&lt;=40,"31–40",IF(tbl_FACTS[[#This Row],[Quantity]]&lt;=50,"41–50","51+")))))</f>
        <v>11–20</v>
      </c>
    </row>
    <row r="506" spans="1:22">
      <c r="A506">
        <v>505</v>
      </c>
      <c r="B506">
        <v>10439</v>
      </c>
      <c r="C506">
        <v>12</v>
      </c>
      <c r="D506" s="19">
        <v>15</v>
      </c>
      <c r="E506" s="20">
        <f>_xlfn.XLOOKUP(tbl_FACTS[[#This Row],[OrderID]],Πίνακας64[OrderID],Πίνακας64[OrderDate])</f>
        <v>35468</v>
      </c>
      <c r="F506">
        <f>_xlfn.XLOOKUP(tbl_FACTS[[#This Row],[OrderID]],Πίνακας64[OrderID],Πίνακας64[CustomerID])</f>
        <v>51</v>
      </c>
      <c r="G506" t="str">
        <f>_xlfn.XLOOKUP(tbl_FACTS[[#This Row],[CustomerID]],Πίνακας1[CustomerID],Πίνακας1[CustomerName])</f>
        <v>Mere Paillarde</v>
      </c>
      <c r="H506" t="str">
        <f>_xlfn.XLOOKUP(tbl_FACTS[[#This Row],[CustomerID]],Πίνακας1[CustomerID],Πίνακας1[Country])</f>
        <v>Canada</v>
      </c>
      <c r="I506">
        <f>_xlfn.XLOOKUP(tbl_FACTS[[#This Row],[OrderID]],Πίνακας64[OrderID],Πίνακας64[EmployeeID])</f>
        <v>6</v>
      </c>
      <c r="J506">
        <f>_xlfn.XLOOKUP(tbl_FACTS[[#This Row],[OrderID]],Πίνακας64[OrderID],Πίνακας64[ShipperID])</f>
        <v>3</v>
      </c>
      <c r="K506" t="str">
        <f>_xlfn.XLOOKUP(tbl_FACTS[[#This Row],[ShipperID]],Πίνακας8[ShipperID],Πίνακας8[ShipperName])</f>
        <v>Federal Shipping</v>
      </c>
      <c r="L506" t="str">
        <f>_xlfn.XLOOKUP(tbl_FACTS[[#This Row],[ProductID]],Πίνακας7[ProductID],Πίνακας7[ProductName])</f>
        <v>Queso Manchego La Pastora</v>
      </c>
      <c r="M506">
        <f>_xlfn.XLOOKUP(tbl_FACTS[[#This Row],[ProductID]],Πίνακας7[ProductID],Πίνακας7[CategoryID])</f>
        <v>4</v>
      </c>
      <c r="N506" t="str">
        <f>_xlfn.XLOOKUP(tbl_FACTS[[#This Row],[CategoryID]],Πίνακας4[CategoryID],Πίνακας4[CategoryName])</f>
        <v>Dairy Products</v>
      </c>
      <c r="O506">
        <f>_xlfn.XLOOKUP(tbl_FACTS[[#This Row],[ProductID]],Πίνακας7[ProductID],Πίνακας7[SupplierID])</f>
        <v>5</v>
      </c>
      <c r="P506" t="str">
        <f>_xlfn.XLOOKUP(tbl_FACTS[[#This Row],[SupplierID]],Πίνακας9[SupplierID],Πίνακας9[SupplierName])</f>
        <v>Cooperativa de Quesos 'Las Cabras'</v>
      </c>
      <c r="Q506" s="21">
        <f>_xlfn.XLOOKUP(tbl_FACTS[[#This Row],[ProductID]],Πίνακας7[ProductID],Πίνακας7[Price])</f>
        <v>38</v>
      </c>
      <c r="R506" s="21">
        <f>tbl_FACTS[[#This Row],[Quantity]]*tbl_FACTS[[#This Row],[Price]]</f>
        <v>570</v>
      </c>
      <c r="S506" s="19">
        <f>IF(COUNTIFS(tbl_FACTS[OrderID],tbl_FACTS[[#This Row],[OrderID]],tbl_FACTS[OrderDetailID],"&lt;"&amp;tbl_FACTS[[#This Row],[OrderDetailID]])=0,1,0)</f>
        <v>1</v>
      </c>
      <c r="T506" s="19">
        <f>YEAR(tbl_FACTS[[#This Row],[OrderDate]])</f>
        <v>1997</v>
      </c>
      <c r="U506" s="22">
        <f>DATE(YEAR(tbl_FACTS[[#This Row],[OrderDate]]),MONTH(tbl_FACTS[[#This Row],[OrderDate]]),1)</f>
        <v>35462</v>
      </c>
      <c r="V506" s="22" t="str">
        <f>IF(tbl_FACTS[[#This Row],[Quantity]]&lt;=10,"0–10",IF(tbl_FACTS[[#This Row],[Quantity]]&lt;=20,"11–20",IF(tbl_FACTS[[#This Row],[Quantity]]&lt;=30,"21–30",IF(tbl_FACTS[[#This Row],[Quantity]]&lt;=40,"31–40",IF(tbl_FACTS[[#This Row],[Quantity]]&lt;=50,"41–50","51+")))))</f>
        <v>11–20</v>
      </c>
    </row>
    <row r="507" spans="1:22">
      <c r="A507">
        <v>506</v>
      </c>
      <c r="B507">
        <v>10439</v>
      </c>
      <c r="C507">
        <v>16</v>
      </c>
      <c r="D507" s="19">
        <v>16</v>
      </c>
      <c r="E507" s="20">
        <f>_xlfn.XLOOKUP(tbl_FACTS[[#This Row],[OrderID]],Πίνακας64[OrderID],Πίνακας64[OrderDate])</f>
        <v>35468</v>
      </c>
      <c r="F507">
        <f>_xlfn.XLOOKUP(tbl_FACTS[[#This Row],[OrderID]],Πίνακας64[OrderID],Πίνακας64[CustomerID])</f>
        <v>51</v>
      </c>
      <c r="G507" t="str">
        <f>_xlfn.XLOOKUP(tbl_FACTS[[#This Row],[CustomerID]],Πίνακας1[CustomerID],Πίνακας1[CustomerName])</f>
        <v>Mere Paillarde</v>
      </c>
      <c r="H507" t="str">
        <f>_xlfn.XLOOKUP(tbl_FACTS[[#This Row],[CustomerID]],Πίνακας1[CustomerID],Πίνακας1[Country])</f>
        <v>Canada</v>
      </c>
      <c r="I507">
        <f>_xlfn.XLOOKUP(tbl_FACTS[[#This Row],[OrderID]],Πίνακας64[OrderID],Πίνακας64[EmployeeID])</f>
        <v>6</v>
      </c>
      <c r="J507">
        <f>_xlfn.XLOOKUP(tbl_FACTS[[#This Row],[OrderID]],Πίνακας64[OrderID],Πίνακας64[ShipperID])</f>
        <v>3</v>
      </c>
      <c r="K507" t="str">
        <f>_xlfn.XLOOKUP(tbl_FACTS[[#This Row],[ShipperID]],Πίνακας8[ShipperID],Πίνακας8[ShipperName])</f>
        <v>Federal Shipping</v>
      </c>
      <c r="L507" t="str">
        <f>_xlfn.XLOOKUP(tbl_FACTS[[#This Row],[ProductID]],Πίνακας7[ProductID],Πίνακας7[ProductName])</f>
        <v>Pavlova</v>
      </c>
      <c r="M507">
        <f>_xlfn.XLOOKUP(tbl_FACTS[[#This Row],[ProductID]],Πίνακας7[ProductID],Πίνακας7[CategoryID])</f>
        <v>3</v>
      </c>
      <c r="N507" t="str">
        <f>_xlfn.XLOOKUP(tbl_FACTS[[#This Row],[CategoryID]],Πίνακας4[CategoryID],Πίνακας4[CategoryName])</f>
        <v>Confections</v>
      </c>
      <c r="O507">
        <f>_xlfn.XLOOKUP(tbl_FACTS[[#This Row],[ProductID]],Πίνακας7[ProductID],Πίνακας7[SupplierID])</f>
        <v>7</v>
      </c>
      <c r="P507" t="str">
        <f>_xlfn.XLOOKUP(tbl_FACTS[[#This Row],[SupplierID]],Πίνακας9[SupplierID],Πίνακας9[SupplierName])</f>
        <v>Pavlova, Ltd.</v>
      </c>
      <c r="Q507" s="21">
        <f>_xlfn.XLOOKUP(tbl_FACTS[[#This Row],[ProductID]],Πίνακας7[ProductID],Πίνακας7[Price])</f>
        <v>17</v>
      </c>
      <c r="R507" s="21">
        <f>tbl_FACTS[[#This Row],[Quantity]]*tbl_FACTS[[#This Row],[Price]]</f>
        <v>272</v>
      </c>
      <c r="S507" s="19">
        <f>IF(COUNTIFS(tbl_FACTS[OrderID],tbl_FACTS[[#This Row],[OrderID]],tbl_FACTS[OrderDetailID],"&lt;"&amp;tbl_FACTS[[#This Row],[OrderDetailID]])=0,1,0)</f>
        <v>0</v>
      </c>
      <c r="T507" s="19">
        <f>YEAR(tbl_FACTS[[#This Row],[OrderDate]])</f>
        <v>1997</v>
      </c>
      <c r="U507" s="22">
        <f>DATE(YEAR(tbl_FACTS[[#This Row],[OrderDate]]),MONTH(tbl_FACTS[[#This Row],[OrderDate]]),1)</f>
        <v>35462</v>
      </c>
      <c r="V507" s="22" t="str">
        <f>IF(tbl_FACTS[[#This Row],[Quantity]]&lt;=10,"0–10",IF(tbl_FACTS[[#This Row],[Quantity]]&lt;=20,"11–20",IF(tbl_FACTS[[#This Row],[Quantity]]&lt;=30,"21–30",IF(tbl_FACTS[[#This Row],[Quantity]]&lt;=40,"31–40",IF(tbl_FACTS[[#This Row],[Quantity]]&lt;=50,"41–50","51+")))))</f>
        <v>11–20</v>
      </c>
    </row>
    <row r="508" spans="1:22">
      <c r="A508">
        <v>507</v>
      </c>
      <c r="B508">
        <v>10439</v>
      </c>
      <c r="C508">
        <v>64</v>
      </c>
      <c r="D508" s="19">
        <v>6</v>
      </c>
      <c r="E508" s="20">
        <f>_xlfn.XLOOKUP(tbl_FACTS[[#This Row],[OrderID]],Πίνακας64[OrderID],Πίνακας64[OrderDate])</f>
        <v>35468</v>
      </c>
      <c r="F508">
        <f>_xlfn.XLOOKUP(tbl_FACTS[[#This Row],[OrderID]],Πίνακας64[OrderID],Πίνακας64[CustomerID])</f>
        <v>51</v>
      </c>
      <c r="G508" t="str">
        <f>_xlfn.XLOOKUP(tbl_FACTS[[#This Row],[CustomerID]],Πίνακας1[CustomerID],Πίνακας1[CustomerName])</f>
        <v>Mere Paillarde</v>
      </c>
      <c r="H508" t="str">
        <f>_xlfn.XLOOKUP(tbl_FACTS[[#This Row],[CustomerID]],Πίνακας1[CustomerID],Πίνακας1[Country])</f>
        <v>Canada</v>
      </c>
      <c r="I508">
        <f>_xlfn.XLOOKUP(tbl_FACTS[[#This Row],[OrderID]],Πίνακας64[OrderID],Πίνακας64[EmployeeID])</f>
        <v>6</v>
      </c>
      <c r="J508">
        <f>_xlfn.XLOOKUP(tbl_FACTS[[#This Row],[OrderID]],Πίνακας64[OrderID],Πίνακας64[ShipperID])</f>
        <v>3</v>
      </c>
      <c r="K508" t="str">
        <f>_xlfn.XLOOKUP(tbl_FACTS[[#This Row],[ShipperID]],Πίνακας8[ShipperID],Πίνακας8[ShipperName])</f>
        <v>Federal Shipping</v>
      </c>
      <c r="L508" t="str">
        <f>_xlfn.XLOOKUP(tbl_FACTS[[#This Row],[ProductID]],Πίνακας7[ProductID],Πίνακας7[ProductName])</f>
        <v>Wimmers gute Semmelknodel</v>
      </c>
      <c r="M508">
        <f>_xlfn.XLOOKUP(tbl_FACTS[[#This Row],[ProductID]],Πίνακας7[ProductID],Πίνακας7[CategoryID])</f>
        <v>5</v>
      </c>
      <c r="N508" t="str">
        <f>_xlfn.XLOOKUP(tbl_FACTS[[#This Row],[CategoryID]],Πίνακας4[CategoryID],Πίνακας4[CategoryName])</f>
        <v>Grains/Cereals</v>
      </c>
      <c r="O508">
        <f>_xlfn.XLOOKUP(tbl_FACTS[[#This Row],[ProductID]],Πίνακας7[ProductID],Πίνακας7[SupplierID])</f>
        <v>12</v>
      </c>
      <c r="P508" t="str">
        <f>_xlfn.XLOOKUP(tbl_FACTS[[#This Row],[SupplierID]],Πίνακας9[SupplierID],Πίνακας9[SupplierName])</f>
        <v>Plutzer Lebensmittelgro├ƒmarkte AG</v>
      </c>
      <c r="Q508" s="21">
        <f>_xlfn.XLOOKUP(tbl_FACTS[[#This Row],[ProductID]],Πίνακας7[ProductID],Πίνακας7[Price])</f>
        <v>33</v>
      </c>
      <c r="R508" s="21">
        <f>tbl_FACTS[[#This Row],[Quantity]]*tbl_FACTS[[#This Row],[Price]]</f>
        <v>198</v>
      </c>
      <c r="S508" s="19">
        <f>IF(COUNTIFS(tbl_FACTS[OrderID],tbl_FACTS[[#This Row],[OrderID]],tbl_FACTS[OrderDetailID],"&lt;"&amp;tbl_FACTS[[#This Row],[OrderDetailID]])=0,1,0)</f>
        <v>0</v>
      </c>
      <c r="T508" s="19">
        <f>YEAR(tbl_FACTS[[#This Row],[OrderDate]])</f>
        <v>1997</v>
      </c>
      <c r="U508" s="22">
        <f>DATE(YEAR(tbl_FACTS[[#This Row],[OrderDate]]),MONTH(tbl_FACTS[[#This Row],[OrderDate]]),1)</f>
        <v>35462</v>
      </c>
      <c r="V508" s="22" t="str">
        <f>IF(tbl_FACTS[[#This Row],[Quantity]]&lt;=10,"0–10",IF(tbl_FACTS[[#This Row],[Quantity]]&lt;=20,"11–20",IF(tbl_FACTS[[#This Row],[Quantity]]&lt;=30,"21–30",IF(tbl_FACTS[[#This Row],[Quantity]]&lt;=40,"31–40",IF(tbl_FACTS[[#This Row],[Quantity]]&lt;=50,"41–50","51+")))))</f>
        <v>0–10</v>
      </c>
    </row>
    <row r="509" spans="1:22">
      <c r="A509">
        <v>508</v>
      </c>
      <c r="B509">
        <v>10439</v>
      </c>
      <c r="C509">
        <v>74</v>
      </c>
      <c r="D509" s="19">
        <v>30</v>
      </c>
      <c r="E509" s="20">
        <f>_xlfn.XLOOKUP(tbl_FACTS[[#This Row],[OrderID]],Πίνακας64[OrderID],Πίνακας64[OrderDate])</f>
        <v>35468</v>
      </c>
      <c r="F509">
        <f>_xlfn.XLOOKUP(tbl_FACTS[[#This Row],[OrderID]],Πίνακας64[OrderID],Πίνακας64[CustomerID])</f>
        <v>51</v>
      </c>
      <c r="G509" t="str">
        <f>_xlfn.XLOOKUP(tbl_FACTS[[#This Row],[CustomerID]],Πίνακας1[CustomerID],Πίνακας1[CustomerName])</f>
        <v>Mere Paillarde</v>
      </c>
      <c r="H509" t="str">
        <f>_xlfn.XLOOKUP(tbl_FACTS[[#This Row],[CustomerID]],Πίνακας1[CustomerID],Πίνακας1[Country])</f>
        <v>Canada</v>
      </c>
      <c r="I509">
        <f>_xlfn.XLOOKUP(tbl_FACTS[[#This Row],[OrderID]],Πίνακας64[OrderID],Πίνακας64[EmployeeID])</f>
        <v>6</v>
      </c>
      <c r="J509">
        <f>_xlfn.XLOOKUP(tbl_FACTS[[#This Row],[OrderID]],Πίνακας64[OrderID],Πίνακας64[ShipperID])</f>
        <v>3</v>
      </c>
      <c r="K509" t="str">
        <f>_xlfn.XLOOKUP(tbl_FACTS[[#This Row],[ShipperID]],Πίνακας8[ShipperID],Πίνακας8[ShipperName])</f>
        <v>Federal Shipping</v>
      </c>
      <c r="L509" t="str">
        <f>_xlfn.XLOOKUP(tbl_FACTS[[#This Row],[ProductID]],Πίνακας7[ProductID],Πίνακας7[ProductName])</f>
        <v>Longlife Tofu</v>
      </c>
      <c r="M509">
        <f>_xlfn.XLOOKUP(tbl_FACTS[[#This Row],[ProductID]],Πίνακας7[ProductID],Πίνακας7[CategoryID])</f>
        <v>7</v>
      </c>
      <c r="N509" t="str">
        <f>_xlfn.XLOOKUP(tbl_FACTS[[#This Row],[CategoryID]],Πίνακας4[CategoryID],Πίνακας4[CategoryName])</f>
        <v>Produce</v>
      </c>
      <c r="O509">
        <f>_xlfn.XLOOKUP(tbl_FACTS[[#This Row],[ProductID]],Πίνακας7[ProductID],Πίνακας7[SupplierID])</f>
        <v>4</v>
      </c>
      <c r="P509" t="str">
        <f>_xlfn.XLOOKUP(tbl_FACTS[[#This Row],[SupplierID]],Πίνακας9[SupplierID],Πίνακας9[SupplierName])</f>
        <v>Tokyo Traders</v>
      </c>
      <c r="Q509" s="21">
        <f>_xlfn.XLOOKUP(tbl_FACTS[[#This Row],[ProductID]],Πίνακας7[ProductID],Πίνακας7[Price])</f>
        <v>10</v>
      </c>
      <c r="R509" s="21">
        <f>tbl_FACTS[[#This Row],[Quantity]]*tbl_FACTS[[#This Row],[Price]]</f>
        <v>300</v>
      </c>
      <c r="S509" s="19">
        <f>IF(COUNTIFS(tbl_FACTS[OrderID],tbl_FACTS[[#This Row],[OrderID]],tbl_FACTS[OrderDetailID],"&lt;"&amp;tbl_FACTS[[#This Row],[OrderDetailID]])=0,1,0)</f>
        <v>0</v>
      </c>
      <c r="T509" s="19">
        <f>YEAR(tbl_FACTS[[#This Row],[OrderDate]])</f>
        <v>1997</v>
      </c>
      <c r="U509" s="22">
        <f>DATE(YEAR(tbl_FACTS[[#This Row],[OrderDate]]),MONTH(tbl_FACTS[[#This Row],[OrderDate]]),1)</f>
        <v>35462</v>
      </c>
      <c r="V509" s="22" t="str">
        <f>IF(tbl_FACTS[[#This Row],[Quantity]]&lt;=10,"0–10",IF(tbl_FACTS[[#This Row],[Quantity]]&lt;=20,"11–20",IF(tbl_FACTS[[#This Row],[Quantity]]&lt;=30,"21–30",IF(tbl_FACTS[[#This Row],[Quantity]]&lt;=40,"31–40",IF(tbl_FACTS[[#This Row],[Quantity]]&lt;=50,"41–50","51+")))))</f>
        <v>21–30</v>
      </c>
    </row>
    <row r="510" spans="1:22">
      <c r="A510">
        <v>509</v>
      </c>
      <c r="B510">
        <v>10440</v>
      </c>
      <c r="C510">
        <v>2</v>
      </c>
      <c r="D510" s="19">
        <v>45</v>
      </c>
      <c r="E510" s="20">
        <f>_xlfn.XLOOKUP(tbl_FACTS[[#This Row],[OrderID]],Πίνακας64[OrderID],Πίνακας64[OrderDate])</f>
        <v>35471</v>
      </c>
      <c r="F510">
        <f>_xlfn.XLOOKUP(tbl_FACTS[[#This Row],[OrderID]],Πίνακας64[OrderID],Πίνακας64[CustomerID])</f>
        <v>71</v>
      </c>
      <c r="G510" t="str">
        <f>_xlfn.XLOOKUP(tbl_FACTS[[#This Row],[CustomerID]],Πίνακας1[CustomerID],Πίνακας1[CustomerName])</f>
        <v>Save-a-lot Markets</v>
      </c>
      <c r="H510" t="str">
        <f>_xlfn.XLOOKUP(tbl_FACTS[[#This Row],[CustomerID]],Πίνακας1[CustomerID],Πίνακας1[Country])</f>
        <v>USA</v>
      </c>
      <c r="I510">
        <f>_xlfn.XLOOKUP(tbl_FACTS[[#This Row],[OrderID]],Πίνακας64[OrderID],Πίνακας64[EmployeeID])</f>
        <v>4</v>
      </c>
      <c r="J510">
        <f>_xlfn.XLOOKUP(tbl_FACTS[[#This Row],[OrderID]],Πίνακας64[OrderID],Πίνακας64[ShipperID])</f>
        <v>2</v>
      </c>
      <c r="K510" t="str">
        <f>_xlfn.XLOOKUP(tbl_FACTS[[#This Row],[ShipperID]],Πίνακας8[ShipperID],Πίνακας8[ShipperName])</f>
        <v>United Package</v>
      </c>
      <c r="L510" t="str">
        <f>_xlfn.XLOOKUP(tbl_FACTS[[#This Row],[ProductID]],Πίνακας7[ProductID],Πίνακας7[ProductName])</f>
        <v>Chang</v>
      </c>
      <c r="M510">
        <f>_xlfn.XLOOKUP(tbl_FACTS[[#This Row],[ProductID]],Πίνακας7[ProductID],Πίνακας7[CategoryID])</f>
        <v>1</v>
      </c>
      <c r="N510" t="str">
        <f>_xlfn.XLOOKUP(tbl_FACTS[[#This Row],[CategoryID]],Πίνακας4[CategoryID],Πίνακας4[CategoryName])</f>
        <v>Beverages</v>
      </c>
      <c r="O510">
        <f>_xlfn.XLOOKUP(tbl_FACTS[[#This Row],[ProductID]],Πίνακας7[ProductID],Πίνακας7[SupplierID])</f>
        <v>1</v>
      </c>
      <c r="P510" t="str">
        <f>_xlfn.XLOOKUP(tbl_FACTS[[#This Row],[SupplierID]],Πίνακας9[SupplierID],Πίνακας9[SupplierName])</f>
        <v>Exotic Liquid</v>
      </c>
      <c r="Q510" s="21">
        <f>_xlfn.XLOOKUP(tbl_FACTS[[#This Row],[ProductID]],Πίνακας7[ProductID],Πίνακας7[Price])</f>
        <v>19</v>
      </c>
      <c r="R510" s="21">
        <f>tbl_FACTS[[#This Row],[Quantity]]*tbl_FACTS[[#This Row],[Price]]</f>
        <v>855</v>
      </c>
      <c r="S510" s="19">
        <f>IF(COUNTIFS(tbl_FACTS[OrderID],tbl_FACTS[[#This Row],[OrderID]],tbl_FACTS[OrderDetailID],"&lt;"&amp;tbl_FACTS[[#This Row],[OrderDetailID]])=0,1,0)</f>
        <v>1</v>
      </c>
      <c r="T510" s="19">
        <f>YEAR(tbl_FACTS[[#This Row],[OrderDate]])</f>
        <v>1997</v>
      </c>
      <c r="U510" s="22">
        <f>DATE(YEAR(tbl_FACTS[[#This Row],[OrderDate]]),MONTH(tbl_FACTS[[#This Row],[OrderDate]]),1)</f>
        <v>35462</v>
      </c>
      <c r="V510" s="22" t="str">
        <f>IF(tbl_FACTS[[#This Row],[Quantity]]&lt;=10,"0–10",IF(tbl_FACTS[[#This Row],[Quantity]]&lt;=20,"11–20",IF(tbl_FACTS[[#This Row],[Quantity]]&lt;=30,"21–30",IF(tbl_FACTS[[#This Row],[Quantity]]&lt;=40,"31–40",IF(tbl_FACTS[[#This Row],[Quantity]]&lt;=50,"41–50","51+")))))</f>
        <v>41–50</v>
      </c>
    </row>
    <row r="511" spans="1:22">
      <c r="A511">
        <v>510</v>
      </c>
      <c r="B511">
        <v>10440</v>
      </c>
      <c r="C511">
        <v>16</v>
      </c>
      <c r="D511" s="19">
        <v>49</v>
      </c>
      <c r="E511" s="20">
        <f>_xlfn.XLOOKUP(tbl_FACTS[[#This Row],[OrderID]],Πίνακας64[OrderID],Πίνακας64[OrderDate])</f>
        <v>35471</v>
      </c>
      <c r="F511">
        <f>_xlfn.XLOOKUP(tbl_FACTS[[#This Row],[OrderID]],Πίνακας64[OrderID],Πίνακας64[CustomerID])</f>
        <v>71</v>
      </c>
      <c r="G511" t="str">
        <f>_xlfn.XLOOKUP(tbl_FACTS[[#This Row],[CustomerID]],Πίνακας1[CustomerID],Πίνακας1[CustomerName])</f>
        <v>Save-a-lot Markets</v>
      </c>
      <c r="H511" t="str">
        <f>_xlfn.XLOOKUP(tbl_FACTS[[#This Row],[CustomerID]],Πίνακας1[CustomerID],Πίνακας1[Country])</f>
        <v>USA</v>
      </c>
      <c r="I511">
        <f>_xlfn.XLOOKUP(tbl_FACTS[[#This Row],[OrderID]],Πίνακας64[OrderID],Πίνακας64[EmployeeID])</f>
        <v>4</v>
      </c>
      <c r="J511">
        <f>_xlfn.XLOOKUP(tbl_FACTS[[#This Row],[OrderID]],Πίνακας64[OrderID],Πίνακας64[ShipperID])</f>
        <v>2</v>
      </c>
      <c r="K511" t="str">
        <f>_xlfn.XLOOKUP(tbl_FACTS[[#This Row],[ShipperID]],Πίνακας8[ShipperID],Πίνακας8[ShipperName])</f>
        <v>United Package</v>
      </c>
      <c r="L511" t="str">
        <f>_xlfn.XLOOKUP(tbl_FACTS[[#This Row],[ProductID]],Πίνακας7[ProductID],Πίνακας7[ProductName])</f>
        <v>Pavlova</v>
      </c>
      <c r="M511">
        <f>_xlfn.XLOOKUP(tbl_FACTS[[#This Row],[ProductID]],Πίνακας7[ProductID],Πίνακας7[CategoryID])</f>
        <v>3</v>
      </c>
      <c r="N511" t="str">
        <f>_xlfn.XLOOKUP(tbl_FACTS[[#This Row],[CategoryID]],Πίνακας4[CategoryID],Πίνακας4[CategoryName])</f>
        <v>Confections</v>
      </c>
      <c r="O511">
        <f>_xlfn.XLOOKUP(tbl_FACTS[[#This Row],[ProductID]],Πίνακας7[ProductID],Πίνακας7[SupplierID])</f>
        <v>7</v>
      </c>
      <c r="P511" t="str">
        <f>_xlfn.XLOOKUP(tbl_FACTS[[#This Row],[SupplierID]],Πίνακας9[SupplierID],Πίνακας9[SupplierName])</f>
        <v>Pavlova, Ltd.</v>
      </c>
      <c r="Q511" s="21">
        <f>_xlfn.XLOOKUP(tbl_FACTS[[#This Row],[ProductID]],Πίνακας7[ProductID],Πίνακας7[Price])</f>
        <v>17</v>
      </c>
      <c r="R511" s="21">
        <f>tbl_FACTS[[#This Row],[Quantity]]*tbl_FACTS[[#This Row],[Price]]</f>
        <v>833</v>
      </c>
      <c r="S511" s="19">
        <f>IF(COUNTIFS(tbl_FACTS[OrderID],tbl_FACTS[[#This Row],[OrderID]],tbl_FACTS[OrderDetailID],"&lt;"&amp;tbl_FACTS[[#This Row],[OrderDetailID]])=0,1,0)</f>
        <v>0</v>
      </c>
      <c r="T511" s="19">
        <f>YEAR(tbl_FACTS[[#This Row],[OrderDate]])</f>
        <v>1997</v>
      </c>
      <c r="U511" s="22">
        <f>DATE(YEAR(tbl_FACTS[[#This Row],[OrderDate]]),MONTH(tbl_FACTS[[#This Row],[OrderDate]]),1)</f>
        <v>35462</v>
      </c>
      <c r="V511" s="22" t="str">
        <f>IF(tbl_FACTS[[#This Row],[Quantity]]&lt;=10,"0–10",IF(tbl_FACTS[[#This Row],[Quantity]]&lt;=20,"11–20",IF(tbl_FACTS[[#This Row],[Quantity]]&lt;=30,"21–30",IF(tbl_FACTS[[#This Row],[Quantity]]&lt;=40,"31–40",IF(tbl_FACTS[[#This Row],[Quantity]]&lt;=50,"41–50","51+")))))</f>
        <v>41–50</v>
      </c>
    </row>
    <row r="512" spans="1:22">
      <c r="A512">
        <v>511</v>
      </c>
      <c r="B512">
        <v>10440</v>
      </c>
      <c r="C512">
        <v>29</v>
      </c>
      <c r="D512" s="19">
        <v>24</v>
      </c>
      <c r="E512" s="20">
        <f>_xlfn.XLOOKUP(tbl_FACTS[[#This Row],[OrderID]],Πίνακας64[OrderID],Πίνακας64[OrderDate])</f>
        <v>35471</v>
      </c>
      <c r="F512">
        <f>_xlfn.XLOOKUP(tbl_FACTS[[#This Row],[OrderID]],Πίνακας64[OrderID],Πίνακας64[CustomerID])</f>
        <v>71</v>
      </c>
      <c r="G512" t="str">
        <f>_xlfn.XLOOKUP(tbl_FACTS[[#This Row],[CustomerID]],Πίνακας1[CustomerID],Πίνακας1[CustomerName])</f>
        <v>Save-a-lot Markets</v>
      </c>
      <c r="H512" t="str">
        <f>_xlfn.XLOOKUP(tbl_FACTS[[#This Row],[CustomerID]],Πίνακας1[CustomerID],Πίνακας1[Country])</f>
        <v>USA</v>
      </c>
      <c r="I512">
        <f>_xlfn.XLOOKUP(tbl_FACTS[[#This Row],[OrderID]],Πίνακας64[OrderID],Πίνακας64[EmployeeID])</f>
        <v>4</v>
      </c>
      <c r="J512">
        <f>_xlfn.XLOOKUP(tbl_FACTS[[#This Row],[OrderID]],Πίνακας64[OrderID],Πίνακας64[ShipperID])</f>
        <v>2</v>
      </c>
      <c r="K512" t="str">
        <f>_xlfn.XLOOKUP(tbl_FACTS[[#This Row],[ShipperID]],Πίνακας8[ShipperID],Πίνακας8[ShipperName])</f>
        <v>United Package</v>
      </c>
      <c r="L512" t="str">
        <f>_xlfn.XLOOKUP(tbl_FACTS[[#This Row],[ProductID]],Πίνακας7[ProductID],Πίνακας7[ProductName])</f>
        <v>Thuringer Rostbratwurst</v>
      </c>
      <c r="M512">
        <f>_xlfn.XLOOKUP(tbl_FACTS[[#This Row],[ProductID]],Πίνακας7[ProductID],Πίνακας7[CategoryID])</f>
        <v>6</v>
      </c>
      <c r="N512" t="str">
        <f>_xlfn.XLOOKUP(tbl_FACTS[[#This Row],[CategoryID]],Πίνακας4[CategoryID],Πίνακας4[CategoryName])</f>
        <v>Meat/Poultry</v>
      </c>
      <c r="O512">
        <f>_xlfn.XLOOKUP(tbl_FACTS[[#This Row],[ProductID]],Πίνακας7[ProductID],Πίνακας7[SupplierID])</f>
        <v>12</v>
      </c>
      <c r="P512" t="str">
        <f>_xlfn.XLOOKUP(tbl_FACTS[[#This Row],[SupplierID]],Πίνακας9[SupplierID],Πίνακας9[SupplierName])</f>
        <v>Plutzer Lebensmittelgro├ƒmarkte AG</v>
      </c>
      <c r="Q512" s="21">
        <f>_xlfn.XLOOKUP(tbl_FACTS[[#This Row],[ProductID]],Πίνακας7[ProductID],Πίνακας7[Price])</f>
        <v>124</v>
      </c>
      <c r="R512" s="21">
        <f>tbl_FACTS[[#This Row],[Quantity]]*tbl_FACTS[[#This Row],[Price]]</f>
        <v>2976</v>
      </c>
      <c r="S512" s="19">
        <f>IF(COUNTIFS(tbl_FACTS[OrderID],tbl_FACTS[[#This Row],[OrderID]],tbl_FACTS[OrderDetailID],"&lt;"&amp;tbl_FACTS[[#This Row],[OrderDetailID]])=0,1,0)</f>
        <v>0</v>
      </c>
      <c r="T512" s="19">
        <f>YEAR(tbl_FACTS[[#This Row],[OrderDate]])</f>
        <v>1997</v>
      </c>
      <c r="U512" s="22">
        <f>DATE(YEAR(tbl_FACTS[[#This Row],[OrderDate]]),MONTH(tbl_FACTS[[#This Row],[OrderDate]]),1)</f>
        <v>35462</v>
      </c>
      <c r="V512" s="22" t="str">
        <f>IF(tbl_FACTS[[#This Row],[Quantity]]&lt;=10,"0–10",IF(tbl_FACTS[[#This Row],[Quantity]]&lt;=20,"11–20",IF(tbl_FACTS[[#This Row],[Quantity]]&lt;=30,"21–30",IF(tbl_FACTS[[#This Row],[Quantity]]&lt;=40,"31–40",IF(tbl_FACTS[[#This Row],[Quantity]]&lt;=50,"41–50","51+")))))</f>
        <v>21–30</v>
      </c>
    </row>
    <row r="513" spans="1:22">
      <c r="A513">
        <v>512</v>
      </c>
      <c r="B513">
        <v>10440</v>
      </c>
      <c r="C513">
        <v>61</v>
      </c>
      <c r="D513" s="19">
        <v>90</v>
      </c>
      <c r="E513" s="20">
        <f>_xlfn.XLOOKUP(tbl_FACTS[[#This Row],[OrderID]],Πίνακας64[OrderID],Πίνακας64[OrderDate])</f>
        <v>35471</v>
      </c>
      <c r="F513">
        <f>_xlfn.XLOOKUP(tbl_FACTS[[#This Row],[OrderID]],Πίνακας64[OrderID],Πίνακας64[CustomerID])</f>
        <v>71</v>
      </c>
      <c r="G513" t="str">
        <f>_xlfn.XLOOKUP(tbl_FACTS[[#This Row],[CustomerID]],Πίνακας1[CustomerID],Πίνακας1[CustomerName])</f>
        <v>Save-a-lot Markets</v>
      </c>
      <c r="H513" t="str">
        <f>_xlfn.XLOOKUP(tbl_FACTS[[#This Row],[CustomerID]],Πίνακας1[CustomerID],Πίνακας1[Country])</f>
        <v>USA</v>
      </c>
      <c r="I513">
        <f>_xlfn.XLOOKUP(tbl_FACTS[[#This Row],[OrderID]],Πίνακας64[OrderID],Πίνακας64[EmployeeID])</f>
        <v>4</v>
      </c>
      <c r="J513">
        <f>_xlfn.XLOOKUP(tbl_FACTS[[#This Row],[OrderID]],Πίνακας64[OrderID],Πίνακας64[ShipperID])</f>
        <v>2</v>
      </c>
      <c r="K513" t="str">
        <f>_xlfn.XLOOKUP(tbl_FACTS[[#This Row],[ShipperID]],Πίνακας8[ShipperID],Πίνακας8[ShipperName])</f>
        <v>United Package</v>
      </c>
      <c r="L513" t="str">
        <f>_xlfn.XLOOKUP(tbl_FACTS[[#This Row],[ProductID]],Πίνακας7[ProductID],Πίνακας7[ProductName])</f>
        <v>Sirop d'erable</v>
      </c>
      <c r="M513">
        <f>_xlfn.XLOOKUP(tbl_FACTS[[#This Row],[ProductID]],Πίνακας7[ProductID],Πίνακας7[CategoryID])</f>
        <v>2</v>
      </c>
      <c r="N513" t="str">
        <f>_xlfn.XLOOKUP(tbl_FACTS[[#This Row],[CategoryID]],Πίνακας4[CategoryID],Πίνακας4[CategoryName])</f>
        <v>Condiments</v>
      </c>
      <c r="O513">
        <f>_xlfn.XLOOKUP(tbl_FACTS[[#This Row],[ProductID]],Πίνακας7[ProductID],Πίνακας7[SupplierID])</f>
        <v>29</v>
      </c>
      <c r="P513" t="str">
        <f>_xlfn.XLOOKUP(tbl_FACTS[[#This Row],[SupplierID]],Πίνακας9[SupplierID],Πίνακας9[SupplierName])</f>
        <v>Forets d'erables</v>
      </c>
      <c r="Q513" s="21">
        <f>_xlfn.XLOOKUP(tbl_FACTS[[#This Row],[ProductID]],Πίνακας7[ProductID],Πίνακας7[Price])</f>
        <v>29</v>
      </c>
      <c r="R513" s="21">
        <f>tbl_FACTS[[#This Row],[Quantity]]*tbl_FACTS[[#This Row],[Price]]</f>
        <v>2610</v>
      </c>
      <c r="S513" s="19">
        <f>IF(COUNTIFS(tbl_FACTS[OrderID],tbl_FACTS[[#This Row],[OrderID]],tbl_FACTS[OrderDetailID],"&lt;"&amp;tbl_FACTS[[#This Row],[OrderDetailID]])=0,1,0)</f>
        <v>0</v>
      </c>
      <c r="T513" s="19">
        <f>YEAR(tbl_FACTS[[#This Row],[OrderDate]])</f>
        <v>1997</v>
      </c>
      <c r="U513" s="22">
        <f>DATE(YEAR(tbl_FACTS[[#This Row],[OrderDate]]),MONTH(tbl_FACTS[[#This Row],[OrderDate]]),1)</f>
        <v>35462</v>
      </c>
      <c r="V513" s="22" t="str">
        <f>IF(tbl_FACTS[[#This Row],[Quantity]]&lt;=10,"0–10",IF(tbl_FACTS[[#This Row],[Quantity]]&lt;=20,"11–20",IF(tbl_FACTS[[#This Row],[Quantity]]&lt;=30,"21–30",IF(tbl_FACTS[[#This Row],[Quantity]]&lt;=40,"31–40",IF(tbl_FACTS[[#This Row],[Quantity]]&lt;=50,"41–50","51+")))))</f>
        <v>51+</v>
      </c>
    </row>
    <row r="514" spans="1:22">
      <c r="A514">
        <v>513</v>
      </c>
      <c r="B514">
        <v>10441</v>
      </c>
      <c r="C514">
        <v>27</v>
      </c>
      <c r="D514" s="19">
        <v>50</v>
      </c>
      <c r="E514" s="20">
        <f>_xlfn.XLOOKUP(tbl_FACTS[[#This Row],[OrderID]],Πίνακας64[OrderID],Πίνακας64[OrderDate])</f>
        <v>35471</v>
      </c>
      <c r="F514">
        <f>_xlfn.XLOOKUP(tbl_FACTS[[#This Row],[OrderID]],Πίνακας64[OrderID],Πίνακας64[CustomerID])</f>
        <v>55</v>
      </c>
      <c r="G514" t="str">
        <f>_xlfn.XLOOKUP(tbl_FACTS[[#This Row],[CustomerID]],Πίνακας1[CustomerID],Πίνακας1[CustomerName])</f>
        <v>Old World Delicatessen</v>
      </c>
      <c r="H514" t="str">
        <f>_xlfn.XLOOKUP(tbl_FACTS[[#This Row],[CustomerID]],Πίνακας1[CustomerID],Πίνακας1[Country])</f>
        <v>USA</v>
      </c>
      <c r="I514">
        <f>_xlfn.XLOOKUP(tbl_FACTS[[#This Row],[OrderID]],Πίνακας64[OrderID],Πίνακας64[EmployeeID])</f>
        <v>3</v>
      </c>
      <c r="J514">
        <f>_xlfn.XLOOKUP(tbl_FACTS[[#This Row],[OrderID]],Πίνακας64[OrderID],Πίνακας64[ShipperID])</f>
        <v>2</v>
      </c>
      <c r="K514" t="str">
        <f>_xlfn.XLOOKUP(tbl_FACTS[[#This Row],[ShipperID]],Πίνακας8[ShipperID],Πίνακας8[ShipperName])</f>
        <v>United Package</v>
      </c>
      <c r="L514" t="str">
        <f>_xlfn.XLOOKUP(tbl_FACTS[[#This Row],[ProductID]],Πίνακας7[ProductID],Πίνακας7[ProductName])</f>
        <v>Schoggi Schokolade</v>
      </c>
      <c r="M514">
        <f>_xlfn.XLOOKUP(tbl_FACTS[[#This Row],[ProductID]],Πίνακας7[ProductID],Πίνακας7[CategoryID])</f>
        <v>3</v>
      </c>
      <c r="N514" t="str">
        <f>_xlfn.XLOOKUP(tbl_FACTS[[#This Row],[CategoryID]],Πίνακας4[CategoryID],Πίνακας4[CategoryName])</f>
        <v>Confections</v>
      </c>
      <c r="O514">
        <f>_xlfn.XLOOKUP(tbl_FACTS[[#This Row],[ProductID]],Πίνακας7[ProductID],Πίνακας7[SupplierID])</f>
        <v>11</v>
      </c>
      <c r="P514" t="str">
        <f>_xlfn.XLOOKUP(tbl_FACTS[[#This Row],[SupplierID]],Πίνακας9[SupplierID],Πίνακας9[SupplierName])</f>
        <v>Heli Su├ƒwaren GmbH &amp; Co. KG</v>
      </c>
      <c r="Q514" s="21">
        <f>_xlfn.XLOOKUP(tbl_FACTS[[#This Row],[ProductID]],Πίνακας7[ProductID],Πίνακας7[Price])</f>
        <v>44</v>
      </c>
      <c r="R514" s="21">
        <f>tbl_FACTS[[#This Row],[Quantity]]*tbl_FACTS[[#This Row],[Price]]</f>
        <v>2200</v>
      </c>
      <c r="S514" s="19">
        <f>IF(COUNTIFS(tbl_FACTS[OrderID],tbl_FACTS[[#This Row],[OrderID]],tbl_FACTS[OrderDetailID],"&lt;"&amp;tbl_FACTS[[#This Row],[OrderDetailID]])=0,1,0)</f>
        <v>1</v>
      </c>
      <c r="T514" s="19">
        <f>YEAR(tbl_FACTS[[#This Row],[OrderDate]])</f>
        <v>1997</v>
      </c>
      <c r="U514" s="22">
        <f>DATE(YEAR(tbl_FACTS[[#This Row],[OrderDate]]),MONTH(tbl_FACTS[[#This Row],[OrderDate]]),1)</f>
        <v>35462</v>
      </c>
      <c r="V514" s="22" t="str">
        <f>IF(tbl_FACTS[[#This Row],[Quantity]]&lt;=10,"0–10",IF(tbl_FACTS[[#This Row],[Quantity]]&lt;=20,"11–20",IF(tbl_FACTS[[#This Row],[Quantity]]&lt;=30,"21–30",IF(tbl_FACTS[[#This Row],[Quantity]]&lt;=40,"31–40",IF(tbl_FACTS[[#This Row],[Quantity]]&lt;=50,"41–50","51+")))))</f>
        <v>41–50</v>
      </c>
    </row>
    <row r="515" spans="1:22">
      <c r="A515">
        <v>514</v>
      </c>
      <c r="B515">
        <v>10442</v>
      </c>
      <c r="C515">
        <v>11</v>
      </c>
      <c r="D515" s="19">
        <v>30</v>
      </c>
      <c r="E515" s="20">
        <f>_xlfn.XLOOKUP(tbl_FACTS[[#This Row],[OrderID]],Πίνακας64[OrderID],Πίνακας64[OrderDate])</f>
        <v>35472</v>
      </c>
      <c r="F515">
        <f>_xlfn.XLOOKUP(tbl_FACTS[[#This Row],[OrderID]],Πίνακας64[OrderID],Πίνακας64[CustomerID])</f>
        <v>20</v>
      </c>
      <c r="G515" t="str">
        <f>_xlfn.XLOOKUP(tbl_FACTS[[#This Row],[CustomerID]],Πίνακας1[CustomerID],Πίνακας1[CustomerName])</f>
        <v>Ernst Handel</v>
      </c>
      <c r="H515" t="str">
        <f>_xlfn.XLOOKUP(tbl_FACTS[[#This Row],[CustomerID]],Πίνακας1[CustomerID],Πίνακας1[Country])</f>
        <v>Austria</v>
      </c>
      <c r="I515">
        <f>_xlfn.XLOOKUP(tbl_FACTS[[#This Row],[OrderID]],Πίνακας64[OrderID],Πίνακας64[EmployeeID])</f>
        <v>3</v>
      </c>
      <c r="J515">
        <f>_xlfn.XLOOKUP(tbl_FACTS[[#This Row],[OrderID]],Πίνακας64[OrderID],Πίνακας64[ShipperID])</f>
        <v>2</v>
      </c>
      <c r="K515" t="str">
        <f>_xlfn.XLOOKUP(tbl_FACTS[[#This Row],[ShipperID]],Πίνακας8[ShipperID],Πίνακας8[ShipperName])</f>
        <v>United Package</v>
      </c>
      <c r="L515" t="str">
        <f>_xlfn.XLOOKUP(tbl_FACTS[[#This Row],[ProductID]],Πίνακας7[ProductID],Πίνακας7[ProductName])</f>
        <v>Queso Cabrales</v>
      </c>
      <c r="M515">
        <f>_xlfn.XLOOKUP(tbl_FACTS[[#This Row],[ProductID]],Πίνακας7[ProductID],Πίνακας7[CategoryID])</f>
        <v>4</v>
      </c>
      <c r="N515" t="str">
        <f>_xlfn.XLOOKUP(tbl_FACTS[[#This Row],[CategoryID]],Πίνακας4[CategoryID],Πίνακας4[CategoryName])</f>
        <v>Dairy Products</v>
      </c>
      <c r="O515">
        <f>_xlfn.XLOOKUP(tbl_FACTS[[#This Row],[ProductID]],Πίνακας7[ProductID],Πίνακας7[SupplierID])</f>
        <v>5</v>
      </c>
      <c r="P515" t="str">
        <f>_xlfn.XLOOKUP(tbl_FACTS[[#This Row],[SupplierID]],Πίνακας9[SupplierID],Πίνακας9[SupplierName])</f>
        <v>Cooperativa de Quesos 'Las Cabras'</v>
      </c>
      <c r="Q515" s="21">
        <f>_xlfn.XLOOKUP(tbl_FACTS[[#This Row],[ProductID]],Πίνακας7[ProductID],Πίνακας7[Price])</f>
        <v>21</v>
      </c>
      <c r="R515" s="21">
        <f>tbl_FACTS[[#This Row],[Quantity]]*tbl_FACTS[[#This Row],[Price]]</f>
        <v>630</v>
      </c>
      <c r="S515" s="19">
        <f>IF(COUNTIFS(tbl_FACTS[OrderID],tbl_FACTS[[#This Row],[OrderID]],tbl_FACTS[OrderDetailID],"&lt;"&amp;tbl_FACTS[[#This Row],[OrderDetailID]])=0,1,0)</f>
        <v>1</v>
      </c>
      <c r="T515" s="19">
        <f>YEAR(tbl_FACTS[[#This Row],[OrderDate]])</f>
        <v>1997</v>
      </c>
      <c r="U515" s="22">
        <f>DATE(YEAR(tbl_FACTS[[#This Row],[OrderDate]]),MONTH(tbl_FACTS[[#This Row],[OrderDate]]),1)</f>
        <v>35462</v>
      </c>
      <c r="V515" s="22" t="str">
        <f>IF(tbl_FACTS[[#This Row],[Quantity]]&lt;=10,"0–10",IF(tbl_FACTS[[#This Row],[Quantity]]&lt;=20,"11–20",IF(tbl_FACTS[[#This Row],[Quantity]]&lt;=30,"21–30",IF(tbl_FACTS[[#This Row],[Quantity]]&lt;=40,"31–40",IF(tbl_FACTS[[#This Row],[Quantity]]&lt;=50,"41–50","51+")))))</f>
        <v>21–30</v>
      </c>
    </row>
    <row r="516" spans="1:22">
      <c r="A516">
        <v>515</v>
      </c>
      <c r="B516">
        <v>10442</v>
      </c>
      <c r="C516">
        <v>54</v>
      </c>
      <c r="D516" s="19">
        <v>80</v>
      </c>
      <c r="E516" s="20">
        <f>_xlfn.XLOOKUP(tbl_FACTS[[#This Row],[OrderID]],Πίνακας64[OrderID],Πίνακας64[OrderDate])</f>
        <v>35472</v>
      </c>
      <c r="F516">
        <f>_xlfn.XLOOKUP(tbl_FACTS[[#This Row],[OrderID]],Πίνακας64[OrderID],Πίνακας64[CustomerID])</f>
        <v>20</v>
      </c>
      <c r="G516" t="str">
        <f>_xlfn.XLOOKUP(tbl_FACTS[[#This Row],[CustomerID]],Πίνακας1[CustomerID],Πίνακας1[CustomerName])</f>
        <v>Ernst Handel</v>
      </c>
      <c r="H516" t="str">
        <f>_xlfn.XLOOKUP(tbl_FACTS[[#This Row],[CustomerID]],Πίνακας1[CustomerID],Πίνακας1[Country])</f>
        <v>Austria</v>
      </c>
      <c r="I516">
        <f>_xlfn.XLOOKUP(tbl_FACTS[[#This Row],[OrderID]],Πίνακας64[OrderID],Πίνακας64[EmployeeID])</f>
        <v>3</v>
      </c>
      <c r="J516">
        <f>_xlfn.XLOOKUP(tbl_FACTS[[#This Row],[OrderID]],Πίνακας64[OrderID],Πίνακας64[ShipperID])</f>
        <v>2</v>
      </c>
      <c r="K516" t="str">
        <f>_xlfn.XLOOKUP(tbl_FACTS[[#This Row],[ShipperID]],Πίνακας8[ShipperID],Πίνακας8[ShipperName])</f>
        <v>United Package</v>
      </c>
      <c r="L516" t="str">
        <f>_xlfn.XLOOKUP(tbl_FACTS[[#This Row],[ProductID]],Πίνακας7[ProductID],Πίνακας7[ProductName])</f>
        <v>Tourtiere</v>
      </c>
      <c r="M516">
        <f>_xlfn.XLOOKUP(tbl_FACTS[[#This Row],[ProductID]],Πίνακας7[ProductID],Πίνακας7[CategoryID])</f>
        <v>6</v>
      </c>
      <c r="N516" t="str">
        <f>_xlfn.XLOOKUP(tbl_FACTS[[#This Row],[CategoryID]],Πίνακας4[CategoryID],Πίνακας4[CategoryName])</f>
        <v>Meat/Poultry</v>
      </c>
      <c r="O516">
        <f>_xlfn.XLOOKUP(tbl_FACTS[[#This Row],[ProductID]],Πίνακας7[ProductID],Πίνακας7[SupplierID])</f>
        <v>25</v>
      </c>
      <c r="P516" t="str">
        <f>_xlfn.XLOOKUP(tbl_FACTS[[#This Row],[SupplierID]],Πίνακας9[SupplierID],Πίνακας9[SupplierName])</f>
        <v>Ma Maison</v>
      </c>
      <c r="Q516" s="21">
        <f>_xlfn.XLOOKUP(tbl_FACTS[[#This Row],[ProductID]],Πίνακας7[ProductID],Πίνακας7[Price])</f>
        <v>7</v>
      </c>
      <c r="R516" s="21">
        <f>tbl_FACTS[[#This Row],[Quantity]]*tbl_FACTS[[#This Row],[Price]]</f>
        <v>560</v>
      </c>
      <c r="S516" s="19">
        <f>IF(COUNTIFS(tbl_FACTS[OrderID],tbl_FACTS[[#This Row],[OrderID]],tbl_FACTS[OrderDetailID],"&lt;"&amp;tbl_FACTS[[#This Row],[OrderDetailID]])=0,1,0)</f>
        <v>0</v>
      </c>
      <c r="T516" s="19">
        <f>YEAR(tbl_FACTS[[#This Row],[OrderDate]])</f>
        <v>1997</v>
      </c>
      <c r="U516" s="22">
        <f>DATE(YEAR(tbl_FACTS[[#This Row],[OrderDate]]),MONTH(tbl_FACTS[[#This Row],[OrderDate]]),1)</f>
        <v>35462</v>
      </c>
      <c r="V516" s="22" t="str">
        <f>IF(tbl_FACTS[[#This Row],[Quantity]]&lt;=10,"0–10",IF(tbl_FACTS[[#This Row],[Quantity]]&lt;=20,"11–20",IF(tbl_FACTS[[#This Row],[Quantity]]&lt;=30,"21–30",IF(tbl_FACTS[[#This Row],[Quantity]]&lt;=40,"31–40",IF(tbl_FACTS[[#This Row],[Quantity]]&lt;=50,"41–50","51+")))))</f>
        <v>51+</v>
      </c>
    </row>
    <row r="517" spans="1:22">
      <c r="A517">
        <v>516</v>
      </c>
      <c r="B517">
        <v>10442</v>
      </c>
      <c r="C517">
        <v>66</v>
      </c>
      <c r="D517" s="19">
        <v>60</v>
      </c>
      <c r="E517" s="20">
        <f>_xlfn.XLOOKUP(tbl_FACTS[[#This Row],[OrderID]],Πίνακας64[OrderID],Πίνακας64[OrderDate])</f>
        <v>35472</v>
      </c>
      <c r="F517">
        <f>_xlfn.XLOOKUP(tbl_FACTS[[#This Row],[OrderID]],Πίνακας64[OrderID],Πίνακας64[CustomerID])</f>
        <v>20</v>
      </c>
      <c r="G517" t="str">
        <f>_xlfn.XLOOKUP(tbl_FACTS[[#This Row],[CustomerID]],Πίνακας1[CustomerID],Πίνακας1[CustomerName])</f>
        <v>Ernst Handel</v>
      </c>
      <c r="H517" t="str">
        <f>_xlfn.XLOOKUP(tbl_FACTS[[#This Row],[CustomerID]],Πίνακας1[CustomerID],Πίνακας1[Country])</f>
        <v>Austria</v>
      </c>
      <c r="I517">
        <f>_xlfn.XLOOKUP(tbl_FACTS[[#This Row],[OrderID]],Πίνακας64[OrderID],Πίνακας64[EmployeeID])</f>
        <v>3</v>
      </c>
      <c r="J517">
        <f>_xlfn.XLOOKUP(tbl_FACTS[[#This Row],[OrderID]],Πίνακας64[OrderID],Πίνακας64[ShipperID])</f>
        <v>2</v>
      </c>
      <c r="K517" t="str">
        <f>_xlfn.XLOOKUP(tbl_FACTS[[#This Row],[ShipperID]],Πίνακας8[ShipperID],Πίνακας8[ShipperName])</f>
        <v>United Package</v>
      </c>
      <c r="L517" t="str">
        <f>_xlfn.XLOOKUP(tbl_FACTS[[#This Row],[ProductID]],Πίνακας7[ProductID],Πίνακας7[ProductName])</f>
        <v>Louisiana Hot Spiced Okra</v>
      </c>
      <c r="M517">
        <f>_xlfn.XLOOKUP(tbl_FACTS[[#This Row],[ProductID]],Πίνακας7[ProductID],Πίνακας7[CategoryID])</f>
        <v>2</v>
      </c>
      <c r="N517" t="str">
        <f>_xlfn.XLOOKUP(tbl_FACTS[[#This Row],[CategoryID]],Πίνακας4[CategoryID],Πίνακας4[CategoryName])</f>
        <v>Condiments</v>
      </c>
      <c r="O517">
        <f>_xlfn.XLOOKUP(tbl_FACTS[[#This Row],[ProductID]],Πίνακας7[ProductID],Πίνακας7[SupplierID])</f>
        <v>2</v>
      </c>
      <c r="P517" t="str">
        <f>_xlfn.XLOOKUP(tbl_FACTS[[#This Row],[SupplierID]],Πίνακας9[SupplierID],Πίνακας9[SupplierName])</f>
        <v>New Orleans Cajun Delights</v>
      </c>
      <c r="Q517" s="21">
        <f>_xlfn.XLOOKUP(tbl_FACTS[[#This Row],[ProductID]],Πίνακας7[ProductID],Πίνακας7[Price])</f>
        <v>17</v>
      </c>
      <c r="R517" s="21">
        <f>tbl_FACTS[[#This Row],[Quantity]]*tbl_FACTS[[#This Row],[Price]]</f>
        <v>1020</v>
      </c>
      <c r="S517" s="19">
        <f>IF(COUNTIFS(tbl_FACTS[OrderID],tbl_FACTS[[#This Row],[OrderID]],tbl_FACTS[OrderDetailID],"&lt;"&amp;tbl_FACTS[[#This Row],[OrderDetailID]])=0,1,0)</f>
        <v>0</v>
      </c>
      <c r="T517" s="19">
        <f>YEAR(tbl_FACTS[[#This Row],[OrderDate]])</f>
        <v>1997</v>
      </c>
      <c r="U517" s="22">
        <f>DATE(YEAR(tbl_FACTS[[#This Row],[OrderDate]]),MONTH(tbl_FACTS[[#This Row],[OrderDate]]),1)</f>
        <v>35462</v>
      </c>
      <c r="V517" s="22" t="str">
        <f>IF(tbl_FACTS[[#This Row],[Quantity]]&lt;=10,"0–10",IF(tbl_FACTS[[#This Row],[Quantity]]&lt;=20,"11–20",IF(tbl_FACTS[[#This Row],[Quantity]]&lt;=30,"21–30",IF(tbl_FACTS[[#This Row],[Quantity]]&lt;=40,"31–40",IF(tbl_FACTS[[#This Row],[Quantity]]&lt;=50,"41–50","51+")))))</f>
        <v>51+</v>
      </c>
    </row>
    <row r="518" spans="1:22">
      <c r="A518">
        <v>517</v>
      </c>
      <c r="B518">
        <v>10443</v>
      </c>
      <c r="C518">
        <v>11</v>
      </c>
      <c r="D518" s="19">
        <v>6</v>
      </c>
      <c r="E518" s="20">
        <f>_xlfn.XLOOKUP(tbl_FACTS[[#This Row],[OrderID]],Πίνακας64[OrderID],Πίνακας64[OrderDate])</f>
        <v>35473</v>
      </c>
      <c r="F518">
        <f>_xlfn.XLOOKUP(tbl_FACTS[[#This Row],[OrderID]],Πίνακας64[OrderID],Πίνακας64[CustomerID])</f>
        <v>66</v>
      </c>
      <c r="G518" t="str">
        <f>_xlfn.XLOOKUP(tbl_FACTS[[#This Row],[CustomerID]],Πίνακας1[CustomerID],Πίνακας1[CustomerName])</f>
        <v>Reggiani Caseifici</v>
      </c>
      <c r="H518" t="str">
        <f>_xlfn.XLOOKUP(tbl_FACTS[[#This Row],[CustomerID]],Πίνακας1[CustomerID],Πίνακας1[Country])</f>
        <v>Italy</v>
      </c>
      <c r="I518">
        <f>_xlfn.XLOOKUP(tbl_FACTS[[#This Row],[OrderID]],Πίνακας64[OrderID],Πίνακας64[EmployeeID])</f>
        <v>8</v>
      </c>
      <c r="J518">
        <f>_xlfn.XLOOKUP(tbl_FACTS[[#This Row],[OrderID]],Πίνακας64[OrderID],Πίνακας64[ShipperID])</f>
        <v>1</v>
      </c>
      <c r="K518" t="str">
        <f>_xlfn.XLOOKUP(tbl_FACTS[[#This Row],[ShipperID]],Πίνακας8[ShipperID],Πίνακας8[ShipperName])</f>
        <v>Speedy Express</v>
      </c>
      <c r="L518" t="str">
        <f>_xlfn.XLOOKUP(tbl_FACTS[[#This Row],[ProductID]],Πίνακας7[ProductID],Πίνακας7[ProductName])</f>
        <v>Queso Cabrales</v>
      </c>
      <c r="M518">
        <f>_xlfn.XLOOKUP(tbl_FACTS[[#This Row],[ProductID]],Πίνακας7[ProductID],Πίνακας7[CategoryID])</f>
        <v>4</v>
      </c>
      <c r="N518" t="str">
        <f>_xlfn.XLOOKUP(tbl_FACTS[[#This Row],[CategoryID]],Πίνακας4[CategoryID],Πίνακας4[CategoryName])</f>
        <v>Dairy Products</v>
      </c>
      <c r="O518">
        <f>_xlfn.XLOOKUP(tbl_FACTS[[#This Row],[ProductID]],Πίνακας7[ProductID],Πίνακας7[SupplierID])</f>
        <v>5</v>
      </c>
      <c r="P518" t="str">
        <f>_xlfn.XLOOKUP(tbl_FACTS[[#This Row],[SupplierID]],Πίνακας9[SupplierID],Πίνακας9[SupplierName])</f>
        <v>Cooperativa de Quesos 'Las Cabras'</v>
      </c>
      <c r="Q518" s="21">
        <f>_xlfn.XLOOKUP(tbl_FACTS[[#This Row],[ProductID]],Πίνακας7[ProductID],Πίνακας7[Price])</f>
        <v>21</v>
      </c>
      <c r="R518" s="21">
        <f>tbl_FACTS[[#This Row],[Quantity]]*tbl_FACTS[[#This Row],[Price]]</f>
        <v>126</v>
      </c>
      <c r="S518" s="19">
        <f>IF(COUNTIFS(tbl_FACTS[OrderID],tbl_FACTS[[#This Row],[OrderID]],tbl_FACTS[OrderDetailID],"&lt;"&amp;tbl_FACTS[[#This Row],[OrderDetailID]])=0,1,0)</f>
        <v>1</v>
      </c>
      <c r="T518" s="19">
        <f>YEAR(tbl_FACTS[[#This Row],[OrderDate]])</f>
        <v>1997</v>
      </c>
      <c r="U518" s="22">
        <f>DATE(YEAR(tbl_FACTS[[#This Row],[OrderDate]]),MONTH(tbl_FACTS[[#This Row],[OrderDate]]),1)</f>
        <v>35462</v>
      </c>
      <c r="V518" s="22" t="str">
        <f>IF(tbl_FACTS[[#This Row],[Quantity]]&lt;=10,"0–10",IF(tbl_FACTS[[#This Row],[Quantity]]&lt;=20,"11–20",IF(tbl_FACTS[[#This Row],[Quantity]]&lt;=30,"21–30",IF(tbl_FACTS[[#This Row],[Quantity]]&lt;=40,"31–40",IF(tbl_FACTS[[#This Row],[Quantity]]&lt;=50,"41–50","51+")))))</f>
        <v>0–10</v>
      </c>
    </row>
    <row r="519" spans="1:22">
      <c r="A519">
        <v>518</v>
      </c>
      <c r="B519">
        <v>10443</v>
      </c>
      <c r="C519">
        <v>28</v>
      </c>
      <c r="D519" s="19">
        <v>12</v>
      </c>
      <c r="E519" s="20">
        <f>_xlfn.XLOOKUP(tbl_FACTS[[#This Row],[OrderID]],Πίνακας64[OrderID],Πίνακας64[OrderDate])</f>
        <v>35473</v>
      </c>
      <c r="F519">
        <f>_xlfn.XLOOKUP(tbl_FACTS[[#This Row],[OrderID]],Πίνακας64[OrderID],Πίνακας64[CustomerID])</f>
        <v>66</v>
      </c>
      <c r="G519" t="str">
        <f>_xlfn.XLOOKUP(tbl_FACTS[[#This Row],[CustomerID]],Πίνακας1[CustomerID],Πίνακας1[CustomerName])</f>
        <v>Reggiani Caseifici</v>
      </c>
      <c r="H519" t="str">
        <f>_xlfn.XLOOKUP(tbl_FACTS[[#This Row],[CustomerID]],Πίνακας1[CustomerID],Πίνακας1[Country])</f>
        <v>Italy</v>
      </c>
      <c r="I519">
        <f>_xlfn.XLOOKUP(tbl_FACTS[[#This Row],[OrderID]],Πίνακας64[OrderID],Πίνακας64[EmployeeID])</f>
        <v>8</v>
      </c>
      <c r="J519">
        <f>_xlfn.XLOOKUP(tbl_FACTS[[#This Row],[OrderID]],Πίνακας64[OrderID],Πίνακας64[ShipperID])</f>
        <v>1</v>
      </c>
      <c r="K519" t="str">
        <f>_xlfn.XLOOKUP(tbl_FACTS[[#This Row],[ShipperID]],Πίνακας8[ShipperID],Πίνακας8[ShipperName])</f>
        <v>Speedy Express</v>
      </c>
      <c r="L519" t="str">
        <f>_xlfn.XLOOKUP(tbl_FACTS[[#This Row],[ProductID]],Πίνακας7[ProductID],Πίνακας7[ProductName])</f>
        <v>Rossle Sauerkraut</v>
      </c>
      <c r="M519">
        <f>_xlfn.XLOOKUP(tbl_FACTS[[#This Row],[ProductID]],Πίνακας7[ProductID],Πίνακας7[CategoryID])</f>
        <v>7</v>
      </c>
      <c r="N519" t="str">
        <f>_xlfn.XLOOKUP(tbl_FACTS[[#This Row],[CategoryID]],Πίνακας4[CategoryID],Πίνακας4[CategoryName])</f>
        <v>Produce</v>
      </c>
      <c r="O519">
        <f>_xlfn.XLOOKUP(tbl_FACTS[[#This Row],[ProductID]],Πίνακας7[ProductID],Πίνακας7[SupplierID])</f>
        <v>12</v>
      </c>
      <c r="P519" t="str">
        <f>_xlfn.XLOOKUP(tbl_FACTS[[#This Row],[SupplierID]],Πίνακας9[SupplierID],Πίνακας9[SupplierName])</f>
        <v>Plutzer Lebensmittelgro├ƒmarkte AG</v>
      </c>
      <c r="Q519" s="21">
        <f>_xlfn.XLOOKUP(tbl_FACTS[[#This Row],[ProductID]],Πίνακας7[ProductID],Πίνακας7[Price])</f>
        <v>46</v>
      </c>
      <c r="R519" s="21">
        <f>tbl_FACTS[[#This Row],[Quantity]]*tbl_FACTS[[#This Row],[Price]]</f>
        <v>552</v>
      </c>
      <c r="S519" s="19">
        <f>IF(COUNTIFS(tbl_FACTS[OrderID],tbl_FACTS[[#This Row],[OrderID]],tbl_FACTS[OrderDetailID],"&lt;"&amp;tbl_FACTS[[#This Row],[OrderDetailID]])=0,1,0)</f>
        <v>0</v>
      </c>
      <c r="T519" s="19">
        <f>YEAR(tbl_FACTS[[#This Row],[OrderDate]])</f>
        <v>1997</v>
      </c>
      <c r="U519" s="22">
        <f>DATE(YEAR(tbl_FACTS[[#This Row],[OrderDate]]),MONTH(tbl_FACTS[[#This Row],[OrderDate]]),1)</f>
        <v>35462</v>
      </c>
      <c r="V519" s="22" t="str">
        <f>IF(tbl_FACTS[[#This Row],[Quantity]]&lt;=10,"0–10",IF(tbl_FACTS[[#This Row],[Quantity]]&lt;=20,"11–20",IF(tbl_FACTS[[#This Row],[Quantity]]&lt;=30,"21–30",IF(tbl_FACTS[[#This Row],[Quantity]]&lt;=40,"31–40",IF(tbl_FACTS[[#This Row],[Quantity]]&lt;=50,"41–50","51+")))))</f>
        <v>11–20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2307C-68FC-4F48-BBD9-FB7127758122}">
  <dimension ref="A5:D50"/>
  <sheetViews>
    <sheetView tabSelected="1" topLeftCell="A34" workbookViewId="0">
      <selection activeCell="A43" sqref="A43"/>
    </sheetView>
  </sheetViews>
  <sheetFormatPr defaultRowHeight="14.5"/>
  <cols>
    <col min="1" max="1" width="17.7265625" bestFit="1" customWidth="1"/>
    <col min="2" max="2" width="23.6328125" bestFit="1" customWidth="1"/>
    <col min="3" max="3" width="17.453125" bestFit="1" customWidth="1"/>
    <col min="4" max="4" width="17.81640625" bestFit="1" customWidth="1"/>
  </cols>
  <sheetData>
    <row r="5" spans="1:2">
      <c r="A5" s="76" t="s">
        <v>1</v>
      </c>
      <c r="B5" t="s">
        <v>948</v>
      </c>
    </row>
    <row r="6" spans="1:2">
      <c r="A6" s="77" t="s">
        <v>3</v>
      </c>
      <c r="B6" s="21">
        <v>99699</v>
      </c>
    </row>
    <row r="7" spans="1:2">
      <c r="A7" s="77" t="s">
        <v>5</v>
      </c>
      <c r="B7" s="21">
        <v>35024</v>
      </c>
    </row>
    <row r="8" spans="1:2">
      <c r="A8" s="77" t="s">
        <v>7</v>
      </c>
      <c r="B8" s="21">
        <v>54729</v>
      </c>
    </row>
    <row r="9" spans="1:2">
      <c r="A9" s="77" t="s">
        <v>9</v>
      </c>
      <c r="B9" s="21">
        <v>70530</v>
      </c>
    </row>
    <row r="10" spans="1:2">
      <c r="A10" s="77" t="s">
        <v>11</v>
      </c>
      <c r="B10" s="21">
        <v>22370</v>
      </c>
    </row>
    <row r="11" spans="1:2">
      <c r="A11" s="77" t="s">
        <v>13</v>
      </c>
      <c r="B11" s="21">
        <v>51636</v>
      </c>
    </row>
    <row r="12" spans="1:2">
      <c r="A12" s="77" t="s">
        <v>15</v>
      </c>
      <c r="B12" s="21">
        <v>23439</v>
      </c>
    </row>
    <row r="13" spans="1:2">
      <c r="A13" s="77" t="s">
        <v>17</v>
      </c>
      <c r="B13" s="21">
        <v>29639</v>
      </c>
    </row>
    <row r="14" spans="1:2">
      <c r="A14" s="77" t="s">
        <v>947</v>
      </c>
      <c r="B14" s="21">
        <v>387066</v>
      </c>
    </row>
    <row r="16" spans="1:2">
      <c r="A16" s="76" t="s">
        <v>463</v>
      </c>
      <c r="B16" t="s">
        <v>951</v>
      </c>
    </row>
    <row r="18" spans="1:4">
      <c r="A18" s="76" t="s">
        <v>25</v>
      </c>
      <c r="B18" t="s">
        <v>949</v>
      </c>
      <c r="D18" t="s">
        <v>952</v>
      </c>
    </row>
    <row r="19" spans="1:4">
      <c r="A19" s="77" t="s">
        <v>83</v>
      </c>
      <c r="B19" s="75">
        <v>20818</v>
      </c>
      <c r="D19" s="78">
        <v>15161</v>
      </c>
    </row>
    <row r="20" spans="1:4">
      <c r="A20" s="77" t="s">
        <v>118</v>
      </c>
      <c r="B20" s="75">
        <v>404353</v>
      </c>
    </row>
    <row r="21" spans="1:4">
      <c r="A21" s="77" t="s">
        <v>248</v>
      </c>
      <c r="B21" s="75">
        <v>61662</v>
      </c>
    </row>
    <row r="22" spans="1:4">
      <c r="A22" s="77" t="s">
        <v>97</v>
      </c>
      <c r="B22" s="75">
        <v>568678</v>
      </c>
    </row>
    <row r="23" spans="1:4">
      <c r="A23" s="77" t="s">
        <v>74</v>
      </c>
      <c r="B23" s="75">
        <v>270319</v>
      </c>
    </row>
    <row r="24" spans="1:4">
      <c r="A24" s="77" t="s">
        <v>338</v>
      </c>
      <c r="B24" s="75">
        <v>145414</v>
      </c>
    </row>
    <row r="25" spans="1:4">
      <c r="A25" s="77" t="s">
        <v>393</v>
      </c>
      <c r="B25" s="75">
        <v>154966</v>
      </c>
    </row>
    <row r="26" spans="1:4">
      <c r="A26" s="77" t="s">
        <v>59</v>
      </c>
      <c r="B26" s="75">
        <v>455449</v>
      </c>
    </row>
    <row r="27" spans="1:4">
      <c r="A27" s="77" t="s">
        <v>30</v>
      </c>
      <c r="B27" s="75">
        <v>764797</v>
      </c>
    </row>
    <row r="28" spans="1:4">
      <c r="A28" s="77" t="s">
        <v>192</v>
      </c>
      <c r="B28" s="75">
        <v>217201</v>
      </c>
    </row>
    <row r="29" spans="1:4">
      <c r="A29" s="77" t="s">
        <v>146</v>
      </c>
      <c r="B29" s="75">
        <v>134674</v>
      </c>
    </row>
    <row r="30" spans="1:4">
      <c r="A30" s="77" t="s">
        <v>35</v>
      </c>
      <c r="B30" s="75">
        <v>206122</v>
      </c>
    </row>
    <row r="31" spans="1:4">
      <c r="A31" s="77" t="s">
        <v>325</v>
      </c>
      <c r="B31" s="75">
        <v>41548</v>
      </c>
    </row>
    <row r="32" spans="1:4">
      <c r="A32" s="77" t="s">
        <v>412</v>
      </c>
      <c r="B32" s="75">
        <v>20748</v>
      </c>
    </row>
    <row r="33" spans="1:2">
      <c r="A33" s="77" t="s">
        <v>151</v>
      </c>
      <c r="B33" s="75">
        <v>93251</v>
      </c>
    </row>
    <row r="34" spans="1:2">
      <c r="A34" s="77" t="s">
        <v>64</v>
      </c>
      <c r="B34" s="75">
        <v>185796</v>
      </c>
    </row>
    <row r="35" spans="1:2">
      <c r="A35" s="77" t="s">
        <v>50</v>
      </c>
      <c r="B35" s="75">
        <v>185802</v>
      </c>
    </row>
    <row r="36" spans="1:2">
      <c r="A36" s="77" t="s">
        <v>91</v>
      </c>
      <c r="B36" s="75">
        <v>123730</v>
      </c>
    </row>
    <row r="37" spans="1:2">
      <c r="A37" s="77" t="s">
        <v>44</v>
      </c>
      <c r="B37" s="75">
        <v>290252</v>
      </c>
    </row>
    <row r="38" spans="1:2">
      <c r="A38" s="77" t="s">
        <v>169</v>
      </c>
      <c r="B38" s="75">
        <v>785993</v>
      </c>
    </row>
    <row r="39" spans="1:2">
      <c r="A39" s="77" t="s">
        <v>174</v>
      </c>
      <c r="B39" s="75">
        <v>227029</v>
      </c>
    </row>
    <row r="40" spans="1:2">
      <c r="A40" s="77" t="s">
        <v>946</v>
      </c>
      <c r="B40" s="75">
        <v>5358602</v>
      </c>
    </row>
    <row r="43" spans="1:2">
      <c r="A43" s="76" t="s">
        <v>945</v>
      </c>
      <c r="B43" t="s">
        <v>950</v>
      </c>
    </row>
    <row r="44" spans="1:2">
      <c r="A44" s="77" t="s">
        <v>953</v>
      </c>
      <c r="B44" s="75">
        <v>132</v>
      </c>
    </row>
    <row r="45" spans="1:2">
      <c r="A45" s="77" t="s">
        <v>954</v>
      </c>
      <c r="B45" s="75">
        <v>163</v>
      </c>
    </row>
    <row r="46" spans="1:2">
      <c r="A46" s="77" t="s">
        <v>955</v>
      </c>
      <c r="B46" s="75">
        <v>91</v>
      </c>
    </row>
    <row r="47" spans="1:2">
      <c r="A47" s="77" t="s">
        <v>956</v>
      </c>
      <c r="B47" s="75">
        <v>55</v>
      </c>
    </row>
    <row r="48" spans="1:2">
      <c r="A48" s="77" t="s">
        <v>957</v>
      </c>
      <c r="B48" s="75">
        <v>33</v>
      </c>
    </row>
    <row r="49" spans="1:2">
      <c r="A49" s="77" t="s">
        <v>958</v>
      </c>
      <c r="B49" s="75">
        <v>44</v>
      </c>
    </row>
    <row r="50" spans="1:2">
      <c r="A50" s="77" t="s">
        <v>946</v>
      </c>
      <c r="B50" s="75">
        <v>518</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 �������������� ��� �������������� ��� ������������ ��� ������������ ��� ������������ ��� �������������� ��� �������������� ��� �������������� ��� ������������ ��� ������������ ��� ������������ ��� �������������� ��� �������������� ��� �������������� ��� ������������ ��� ������������ ��� ������������ ��� �������������� ��� �������������� ��� �������������� ��� ������������ ��� ������������ ��� ������������ ��� ����������������������������������
</file>

<file path=customXml/item16.xml>��
</file>

<file path=customXml/item17.xml>��
</file>

<file path=customXml/item18.xml>����������������
</file>

<file path=customXml/item19.xml>��
</file>

<file path=customXml/item20.xml>���������4,�������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11173F31-39DC-48F8-B30B-661307D9625F}">
  <ds:schemaRefs/>
</ds:datastoreItem>
</file>

<file path=customXml/itemProps2.xml><?xml version="1.0" encoding="utf-8"?>
<ds:datastoreItem xmlns:ds="http://schemas.openxmlformats.org/officeDocument/2006/customXml" ds:itemID="{B003EA01-5686-48DE-BEA9-58FEFA29A4D9}">
  <ds:schemaRefs/>
</ds:datastoreItem>
</file>

<file path=customXml/itemProps3.xml><?xml version="1.0" encoding="utf-8"?>
<ds:datastoreItem xmlns:ds="http://schemas.openxmlformats.org/officeDocument/2006/customXml" ds:itemID="{7E696E44-A9E6-418E-9511-1144576AB0E2}">
  <ds:schemaRefs/>
</ds:datastoreItem>
</file>

<file path=customXml/itemProps4.xml><?xml version="1.0" encoding="utf-8"?>
<ds:datastoreItem xmlns:ds="http://schemas.openxmlformats.org/officeDocument/2006/customXml" ds:itemID="{A592804D-328A-43B0-9630-56D3434F74AA}">
  <ds:schemaRefs/>
</ds:datastoreItem>
</file>

<file path=customXml/itemProps5.xml><?xml version="1.0" encoding="utf-8"?>
<ds:datastoreItem xmlns:ds="http://schemas.openxmlformats.org/officeDocument/2006/customXml" ds:itemID="{54D89B32-6535-4461-AAFD-DC67E1DF0E9D}">
  <ds:schemaRefs/>
</ds:datastoreItem>
</file>

<file path=customXml/itemProps6.xml><?xml version="1.0" encoding="utf-8"?>
<ds:datastoreItem xmlns:ds="http://schemas.openxmlformats.org/officeDocument/2006/customXml" ds:itemID="{EE68CC4E-EF85-4C49-B554-18F80B9F99CD}">
  <ds:schemaRefs/>
</ds:datastoreItem>
</file>

<file path=customXml/itemProps7.xml><?xml version="1.0" encoding="utf-8"?>
<ds:datastoreItem xmlns:ds="http://schemas.openxmlformats.org/officeDocument/2006/customXml" ds:itemID="{E11B5BC9-1445-4C86-8589-A7573EB542F4}">
  <ds:schemaRefs/>
</ds:datastoreItem>
</file>

<file path=customXml/itemProps8.xml><?xml version="1.0" encoding="utf-8"?>
<ds:datastoreItem xmlns:ds="http://schemas.openxmlformats.org/officeDocument/2006/customXml" ds:itemID="{10B676FD-861D-492B-B52D-4B6CDE17102A}">
  <ds:schemaRefs/>
</ds:datastoreItem>
</file>

<file path=customXml/itemProps9.xml><?xml version="1.0" encoding="utf-8"?>
<ds:datastoreItem xmlns:ds="http://schemas.openxmlformats.org/officeDocument/2006/customXml" ds:itemID="{49FFAB59-0FF3-4F29-806B-D7EE57075247}">
  <ds:schemaRefs/>
</ds:datastoreItem>
</file>

<file path=customXml/itemProps10.xml><?xml version="1.0" encoding="utf-8"?>
<ds:datastoreItem xmlns:ds="http://schemas.openxmlformats.org/officeDocument/2006/customXml" ds:itemID="{6B1C130E-B204-480D-A46B-EDC13A557228}">
  <ds:schemaRefs/>
</ds:datastoreItem>
</file>

<file path=customXml/itemProps11.xml><?xml version="1.0" encoding="utf-8"?>
<ds:datastoreItem xmlns:ds="http://schemas.openxmlformats.org/officeDocument/2006/customXml" ds:itemID="{76FAC73B-0392-4AB0-B31B-9493699EC001}">
  <ds:schemaRefs/>
</ds:datastoreItem>
</file>

<file path=customXml/itemProps12.xml><?xml version="1.0" encoding="utf-8"?>
<ds:datastoreItem xmlns:ds="http://schemas.openxmlformats.org/officeDocument/2006/customXml" ds:itemID="{5DD41EBE-97A8-4949-AD17-3D4AE3B7F9A6}">
  <ds:schemaRefs/>
</ds:datastoreItem>
</file>

<file path=customXml/itemProps13.xml><?xml version="1.0" encoding="utf-8"?>
<ds:datastoreItem xmlns:ds="http://schemas.openxmlformats.org/officeDocument/2006/customXml" ds:itemID="{1C66CAAE-76D3-4819-A9BC-9A8741174FBC}">
  <ds:schemaRefs/>
</ds:datastoreItem>
</file>

<file path=customXml/itemProps14.xml><?xml version="1.0" encoding="utf-8"?>
<ds:datastoreItem xmlns:ds="http://schemas.openxmlformats.org/officeDocument/2006/customXml" ds:itemID="{E061AB7D-C69E-4928-8913-DF4EED7C9AB2}">
  <ds:schemaRefs/>
</ds:datastoreItem>
</file>

<file path=customXml/itemProps15.xml><?xml version="1.0" encoding="utf-8"?>
<ds:datastoreItem xmlns:ds="http://schemas.openxmlformats.org/officeDocument/2006/customXml" ds:itemID="{00E605C5-3D00-43E3-9D03-766049B1A0B5}">
  <ds:schemaRefs/>
</ds:datastoreItem>
</file>

<file path=customXml/itemProps16.xml><?xml version="1.0" encoding="utf-8"?>
<ds:datastoreItem xmlns:ds="http://schemas.openxmlformats.org/officeDocument/2006/customXml" ds:itemID="{874EEF47-7ECA-4FCA-85AB-FD580F406221}">
  <ds:schemaRefs/>
</ds:datastoreItem>
</file>

<file path=customXml/itemProps17.xml><?xml version="1.0" encoding="utf-8"?>
<ds:datastoreItem xmlns:ds="http://schemas.openxmlformats.org/officeDocument/2006/customXml" ds:itemID="{372D5EBC-259E-4253-BAC8-9417F7A00907}">
  <ds:schemaRefs/>
</ds:datastoreItem>
</file>

<file path=customXml/itemProps18.xml><?xml version="1.0" encoding="utf-8"?>
<ds:datastoreItem xmlns:ds="http://schemas.openxmlformats.org/officeDocument/2006/customXml" ds:itemID="{EE08607B-DC73-4C97-917A-7FD9F9BF1BE0}">
  <ds:schemaRefs/>
</ds:datastoreItem>
</file>

<file path=customXml/itemProps19.xml><?xml version="1.0" encoding="utf-8"?>
<ds:datastoreItem xmlns:ds="http://schemas.openxmlformats.org/officeDocument/2006/customXml" ds:itemID="{9E620B4A-14D2-4B3B-88DB-7EE4B2809072}">
  <ds:schemaRefs/>
</ds:datastoreItem>
</file>

<file path=customXml/itemProps20.xml><?xml version="1.0" encoding="utf-8"?>
<ds:datastoreItem xmlns:ds="http://schemas.openxmlformats.org/officeDocument/2006/customXml" ds:itemID="{7AE73ABA-F6A8-4204-B146-E8A2E71FF9C5}">
  <ds:schemaRefs/>
</ds:datastoreItem>
</file>

<file path=customXml/itemProps21.xml><?xml version="1.0" encoding="utf-8"?>
<ds:datastoreItem xmlns:ds="http://schemas.openxmlformats.org/officeDocument/2006/customXml" ds:itemID="{7A0E9456-28F0-4CEA-9942-9D9328323B81}">
  <ds:schemaRefs>
    <ds:schemaRef ds:uri="http://schemas.microsoft.com/DataMashup"/>
  </ds:schemaRefs>
</ds:datastoreItem>
</file>

<file path=customXml/itemProps22.xml><?xml version="1.0" encoding="utf-8"?>
<ds:datastoreItem xmlns:ds="http://schemas.openxmlformats.org/officeDocument/2006/customXml" ds:itemID="{F8E52269-209A-4BE1-A6AF-32CF1ED68DC9}">
  <ds:schemaRefs/>
</ds:datastoreItem>
</file>

<file path=customXml/itemProps23.xml><?xml version="1.0" encoding="utf-8"?>
<ds:datastoreItem xmlns:ds="http://schemas.openxmlformats.org/officeDocument/2006/customXml" ds:itemID="{0F127F46-C6B8-4B1C-BC7B-5FB915428E81}">
  <ds:schemaRefs/>
</ds:datastoreItem>
</file>

<file path=customXml/itemProps24.xml><?xml version="1.0" encoding="utf-8"?>
<ds:datastoreItem xmlns:ds="http://schemas.openxmlformats.org/officeDocument/2006/customXml" ds:itemID="{10AE982D-75EF-4608-ABD9-DC22B4D8F1E4}">
  <ds:schemaRefs/>
</ds:datastoreItem>
</file>

<file path=customXml/itemProps25.xml><?xml version="1.0" encoding="utf-8"?>
<ds:datastoreItem xmlns:ds="http://schemas.openxmlformats.org/officeDocument/2006/customXml" ds:itemID="{BEB04B43-922D-43F8-8684-25A482FADB4E}">
  <ds:schemaRefs/>
</ds:datastoreItem>
</file>

<file path=customXml/itemProps26.xml><?xml version="1.0" encoding="utf-8"?>
<ds:datastoreItem xmlns:ds="http://schemas.openxmlformats.org/officeDocument/2006/customXml" ds:itemID="{8088E0ED-46C1-489C-A7EE-6C30B5FDFB6C}">
  <ds:schemaRefs/>
</ds:datastoreItem>
</file>

<file path=customXml/itemProps27.xml><?xml version="1.0" encoding="utf-8"?>
<ds:datastoreItem xmlns:ds="http://schemas.openxmlformats.org/officeDocument/2006/customXml" ds:itemID="{E0DD07E4-3D83-46E7-A652-9101E73CEB1C}">
  <ds:schemaRefs/>
</ds:datastoreItem>
</file>

<file path=docMetadata/LabelInfo.xml><?xml version="1.0" encoding="utf-8"?>
<clbl:labelList xmlns:clbl="http://schemas.microsoft.com/office/2020/mipLabelMetadata">
  <clbl:label id="{82bcfee7-4486-4309-a860-04936daa697d}" enabled="0" method="" siteId="{82bcfee7-4486-4309-a860-04936daa697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14</vt:i4>
      </vt:variant>
    </vt:vector>
  </HeadingPairs>
  <TitlesOfParts>
    <vt:vector size="14" baseType="lpstr">
      <vt:lpstr>Northwind dataset</vt:lpstr>
      <vt:lpstr>categories</vt:lpstr>
      <vt:lpstr>customers</vt:lpstr>
      <vt:lpstr>employees</vt:lpstr>
      <vt:lpstr>orderdetails</vt:lpstr>
      <vt:lpstr>orders</vt:lpstr>
      <vt:lpstr>orders1</vt:lpstr>
      <vt:lpstr>products</vt:lpstr>
      <vt:lpstr>shippers</vt:lpstr>
      <vt:lpstr>suppliers</vt:lpstr>
      <vt:lpstr>ΟΔΗΓΙΕΣ</vt:lpstr>
      <vt:lpstr>01_ΕΡΓΑΣΤΗΡΙΟ</vt:lpstr>
      <vt:lpstr>02_FACTS</vt:lpstr>
      <vt:lpstr>03_PIVOT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DIONYSIA GRIGORAKI</cp:lastModifiedBy>
  <dcterms:created xsi:type="dcterms:W3CDTF">2025-07-08T21:22:16Z</dcterms:created>
  <dcterms:modified xsi:type="dcterms:W3CDTF">2026-09-14T16:59:21Z</dcterms:modified>
</cp:coreProperties>
</file>