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.schaeffer\Desktop\"/>
    </mc:Choice>
  </mc:AlternateContent>
  <workbookProtection workbookPassword="D87B" lockStructure="1"/>
  <bookViews>
    <workbookView xWindow="720" yWindow="300" windowWidth="11115" windowHeight="8190" tabRatio="840" activeTab="5"/>
  </bookViews>
  <sheets>
    <sheet name="Disclaimer" sheetId="10" r:id="rId1"/>
    <sheet name="MAYNORD" sheetId="3" r:id="rId2"/>
    <sheet name="Lanes FWS" sheetId="1" r:id="rId3"/>
    <sheet name="ISBASH" sheetId="2" r:id="rId4"/>
    <sheet name="USCOE High Energy" sheetId="5" r:id="rId5"/>
    <sheet name="Rock Chutes and Grade Control" sheetId="8" r:id="rId6"/>
    <sheet name="Low energy - 108 Report" sheetId="6" r:id="rId7"/>
    <sheet name="Misc Calculations" sheetId="4" r:id="rId8"/>
  </sheets>
  <definedNames>
    <definedName name="_xlnm.Print_Area" localSheetId="3">ISBASH!$A$1:$K$62</definedName>
  </definedNames>
  <calcPr calcId="152511"/>
</workbook>
</file>

<file path=xl/calcChain.xml><?xml version="1.0" encoding="utf-8"?>
<calcChain xmlns="http://schemas.openxmlformats.org/spreadsheetml/2006/main">
  <c r="D28" i="5" l="1"/>
  <c r="S2" i="2"/>
  <c r="S1" i="2" s="1"/>
  <c r="D22" i="2"/>
  <c r="D5" i="8"/>
  <c r="D12" i="8" s="1"/>
  <c r="D13" i="8" s="1"/>
  <c r="D6" i="8"/>
  <c r="D9" i="8" s="1"/>
  <c r="D10" i="8" s="1"/>
  <c r="B5" i="8"/>
  <c r="B8" i="8" s="1"/>
  <c r="B9" i="8" s="1"/>
  <c r="B6" i="8"/>
  <c r="D7" i="4"/>
  <c r="D11" i="4" s="1"/>
  <c r="D10" i="4" s="1"/>
  <c r="B7" i="4"/>
  <c r="B8" i="4"/>
  <c r="B11" i="4"/>
  <c r="B10" i="4" s="1"/>
  <c r="B7" i="6"/>
  <c r="B8" i="6" s="1"/>
  <c r="C8" i="5"/>
  <c r="E8" i="5" s="1"/>
  <c r="I44" i="3"/>
  <c r="K44" i="3" s="1"/>
  <c r="C44" i="3"/>
  <c r="E44" i="3" s="1"/>
  <c r="D29" i="3"/>
  <c r="D31" i="3" s="1"/>
  <c r="K24" i="3"/>
  <c r="K25" i="3"/>
  <c r="K27" i="3" s="1"/>
  <c r="E24" i="3"/>
  <c r="E25" i="3" s="1"/>
  <c r="B20" i="1"/>
  <c r="D33" i="1" s="1"/>
  <c r="D35" i="1"/>
  <c r="A35" i="1"/>
  <c r="D34" i="1"/>
  <c r="A34" i="1"/>
  <c r="D31" i="1"/>
  <c r="A31" i="1"/>
  <c r="D30" i="1"/>
  <c r="A30" i="1"/>
  <c r="D37" i="1"/>
  <c r="G52" i="3" l="1"/>
  <c r="G51" i="3"/>
  <c r="G50" i="3"/>
  <c r="G53" i="3"/>
  <c r="G54" i="3"/>
  <c r="D26" i="5"/>
  <c r="A25" i="5"/>
  <c r="A21" i="5"/>
  <c r="D21" i="5"/>
  <c r="D25" i="5"/>
  <c r="A24" i="5"/>
  <c r="A20" i="5"/>
  <c r="A26" i="5"/>
  <c r="D24" i="5"/>
  <c r="A23" i="5"/>
  <c r="D22" i="5"/>
  <c r="D23" i="5"/>
  <c r="A22" i="5"/>
  <c r="D20" i="5"/>
  <c r="H51" i="3"/>
  <c r="H50" i="3"/>
  <c r="H52" i="3"/>
  <c r="H54" i="3"/>
  <c r="H53" i="3"/>
  <c r="A32" i="1"/>
  <c r="D20" i="1"/>
  <c r="D32" i="1"/>
  <c r="Q2" i="2"/>
  <c r="A29" i="1"/>
  <c r="A33" i="1"/>
  <c r="D29" i="1"/>
  <c r="Q1" i="2" l="1"/>
  <c r="B5" i="2"/>
  <c r="D15" i="2" l="1"/>
  <c r="A17" i="2"/>
  <c r="A18" i="2"/>
  <c r="A16" i="2"/>
  <c r="A15" i="2"/>
  <c r="A14" i="2"/>
  <c r="D19" i="2"/>
  <c r="A20" i="2"/>
  <c r="A19" i="2"/>
  <c r="D17" i="2"/>
  <c r="D16" i="2"/>
  <c r="D18" i="2"/>
  <c r="D20" i="2"/>
  <c r="D14" i="2"/>
</calcChain>
</file>

<file path=xl/sharedStrings.xml><?xml version="1.0" encoding="utf-8"?>
<sst xmlns="http://schemas.openxmlformats.org/spreadsheetml/2006/main" count="286" uniqueCount="163">
  <si>
    <t>SPECIFIC GRAVITY OF STONE</t>
  </si>
  <si>
    <t>ROCK SIZE BASED ON FAR WEST STATES</t>
  </si>
  <si>
    <t>SPECIFIC WEIGHT OF STONE</t>
  </si>
  <si>
    <t>LBS/CU FT</t>
  </si>
  <si>
    <t xml:space="preserve"> (FWS) - LANE METHOD</t>
  </si>
  <si>
    <t>FIGURE 16A-2 - PAGE 16A-2</t>
  </si>
  <si>
    <t>% PASS</t>
  </si>
  <si>
    <t>DIAMETER</t>
  </si>
  <si>
    <t>LOWER "K"</t>
  </si>
  <si>
    <t>UPPER "K"</t>
  </si>
  <si>
    <t>SIDE</t>
  </si>
  <si>
    <r>
      <t>D</t>
    </r>
    <r>
      <rPr>
        <vertAlign val="subscript"/>
        <sz val="10"/>
        <rFont val="Arial"/>
        <family val="2"/>
      </rPr>
      <t>100</t>
    </r>
  </si>
  <si>
    <t>Rc/Ws</t>
  </si>
  <si>
    <t>C</t>
  </si>
  <si>
    <t>SLOPE</t>
  </si>
  <si>
    <t>K</t>
  </si>
  <si>
    <r>
      <t>D</t>
    </r>
    <r>
      <rPr>
        <vertAlign val="subscript"/>
        <sz val="10"/>
        <rFont val="Arial"/>
        <family val="2"/>
      </rPr>
      <t>75</t>
    </r>
  </si>
  <si>
    <t>4-6</t>
  </si>
  <si>
    <t>1.5:1</t>
  </si>
  <si>
    <r>
      <t>D</t>
    </r>
    <r>
      <rPr>
        <vertAlign val="subscript"/>
        <sz val="10"/>
        <rFont val="Arial"/>
        <family val="2"/>
      </rPr>
      <t>60</t>
    </r>
  </si>
  <si>
    <t>6-9</t>
  </si>
  <si>
    <t>1.75:1</t>
  </si>
  <si>
    <r>
      <t>D</t>
    </r>
    <r>
      <rPr>
        <vertAlign val="subscript"/>
        <sz val="10"/>
        <rFont val="Arial"/>
        <family val="2"/>
      </rPr>
      <t>50</t>
    </r>
  </si>
  <si>
    <t>9-12</t>
  </si>
  <si>
    <t>2:1</t>
  </si>
  <si>
    <r>
      <t>D</t>
    </r>
    <r>
      <rPr>
        <vertAlign val="subscript"/>
        <sz val="10"/>
        <rFont val="Arial"/>
        <family val="2"/>
      </rPr>
      <t>40</t>
    </r>
  </si>
  <si>
    <t>STRAIGHT</t>
  </si>
  <si>
    <t>2.5:1</t>
  </si>
  <si>
    <r>
      <t>D</t>
    </r>
    <r>
      <rPr>
        <vertAlign val="subscript"/>
        <sz val="10"/>
        <rFont val="Arial"/>
        <family val="2"/>
      </rPr>
      <t>30</t>
    </r>
  </si>
  <si>
    <t>3:1</t>
  </si>
  <si>
    <r>
      <t>D</t>
    </r>
    <r>
      <rPr>
        <vertAlign val="subscript"/>
        <sz val="10"/>
        <rFont val="Arial"/>
        <family val="2"/>
      </rPr>
      <t>20</t>
    </r>
  </si>
  <si>
    <t>D75=(3.5/CK)wDS</t>
  </si>
  <si>
    <t>ISBASH CURVE - APPENDIX 16A - PG. 16A-1</t>
  </si>
  <si>
    <t>w=</t>
  </si>
  <si>
    <t>D=</t>
  </si>
  <si>
    <t>FT</t>
  </si>
  <si>
    <t>VELOCITY=</t>
  </si>
  <si>
    <t>FPS</t>
  </si>
  <si>
    <t>S=</t>
  </si>
  <si>
    <t>FT/FT</t>
  </si>
  <si>
    <t>D100=</t>
  </si>
  <si>
    <t>INCHES</t>
  </si>
  <si>
    <t>C=</t>
  </si>
  <si>
    <t>S/S of ROCK=</t>
  </si>
  <si>
    <t>K=</t>
  </si>
  <si>
    <t>D75=</t>
  </si>
  <si>
    <t>ft</t>
  </si>
  <si>
    <t>Kd=</t>
  </si>
  <si>
    <t>D = (D75/Kd)(K)</t>
  </si>
  <si>
    <t>Riprap Size - Maynord</t>
  </si>
  <si>
    <t>Sf =</t>
  </si>
  <si>
    <t>Cs =</t>
  </si>
  <si>
    <t>Cv =</t>
  </si>
  <si>
    <t>Ct =</t>
  </si>
  <si>
    <t>d =</t>
  </si>
  <si>
    <t>Vel =</t>
  </si>
  <si>
    <t>K1 =</t>
  </si>
  <si>
    <t>D(30)* =</t>
  </si>
  <si>
    <t>*eqn 3-3  EM1110-2-1601</t>
  </si>
  <si>
    <t>USACOE</t>
  </si>
  <si>
    <t>D15</t>
  </si>
  <si>
    <t>D30</t>
  </si>
  <si>
    <t>D50</t>
  </si>
  <si>
    <t>D85</t>
  </si>
  <si>
    <t>D100</t>
  </si>
  <si>
    <t>ROCK SIZE BASED ON MAYNORD</t>
  </si>
  <si>
    <t>USCOE EM 1110-2-1601</t>
  </si>
  <si>
    <t>D(30) is riprap size of which 30 percent is finer by weight</t>
  </si>
  <si>
    <t>Sf is safety factor (typical min is 1.1)</t>
  </si>
  <si>
    <t>Cs is stability coeff for incipient Failure (D85/D15 = 1.7 to 5.2)</t>
  </si>
  <si>
    <t>Cs = 0.30 for angular rock, Cs=0.375 for rounded rock</t>
  </si>
  <si>
    <t>Cv is vertical velocity distribution coeff</t>
  </si>
  <si>
    <t>Cv = 1.25 for downstream of conc channels or ends or dikes</t>
  </si>
  <si>
    <t>Cv = 1.283-0.2 log (R/W) for outside of bends</t>
  </si>
  <si>
    <t>Cv = 1.0 for straight channels, R/W&gt;26,  or inside bends</t>
  </si>
  <si>
    <t>Ct is thickness coefficient</t>
  </si>
  <si>
    <t>Ct = 1.0 for thickness 1.0D100 or 1.5D50</t>
  </si>
  <si>
    <t>d is local depth</t>
  </si>
  <si>
    <t>K1 is side slope correctional coeff</t>
  </si>
  <si>
    <t>theta is angle of side slope</t>
  </si>
  <si>
    <t>phi is angle or repose of riprap (typically 40 degrees)</t>
  </si>
  <si>
    <t>Cv calculation</t>
  </si>
  <si>
    <t>R/W =</t>
  </si>
  <si>
    <t xml:space="preserve">Cv = </t>
  </si>
  <si>
    <t>V is local velocity or Vss for side slope placed stone</t>
  </si>
  <si>
    <t>Vss calculation</t>
  </si>
  <si>
    <t>Vss/Vavg =</t>
  </si>
  <si>
    <t>K1 calculation</t>
  </si>
  <si>
    <t xml:space="preserve">Side slope </t>
  </si>
  <si>
    <t>H:1V</t>
  </si>
  <si>
    <t>theta</t>
  </si>
  <si>
    <t>phi</t>
  </si>
  <si>
    <t>Depth</t>
  </si>
  <si>
    <t>Velocity =</t>
  </si>
  <si>
    <t>inches</t>
  </si>
  <si>
    <t>unit weight water =</t>
  </si>
  <si>
    <t>unit weight stone =</t>
  </si>
  <si>
    <t>Gradation</t>
  </si>
  <si>
    <t>Option 1</t>
  </si>
  <si>
    <t>Option 2</t>
  </si>
  <si>
    <t>unit weight of stone is 135 to 185; typical 165</t>
  </si>
  <si>
    <t>slope =</t>
  </si>
  <si>
    <t>depth =</t>
  </si>
  <si>
    <t>q =</t>
  </si>
  <si>
    <t>Tillatoba</t>
  </si>
  <si>
    <t>USBR</t>
  </si>
  <si>
    <t>ARS rock chute</t>
  </si>
  <si>
    <t>C =</t>
  </si>
  <si>
    <t>slope</t>
  </si>
  <si>
    <t>V =</t>
  </si>
  <si>
    <t>depth</t>
  </si>
  <si>
    <t>for slope&lt;.1</t>
  </si>
  <si>
    <t>D50 =</t>
  </si>
  <si>
    <t>VELOCITY =</t>
  </si>
  <si>
    <t>(Isbasch constant; 0.86 for high turbulent flow and 1.2 for low turbulance)</t>
  </si>
  <si>
    <t>fps</t>
  </si>
  <si>
    <t>ROCK SIZE BASED ON ISBASCH</t>
  </si>
  <si>
    <r>
      <t>D30=SfCsCvCtd[((Gs/(Gs-Gw))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>)(V/(K1gd)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>)]</t>
    </r>
    <r>
      <rPr>
        <vertAlign val="superscript"/>
        <sz val="10"/>
        <rFont val="Arial"/>
        <family val="2"/>
      </rPr>
      <t>2.5</t>
    </r>
  </si>
  <si>
    <t>108 Report</t>
  </si>
  <si>
    <t>D50 (ft) =</t>
  </si>
  <si>
    <t>D50 (in) =</t>
  </si>
  <si>
    <t>for slopes of .1 to .4</t>
  </si>
  <si>
    <t>Abt 1991</t>
  </si>
  <si>
    <t>see Table 3-1 of USCOE EM 1110-2-1601 for more complete info and ranges</t>
  </si>
  <si>
    <t>ft/ft</t>
  </si>
  <si>
    <t>cfs/ft</t>
  </si>
  <si>
    <t>Note: Both Tillatoba and USBR are primarily for riprap below a stilling basin</t>
  </si>
  <si>
    <r>
      <t xml:space="preserve">Computed values are in </t>
    </r>
    <r>
      <rPr>
        <b/>
        <i/>
        <sz val="10"/>
        <color indexed="10"/>
        <rFont val="Arial"/>
        <family val="2"/>
      </rPr>
      <t>bold red</t>
    </r>
  </si>
  <si>
    <r>
      <t xml:space="preserve">Enter values with </t>
    </r>
    <r>
      <rPr>
        <b/>
        <i/>
        <u/>
        <sz val="10"/>
        <rFont val="Arial"/>
        <family val="2"/>
      </rPr>
      <t>underlines</t>
    </r>
  </si>
  <si>
    <t>lb/ft3</t>
  </si>
  <si>
    <t>Bend Radius (approximate from topo, ft) =</t>
  </si>
  <si>
    <t xml:space="preserve">Water surface width (ft) = </t>
  </si>
  <si>
    <t>Vavg (fps) =</t>
  </si>
  <si>
    <t>Vss (fps) =</t>
  </si>
  <si>
    <t>Lower Bound</t>
  </si>
  <si>
    <t>Upper Bound</t>
  </si>
  <si>
    <t>Diameter</t>
  </si>
  <si>
    <t>% Pass</t>
  </si>
  <si>
    <t>see curve below</t>
  </si>
  <si>
    <t>Spreadsheet tool:</t>
  </si>
  <si>
    <t>Version:</t>
  </si>
  <si>
    <t>Contact:</t>
  </si>
  <si>
    <t>Reference:</t>
  </si>
  <si>
    <t>Disclaimer</t>
  </si>
  <si>
    <t>Comments, Feedback</t>
  </si>
  <si>
    <t>jon.fripp@ftw.usda.gov</t>
  </si>
  <si>
    <t>kerry.robinson@gnb.usda.gov</t>
  </si>
  <si>
    <t>jerry.bernard@wdc.usda.gov</t>
  </si>
  <si>
    <r>
      <t>F</t>
    </r>
    <r>
      <rPr>
        <b/>
        <sz val="10"/>
        <rFont val="Arial"/>
        <family val="2"/>
      </rPr>
      <t xml:space="preserve">This Excel spreadsheet tool has specific uses and limits of applicability. </t>
    </r>
  </si>
  <si>
    <r>
      <t>F</t>
    </r>
    <r>
      <rPr>
        <b/>
        <sz val="10"/>
        <rFont val="Arial"/>
        <family val="2"/>
      </rPr>
      <t xml:space="preserve">The user assumes responsibility for the selection and application of this tool. </t>
    </r>
  </si>
  <si>
    <r>
      <t>F</t>
    </r>
    <r>
      <rPr>
        <b/>
        <sz val="10"/>
        <rFont val="Arial"/>
        <family val="2"/>
      </rPr>
      <t>The user should check all of the computed results for reasonableness and accuracy.</t>
    </r>
  </si>
  <si>
    <r>
      <t>F</t>
    </r>
    <r>
      <rPr>
        <b/>
        <sz val="10"/>
        <rFont val="Arial"/>
        <family val="2"/>
      </rPr>
      <t>Users of this spreadsheet tool are requested to provide comments for</t>
    </r>
  </si>
  <si>
    <r>
      <t>F</t>
    </r>
    <r>
      <rPr>
        <b/>
        <sz val="10"/>
        <rFont val="Arial"/>
        <family val="2"/>
      </rPr>
      <t>Suitability:  range of application or limitations</t>
    </r>
  </si>
  <si>
    <r>
      <t>F</t>
    </r>
    <r>
      <rPr>
        <b/>
        <sz val="10"/>
        <rFont val="Arial"/>
        <family val="2"/>
      </rPr>
      <t>Ease of use</t>
    </r>
  </si>
  <si>
    <r>
      <t>F</t>
    </r>
    <r>
      <rPr>
        <b/>
        <sz val="10"/>
        <rFont val="Arial"/>
        <family val="2"/>
      </rPr>
      <t>Results:  Are they reasonable and verified?</t>
    </r>
  </si>
  <si>
    <r>
      <t>F</t>
    </r>
    <r>
      <rPr>
        <b/>
        <sz val="10"/>
        <rFont val="Arial"/>
        <family val="2"/>
      </rPr>
      <t xml:space="preserve">Any other comments for improvement: </t>
    </r>
  </si>
  <si>
    <t>Guidance is provided in Technical Supplement 14-C of the NRCS Stream Restoration Design Handbook.</t>
  </si>
  <si>
    <t>Stone Sizing Spreadsheet</t>
  </si>
  <si>
    <t>Diameter of Stone (in.)</t>
  </si>
  <si>
    <t>Velocity (fps)</t>
  </si>
  <si>
    <t>q = g^(1/2) x yc^(3/2)</t>
  </si>
  <si>
    <t>g=32.2 ft/s2</t>
  </si>
  <si>
    <t>yc=critical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</si>
</sst>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b/>
      <sz val="10"/>
      <name val="Arial"/>
    </font>
    <font>
      <sz val="8"/>
      <name val="Arial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8"/>
      <name val="Arial"/>
    </font>
    <font>
      <u/>
      <sz val="10"/>
      <name val="Arial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u/>
      <sz val="10"/>
      <color indexed="12"/>
      <name val="Arial"/>
    </font>
    <font>
      <sz val="14"/>
      <name val="Arial"/>
    </font>
    <font>
      <sz val="12"/>
      <name val="Arial"/>
    </font>
    <font>
      <b/>
      <sz val="12"/>
      <name val="Arial"/>
      <family val="2"/>
    </font>
    <font>
      <b/>
      <sz val="18"/>
      <name val="Wingdings"/>
      <charset val="2"/>
    </font>
    <font>
      <b/>
      <sz val="1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4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42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/>
      <bottom style="medium">
        <color indexed="57"/>
      </bottom>
      <diagonal/>
    </border>
    <border>
      <left/>
      <right/>
      <top/>
      <bottom style="medium">
        <color indexed="57"/>
      </bottom>
      <diagonal/>
    </border>
    <border>
      <left style="medium">
        <color indexed="57"/>
      </left>
      <right/>
      <top/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/>
      <right style="medium">
        <color indexed="57"/>
      </right>
      <top/>
      <bottom/>
      <diagonal/>
    </border>
    <border>
      <left/>
      <right style="medium">
        <color indexed="57"/>
      </right>
      <top/>
      <bottom style="medium">
        <color indexed="57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1" xfId="0" quotePrefix="1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0" xfId="0" quotePrefix="1" applyFont="1" applyFill="1" applyBorder="1" applyAlignment="1">
      <alignment horizontal="left"/>
    </xf>
    <xf numFmtId="0" fontId="0" fillId="2" borderId="4" xfId="0" quotePrefix="1" applyFill="1" applyBorder="1" applyAlignment="1">
      <alignment horizontal="center"/>
    </xf>
    <xf numFmtId="0" fontId="5" fillId="2" borderId="4" xfId="0" applyFont="1" applyFill="1" applyBorder="1"/>
    <xf numFmtId="0" fontId="6" fillId="2" borderId="0" xfId="0" applyFont="1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/>
    <xf numFmtId="0" fontId="5" fillId="2" borderId="4" xfId="0" quotePrefix="1" applyFont="1" applyFill="1" applyBorder="1" applyAlignment="1">
      <alignment horizontal="center"/>
    </xf>
    <xf numFmtId="16" fontId="0" fillId="2" borderId="4" xfId="0" quotePrefix="1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0" fillId="2" borderId="0" xfId="0" quotePrefix="1" applyNumberFormat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4" xfId="0" quotePrefix="1" applyFont="1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2" fillId="2" borderId="4" xfId="0" quotePrefix="1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9" fillId="2" borderId="4" xfId="0" quotePrefix="1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9" fillId="2" borderId="3" xfId="0" applyFont="1" applyFill="1" applyBorder="1"/>
    <xf numFmtId="0" fontId="11" fillId="2" borderId="5" xfId="0" applyFont="1" applyFill="1" applyBorder="1"/>
    <xf numFmtId="0" fontId="0" fillId="2" borderId="6" xfId="0" applyFill="1" applyBorder="1"/>
    <xf numFmtId="0" fontId="9" fillId="2" borderId="8" xfId="0" applyFont="1" applyFill="1" applyBorder="1"/>
    <xf numFmtId="0" fontId="9" fillId="2" borderId="0" xfId="0" applyFont="1" applyFill="1" applyBorder="1"/>
    <xf numFmtId="0" fontId="11" fillId="2" borderId="0" xfId="0" applyFont="1" applyFill="1" applyBorder="1"/>
    <xf numFmtId="164" fontId="0" fillId="2" borderId="0" xfId="0" applyNumberFormat="1" applyFill="1" applyBorder="1"/>
    <xf numFmtId="2" fontId="9" fillId="2" borderId="7" xfId="0" applyNumberFormat="1" applyFont="1" applyFill="1" applyBorder="1"/>
    <xf numFmtId="164" fontId="9" fillId="2" borderId="6" xfId="0" applyNumberFormat="1" applyFont="1" applyFill="1" applyBorder="1"/>
    <xf numFmtId="0" fontId="0" fillId="2" borderId="9" xfId="0" applyFill="1" applyBorder="1"/>
    <xf numFmtId="2" fontId="0" fillId="2" borderId="5" xfId="0" applyNumberFormat="1" applyFill="1" applyBorder="1"/>
    <xf numFmtId="2" fontId="11" fillId="2" borderId="5" xfId="0" applyNumberFormat="1" applyFont="1" applyFill="1" applyBorder="1"/>
    <xf numFmtId="0" fontId="12" fillId="2" borderId="0" xfId="0" applyFont="1" applyFill="1"/>
    <xf numFmtId="0" fontId="2" fillId="0" borderId="0" xfId="0" quotePrefix="1" applyFont="1" applyBorder="1" applyAlignment="1">
      <alignment horizontal="left"/>
    </xf>
    <xf numFmtId="0" fontId="11" fillId="2" borderId="0" xfId="0" applyFont="1" applyFill="1"/>
    <xf numFmtId="164" fontId="0" fillId="2" borderId="0" xfId="0" applyNumberFormat="1" applyFill="1"/>
    <xf numFmtId="164" fontId="0" fillId="2" borderId="6" xfId="0" applyNumberFormat="1" applyFill="1" applyBorder="1"/>
    <xf numFmtId="164" fontId="0" fillId="2" borderId="8" xfId="0" applyNumberFormat="1" applyFill="1" applyBorder="1"/>
    <xf numFmtId="0" fontId="7" fillId="2" borderId="5" xfId="0" applyFont="1" applyFill="1" applyBorder="1"/>
    <xf numFmtId="164" fontId="2" fillId="2" borderId="5" xfId="0" applyNumberFormat="1" applyFont="1" applyFill="1" applyBorder="1"/>
    <xf numFmtId="164" fontId="2" fillId="2" borderId="0" xfId="0" applyNumberFormat="1" applyFon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14" fillId="2" borderId="0" xfId="0" applyNumberFormat="1" applyFont="1" applyFill="1" applyBorder="1"/>
    <xf numFmtId="164" fontId="14" fillId="2" borderId="7" xfId="0" applyNumberFormat="1" applyFont="1" applyFill="1" applyBorder="1"/>
    <xf numFmtId="2" fontId="14" fillId="2" borderId="7" xfId="0" applyNumberFormat="1" applyFont="1" applyFill="1" applyBorder="1"/>
    <xf numFmtId="2" fontId="14" fillId="2" borderId="8" xfId="0" applyNumberFormat="1" applyFont="1" applyFill="1" applyBorder="1"/>
    <xf numFmtId="2" fontId="14" fillId="2" borderId="0" xfId="0" applyNumberFormat="1" applyFont="1" applyFill="1" applyBorder="1"/>
    <xf numFmtId="2" fontId="14" fillId="2" borderId="4" xfId="0" applyNumberFormat="1" applyFont="1" applyFill="1" applyBorder="1"/>
    <xf numFmtId="2" fontId="14" fillId="2" borderId="6" xfId="0" applyNumberFormat="1" applyFont="1" applyFill="1" applyBorder="1"/>
    <xf numFmtId="0" fontId="7" fillId="2" borderId="2" xfId="0" applyFont="1" applyFill="1" applyBorder="1"/>
    <xf numFmtId="0" fontId="2" fillId="2" borderId="0" xfId="0" applyFont="1" applyFill="1" applyBorder="1" applyAlignment="1">
      <alignment horizontal="center"/>
    </xf>
    <xf numFmtId="0" fontId="9" fillId="2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164" fontId="14" fillId="2" borderId="0" xfId="0" applyNumberFormat="1" applyFont="1" applyFill="1"/>
    <xf numFmtId="164" fontId="14" fillId="2" borderId="5" xfId="0" applyNumberFormat="1" applyFont="1" applyFill="1" applyBorder="1"/>
    <xf numFmtId="164" fontId="14" fillId="2" borderId="8" xfId="0" applyNumberFormat="1" applyFont="1" applyFill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8" fillId="0" borderId="0" xfId="0" applyFont="1" applyBorder="1"/>
    <xf numFmtId="0" fontId="18" fillId="0" borderId="0" xfId="0" applyFont="1"/>
    <xf numFmtId="0" fontId="1" fillId="0" borderId="0" xfId="0" applyFont="1" applyBorder="1" applyAlignment="1">
      <alignment horizontal="right" vertical="top"/>
    </xf>
    <xf numFmtId="0" fontId="20" fillId="4" borderId="1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2" fillId="5" borderId="11" xfId="0" applyFont="1" applyFill="1" applyBorder="1" applyAlignment="1">
      <alignment horizontal="center"/>
    </xf>
    <xf numFmtId="0" fontId="9" fillId="0" borderId="6" xfId="0" applyFont="1" applyBorder="1"/>
    <xf numFmtId="0" fontId="0" fillId="0" borderId="7" xfId="0" applyBorder="1"/>
    <xf numFmtId="0" fontId="0" fillId="5" borderId="5" xfId="0" applyFill="1" applyBorder="1" applyAlignment="1">
      <alignment vertical="center" wrapText="1"/>
    </xf>
    <xf numFmtId="0" fontId="2" fillId="6" borderId="12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2" fillId="6" borderId="15" xfId="0" applyFont="1" applyFill="1" applyBorder="1"/>
    <xf numFmtId="0" fontId="0" fillId="6" borderId="0" xfId="0" applyFill="1"/>
    <xf numFmtId="0" fontId="0" fillId="6" borderId="16" xfId="0" applyFill="1" applyBorder="1"/>
    <xf numFmtId="0" fontId="0" fillId="6" borderId="15" xfId="0" applyFill="1" applyBorder="1"/>
    <xf numFmtId="0" fontId="0" fillId="6" borderId="17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8" xfId="0" applyFill="1" applyBorder="1"/>
    <xf numFmtId="0" fontId="2" fillId="0" borderId="0" xfId="0" applyFont="1"/>
    <xf numFmtId="164" fontId="23" fillId="2" borderId="0" xfId="0" applyNumberFormat="1" applyFont="1" applyFill="1" applyBorder="1"/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9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21" fillId="5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2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5" borderId="0" xfId="1" applyFill="1" applyBorder="1" applyAlignment="1" applyProtection="1">
      <alignment horizontal="center" vertical="center" wrapText="1"/>
    </xf>
    <xf numFmtId="0" fontId="17" fillId="0" borderId="0" xfId="1" applyBorder="1" applyAlignment="1" applyProtection="1">
      <alignment horizontal="center" vertical="center" wrapText="1"/>
    </xf>
    <xf numFmtId="0" fontId="17" fillId="0" borderId="5" xfId="1" applyBorder="1" applyAlignment="1" applyProtection="1">
      <alignment horizontal="center" vertical="center" wrapText="1"/>
    </xf>
    <xf numFmtId="0" fontId="18" fillId="6" borderId="9" xfId="0" applyFont="1" applyFill="1" applyBorder="1" applyAlignment="1">
      <alignment wrapText="1"/>
    </xf>
    <xf numFmtId="0" fontId="21" fillId="5" borderId="4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0" borderId="9" xfId="0" applyNumberFormat="1" applyBorder="1" applyAlignment="1">
      <alignment wrapText="1"/>
    </xf>
    <xf numFmtId="0" fontId="17" fillId="5" borderId="7" xfId="1" applyFill="1" applyBorder="1" applyAlignment="1" applyProtection="1">
      <alignment horizontal="center" vertical="center" wrapText="1"/>
    </xf>
    <xf numFmtId="0" fontId="17" fillId="0" borderId="7" xfId="1" applyBorder="1" applyAlignment="1" applyProtection="1">
      <alignment horizontal="center" vertical="center" wrapText="1"/>
    </xf>
    <xf numFmtId="0" fontId="17" fillId="0" borderId="8" xfId="1" applyBorder="1" applyAlignment="1" applyProtection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21" fillId="4" borderId="4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1" fillId="4" borderId="6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Isbash</a:t>
            </a:r>
            <a:r>
              <a:rPr lang="en-US" baseline="0"/>
              <a:t>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Isbash Curve</c:v>
          </c:tx>
          <c:xVal>
            <c:numRef>
              <c:f>ISBASH!$P$2:$P$15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ISBASH!$O$2:$O$15</c:f>
              <c:numCache>
                <c:formatCode>General</c:formatCode>
                <c:ptCount val="14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3.5</c:v>
                </c:pt>
                <c:pt idx="4">
                  <c:v>5</c:v>
                </c:pt>
                <c:pt idx="5">
                  <c:v>7</c:v>
                </c:pt>
                <c:pt idx="6">
                  <c:v>9.5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29</c:v>
                </c:pt>
                <c:pt idx="13">
                  <c:v>34</c:v>
                </c:pt>
              </c:numCache>
            </c:numRef>
          </c:yVal>
          <c:smooth val="1"/>
        </c:ser>
        <c:ser>
          <c:idx val="1"/>
          <c:order val="1"/>
          <c:tx>
            <c:v>Design Velocity</c:v>
          </c:tx>
          <c:xVal>
            <c:numRef>
              <c:f>ISBASH!$S$1:$S$2</c:f>
              <c:numCache>
                <c:formatCode>General</c:formatCode>
                <c:ptCount val="2"/>
                <c:pt idx="0">
                  <c:v>7.9</c:v>
                </c:pt>
                <c:pt idx="1">
                  <c:v>7.9</c:v>
                </c:pt>
              </c:numCache>
            </c:numRef>
          </c:xVal>
          <c:yVal>
            <c:numRef>
              <c:f>ISBASH!$T$1:$T$2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</c:ser>
        <c:ser>
          <c:idx val="2"/>
          <c:order val="2"/>
          <c:tx>
            <c:v>Design Diameter</c:v>
          </c:tx>
          <c:xVal>
            <c:numRef>
              <c:f>ISBASH!$R$1:$R$2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ISBASH!$Q$1:$Q$2</c:f>
              <c:numCache>
                <c:formatCode>General</c:formatCode>
                <c:ptCount val="2"/>
                <c:pt idx="0">
                  <c:v>9.0721229999999995</c:v>
                </c:pt>
                <c:pt idx="1">
                  <c:v>9.0721229999999995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29480"/>
        <c:axId val="233984160"/>
      </c:scatterChart>
      <c:valAx>
        <c:axId val="23392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(fps)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3984160"/>
        <c:crosses val="autoZero"/>
        <c:crossBetween val="midCat"/>
      </c:valAx>
      <c:valAx>
        <c:axId val="23398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</a:t>
                </a:r>
                <a:r>
                  <a:rPr lang="en-US" baseline="0"/>
                  <a:t> of Stone (in.)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9294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15</xdr:row>
      <xdr:rowOff>123825</xdr:rowOff>
    </xdr:from>
    <xdr:to>
      <xdr:col>1</xdr:col>
      <xdr:colOff>66675</xdr:colOff>
      <xdr:row>20</xdr:row>
      <xdr:rowOff>66675</xdr:rowOff>
    </xdr:to>
    <xdr:pic>
      <xdr:nvPicPr>
        <xdr:cNvPr id="5135" name="Picture 1" descr="MPj0400352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105275"/>
          <a:ext cx="15906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24</xdr:row>
      <xdr:rowOff>47625</xdr:rowOff>
    </xdr:from>
    <xdr:to>
      <xdr:col>4</xdr:col>
      <xdr:colOff>495300</xdr:colOff>
      <xdr:row>37</xdr:row>
      <xdr:rowOff>142875</xdr:rowOff>
    </xdr:to>
    <xdr:pic>
      <xdr:nvPicPr>
        <xdr:cNvPr id="5136" name="Picture 2" descr="NRCSMT0108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867400"/>
          <a:ext cx="491490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66675</xdr:rowOff>
    </xdr:from>
    <xdr:to>
      <xdr:col>10</xdr:col>
      <xdr:colOff>228600</xdr:colOff>
      <xdr:row>120</xdr:row>
      <xdr:rowOff>142875</xdr:rowOff>
    </xdr:to>
    <xdr:pic>
      <xdr:nvPicPr>
        <xdr:cNvPr id="20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6324600" cy="1027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49</xdr:row>
      <xdr:rowOff>0</xdr:rowOff>
    </xdr:from>
    <xdr:to>
      <xdr:col>10</xdr:col>
      <xdr:colOff>180975</xdr:colOff>
      <xdr:row>84</xdr:row>
      <xdr:rowOff>28575</xdr:rowOff>
    </xdr:to>
    <xdr:pic>
      <xdr:nvPicPr>
        <xdr:cNvPr id="30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229600"/>
          <a:ext cx="6772275" cy="569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114300</xdr:rowOff>
    </xdr:from>
    <xdr:to>
      <xdr:col>9</xdr:col>
      <xdr:colOff>495300</xdr:colOff>
      <xdr:row>59</xdr:row>
      <xdr:rowOff>152400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kerry.robinson@gnb.usda.gov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n.fripp@ftw.usda.gov" TargetMode="External"/><Relationship Id="rId1" Type="http://schemas.openxmlformats.org/officeDocument/2006/relationships/hyperlink" Target="mailto:jon.fripp@ftw.usda.gov" TargetMode="External"/><Relationship Id="rId6" Type="http://schemas.openxmlformats.org/officeDocument/2006/relationships/hyperlink" Target="mailto:jerry.bernard@wdc.usda.gov" TargetMode="External"/><Relationship Id="rId5" Type="http://schemas.openxmlformats.org/officeDocument/2006/relationships/hyperlink" Target="mailto:jerry.bernard@wdc.usda.gov" TargetMode="External"/><Relationship Id="rId4" Type="http://schemas.openxmlformats.org/officeDocument/2006/relationships/hyperlink" Target="mailto:kerry.robinson@gnb.usda.go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38"/>
  <sheetViews>
    <sheetView topLeftCell="A14" workbookViewId="0">
      <selection activeCell="B1" sqref="B1:F1"/>
    </sheetView>
  </sheetViews>
  <sheetFormatPr defaultRowHeight="12.75" x14ac:dyDescent="0.2"/>
  <cols>
    <col min="1" max="1" width="23.28515625" customWidth="1"/>
    <col min="2" max="2" width="25.7109375" customWidth="1"/>
  </cols>
  <sheetData>
    <row r="1" spans="1:6" ht="13.5" x14ac:dyDescent="0.25">
      <c r="A1" s="76" t="s">
        <v>139</v>
      </c>
      <c r="B1" s="116" t="s">
        <v>157</v>
      </c>
      <c r="C1" s="103"/>
      <c r="D1" s="103"/>
      <c r="E1" s="103"/>
      <c r="F1" s="103"/>
    </row>
    <row r="2" spans="1:6" x14ac:dyDescent="0.2">
      <c r="A2" s="76" t="s">
        <v>140</v>
      </c>
      <c r="B2" s="120"/>
      <c r="C2" s="103"/>
      <c r="D2" s="103"/>
      <c r="E2" s="103"/>
      <c r="F2" s="103"/>
    </row>
    <row r="3" spans="1:6" x14ac:dyDescent="0.2">
      <c r="A3" s="77"/>
    </row>
    <row r="4" spans="1:6" ht="15" x14ac:dyDescent="0.2">
      <c r="A4" s="76" t="s">
        <v>141</v>
      </c>
      <c r="B4" s="102"/>
      <c r="C4" s="103"/>
      <c r="D4" s="103"/>
      <c r="E4" s="103"/>
      <c r="F4" s="103"/>
    </row>
    <row r="5" spans="1:6" ht="18" x14ac:dyDescent="0.25">
      <c r="A5" s="78"/>
      <c r="B5" s="79"/>
    </row>
    <row r="6" spans="1:6" ht="36.75" customHeight="1" x14ac:dyDescent="0.2">
      <c r="A6" s="80" t="s">
        <v>142</v>
      </c>
      <c r="B6" s="124" t="s">
        <v>156</v>
      </c>
      <c r="C6" s="124"/>
      <c r="D6" s="124"/>
      <c r="E6" s="124"/>
      <c r="F6" s="124"/>
    </row>
    <row r="7" spans="1:6" ht="8.25" customHeight="1" thickBot="1" x14ac:dyDescent="0.3">
      <c r="B7" s="79"/>
    </row>
    <row r="8" spans="1:6" ht="16.5" thickBot="1" x14ac:dyDescent="0.3">
      <c r="A8" s="81" t="s">
        <v>143</v>
      </c>
    </row>
    <row r="9" spans="1:6" s="82" customFormat="1" ht="32.25" customHeight="1" x14ac:dyDescent="0.2">
      <c r="A9" s="125" t="s">
        <v>148</v>
      </c>
      <c r="B9" s="126"/>
      <c r="C9" s="126"/>
      <c r="D9" s="126"/>
      <c r="E9" s="126"/>
      <c r="F9" s="127"/>
    </row>
    <row r="10" spans="1:6" s="82" customFormat="1" ht="27" customHeight="1" x14ac:dyDescent="0.2">
      <c r="A10" s="125" t="s">
        <v>149</v>
      </c>
      <c r="B10" s="105"/>
      <c r="C10" s="105"/>
      <c r="D10" s="105"/>
      <c r="E10" s="105"/>
      <c r="F10" s="106"/>
    </row>
    <row r="11" spans="1:6" s="82" customFormat="1" ht="37.5" customHeight="1" thickBot="1" x14ac:dyDescent="0.25">
      <c r="A11" s="128" t="s">
        <v>150</v>
      </c>
      <c r="B11" s="129"/>
      <c r="C11" s="129"/>
      <c r="D11" s="129"/>
      <c r="E11" s="129"/>
      <c r="F11" s="130"/>
    </row>
    <row r="12" spans="1:6" s="82" customFormat="1" ht="37.5" customHeight="1" x14ac:dyDescent="0.2"/>
    <row r="13" spans="1:6" ht="13.5" thickBot="1" x14ac:dyDescent="0.25"/>
    <row r="14" spans="1:6" ht="15.75" thickBot="1" x14ac:dyDescent="0.3">
      <c r="A14" s="83" t="s">
        <v>144</v>
      </c>
      <c r="B14" s="84"/>
      <c r="C14" s="85"/>
      <c r="D14" s="85"/>
      <c r="E14" s="85"/>
      <c r="F14" s="85"/>
    </row>
    <row r="15" spans="1:6" s="82" customFormat="1" ht="16.5" customHeight="1" x14ac:dyDescent="0.2">
      <c r="A15" s="117" t="s">
        <v>151</v>
      </c>
      <c r="B15" s="118"/>
      <c r="C15" s="118"/>
      <c r="D15" s="118"/>
      <c r="E15" s="118"/>
      <c r="F15" s="119"/>
    </row>
    <row r="16" spans="1:6" s="82" customFormat="1" ht="18.75" customHeight="1" x14ac:dyDescent="0.2">
      <c r="A16" s="110"/>
      <c r="B16" s="104" t="s">
        <v>152</v>
      </c>
      <c r="C16" s="105"/>
      <c r="D16" s="105"/>
      <c r="E16" s="105"/>
      <c r="F16" s="86"/>
    </row>
    <row r="17" spans="1:6" s="82" customFormat="1" ht="17.25" customHeight="1" x14ac:dyDescent="0.2">
      <c r="A17" s="110"/>
      <c r="B17" s="104" t="s">
        <v>153</v>
      </c>
      <c r="C17" s="105"/>
      <c r="D17" s="105"/>
      <c r="E17" s="105"/>
      <c r="F17" s="106"/>
    </row>
    <row r="18" spans="1:6" s="82" customFormat="1" ht="18" customHeight="1" x14ac:dyDescent="0.2">
      <c r="A18" s="110"/>
      <c r="B18" s="104" t="s">
        <v>154</v>
      </c>
      <c r="C18" s="105"/>
      <c r="D18" s="105"/>
      <c r="E18" s="105"/>
      <c r="F18" s="106"/>
    </row>
    <row r="19" spans="1:6" s="82" customFormat="1" ht="18.75" customHeight="1" x14ac:dyDescent="0.2">
      <c r="A19" s="110"/>
      <c r="B19" s="107" t="s">
        <v>155</v>
      </c>
      <c r="C19" s="108"/>
      <c r="D19" s="108"/>
      <c r="E19" s="108"/>
      <c r="F19" s="109"/>
    </row>
    <row r="20" spans="1:6" s="82" customFormat="1" ht="15" customHeight="1" x14ac:dyDescent="0.2">
      <c r="A20" s="111"/>
      <c r="B20" s="113" t="s">
        <v>145</v>
      </c>
      <c r="C20" s="114"/>
      <c r="D20" s="114"/>
      <c r="E20" s="114"/>
      <c r="F20" s="115"/>
    </row>
    <row r="21" spans="1:6" s="82" customFormat="1" ht="15" customHeight="1" x14ac:dyDescent="0.2">
      <c r="A21" s="111"/>
      <c r="B21" s="113" t="s">
        <v>146</v>
      </c>
      <c r="C21" s="114"/>
      <c r="D21" s="114"/>
      <c r="E21" s="114"/>
      <c r="F21" s="115"/>
    </row>
    <row r="22" spans="1:6" s="82" customFormat="1" ht="15" customHeight="1" thickBot="1" x14ac:dyDescent="0.25">
      <c r="A22" s="112"/>
      <c r="B22" s="121" t="s">
        <v>147</v>
      </c>
      <c r="C22" s="122"/>
      <c r="D22" s="122"/>
      <c r="E22" s="122"/>
      <c r="F22" s="123"/>
    </row>
    <row r="23" spans="1:6" ht="13.5" thickBot="1" x14ac:dyDescent="0.25">
      <c r="A23" s="100"/>
      <c r="B23" s="101"/>
      <c r="C23" s="101"/>
      <c r="D23" s="101"/>
      <c r="E23" s="101"/>
      <c r="F23" s="101"/>
    </row>
    <row r="24" spans="1:6" ht="13.5" thickBot="1" x14ac:dyDescent="0.25">
      <c r="A24" s="87"/>
      <c r="B24" s="88"/>
      <c r="C24" s="89"/>
      <c r="D24" s="89"/>
      <c r="E24" s="89"/>
    </row>
    <row r="25" spans="1:6" x14ac:dyDescent="0.2">
      <c r="A25" s="90"/>
      <c r="B25" s="91"/>
      <c r="C25" s="91"/>
      <c r="D25" s="91"/>
      <c r="E25" s="92"/>
    </row>
    <row r="26" spans="1:6" x14ac:dyDescent="0.2">
      <c r="A26" s="93"/>
      <c r="B26" s="91"/>
      <c r="C26" s="91"/>
      <c r="D26" s="91"/>
      <c r="E26" s="94"/>
    </row>
    <row r="27" spans="1:6" x14ac:dyDescent="0.2">
      <c r="A27" s="93"/>
      <c r="B27" s="91"/>
      <c r="C27" s="91"/>
      <c r="D27" s="91"/>
      <c r="E27" s="94"/>
    </row>
    <row r="28" spans="1:6" x14ac:dyDescent="0.2">
      <c r="A28" s="93"/>
      <c r="B28" s="91"/>
      <c r="C28" s="91"/>
      <c r="D28" s="91"/>
      <c r="E28" s="94"/>
    </row>
    <row r="29" spans="1:6" x14ac:dyDescent="0.2">
      <c r="A29" s="93"/>
      <c r="B29" s="91"/>
      <c r="C29" s="91"/>
      <c r="D29" s="91"/>
      <c r="E29" s="94"/>
    </row>
    <row r="30" spans="1:6" x14ac:dyDescent="0.2">
      <c r="A30" s="93"/>
      <c r="B30" s="91"/>
      <c r="C30" s="91"/>
      <c r="D30" s="91"/>
      <c r="E30" s="94"/>
    </row>
    <row r="31" spans="1:6" x14ac:dyDescent="0.2">
      <c r="A31" s="93"/>
      <c r="B31" s="91"/>
      <c r="C31" s="91"/>
      <c r="D31" s="91"/>
      <c r="E31" s="94"/>
    </row>
    <row r="32" spans="1:6" x14ac:dyDescent="0.2">
      <c r="A32" s="93"/>
      <c r="B32" s="91"/>
      <c r="C32" s="91"/>
      <c r="D32" s="91"/>
      <c r="E32" s="94"/>
    </row>
    <row r="33" spans="1:5" x14ac:dyDescent="0.2">
      <c r="A33" s="93"/>
      <c r="B33" s="91"/>
      <c r="C33" s="91"/>
      <c r="D33" s="91"/>
      <c r="E33" s="94"/>
    </row>
    <row r="34" spans="1:5" x14ac:dyDescent="0.2">
      <c r="A34" s="93"/>
      <c r="B34" s="91"/>
      <c r="C34" s="91"/>
      <c r="D34" s="91"/>
      <c r="E34" s="94"/>
    </row>
    <row r="35" spans="1:5" x14ac:dyDescent="0.2">
      <c r="A35" s="93"/>
      <c r="B35" s="91"/>
      <c r="C35" s="91"/>
      <c r="D35" s="91"/>
      <c r="E35" s="94"/>
    </row>
    <row r="36" spans="1:5" x14ac:dyDescent="0.2">
      <c r="A36" s="93"/>
      <c r="B36" s="91"/>
      <c r="C36" s="91"/>
      <c r="D36" s="91"/>
      <c r="E36" s="94"/>
    </row>
    <row r="37" spans="1:5" x14ac:dyDescent="0.2">
      <c r="A37" s="93"/>
      <c r="B37" s="91"/>
      <c r="C37" s="91"/>
      <c r="D37" s="91"/>
      <c r="E37" s="94"/>
    </row>
    <row r="38" spans="1:5" ht="13.5" thickBot="1" x14ac:dyDescent="0.25">
      <c r="A38" s="95"/>
      <c r="B38" s="96"/>
      <c r="C38" s="96"/>
      <c r="D38" s="96"/>
      <c r="E38" s="97"/>
    </row>
  </sheetData>
  <mergeCells count="17">
    <mergeCell ref="B1:F1"/>
    <mergeCell ref="A15:F15"/>
    <mergeCell ref="B2:F2"/>
    <mergeCell ref="B22:F22"/>
    <mergeCell ref="B6:F6"/>
    <mergeCell ref="A9:F9"/>
    <mergeCell ref="A10:F10"/>
    <mergeCell ref="A11:F11"/>
    <mergeCell ref="A23:F23"/>
    <mergeCell ref="B4:F4"/>
    <mergeCell ref="B16:E16"/>
    <mergeCell ref="B17:F17"/>
    <mergeCell ref="B18:F18"/>
    <mergeCell ref="B19:F19"/>
    <mergeCell ref="A16:A22"/>
    <mergeCell ref="B20:F20"/>
    <mergeCell ref="B21:F21"/>
  </mergeCells>
  <phoneticPr fontId="10" type="noConversion"/>
  <hyperlinks>
    <hyperlink ref="B20" r:id="rId1"/>
    <hyperlink ref="B20:F20" r:id="rId2" display="jon.fripp@ftw.usda.gov"/>
    <hyperlink ref="B21" r:id="rId3"/>
    <hyperlink ref="B21:F21" r:id="rId4" display="kerry.robinson@gnb.usda.gov"/>
    <hyperlink ref="B22" r:id="rId5"/>
    <hyperlink ref="B22:F22" r:id="rId6" display="jerry.bernard@usda.gov"/>
  </hyperlinks>
  <pageMargins left="0.75" right="0.75" top="1" bottom="1" header="0.5" footer="0.5"/>
  <pageSetup orientation="portrait" horizontalDpi="1200" verticalDpi="1200" r:id="rId7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view="pageBreakPreview" zoomScaleNormal="100" workbookViewId="0">
      <selection activeCell="C37" sqref="C37"/>
    </sheetView>
  </sheetViews>
  <sheetFormatPr defaultRowHeight="12.75" x14ac:dyDescent="0.2"/>
  <sheetData>
    <row r="1" spans="1:13" x14ac:dyDescent="0.2">
      <c r="A1" s="4" t="s">
        <v>65</v>
      </c>
      <c r="B1" s="2"/>
      <c r="C1" s="2"/>
      <c r="D1" s="2"/>
      <c r="E1" s="36"/>
      <c r="F1" s="36"/>
      <c r="G1" s="36"/>
      <c r="H1" s="36"/>
      <c r="I1" s="36"/>
      <c r="J1" s="36"/>
      <c r="K1" s="36"/>
      <c r="L1" s="36"/>
      <c r="M1" s="36"/>
    </row>
    <row r="2" spans="1:13" ht="14.25" x14ac:dyDescent="0.2">
      <c r="A2" s="36" t="s">
        <v>66</v>
      </c>
      <c r="B2" s="36"/>
      <c r="C2" s="36"/>
      <c r="D2" s="50" t="s">
        <v>117</v>
      </c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">
      <c r="A4" s="36" t="s">
        <v>67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x14ac:dyDescent="0.2">
      <c r="A5" s="36" t="s">
        <v>68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x14ac:dyDescent="0.2">
      <c r="A6" s="36" t="s">
        <v>69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 x14ac:dyDescent="0.2">
      <c r="A7" s="36"/>
      <c r="B7" s="36" t="s">
        <v>70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 x14ac:dyDescent="0.2">
      <c r="A8" s="36" t="s">
        <v>71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 x14ac:dyDescent="0.2">
      <c r="A9" s="36"/>
      <c r="B9" s="36" t="s">
        <v>74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x14ac:dyDescent="0.2">
      <c r="A10" s="36"/>
      <c r="B10" s="36" t="s">
        <v>72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 x14ac:dyDescent="0.2">
      <c r="A11" s="36"/>
      <c r="B11" s="36" t="s">
        <v>73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 x14ac:dyDescent="0.2">
      <c r="A12" s="36" t="s">
        <v>75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 x14ac:dyDescent="0.2">
      <c r="A13" s="36"/>
      <c r="B13" s="36" t="s">
        <v>76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">
      <c r="A14" s="36" t="s">
        <v>77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 x14ac:dyDescent="0.2">
      <c r="A15" s="36" t="s">
        <v>84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 x14ac:dyDescent="0.2">
      <c r="A16" s="36" t="s">
        <v>78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 x14ac:dyDescent="0.2">
      <c r="A17" s="36" t="s">
        <v>79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x14ac:dyDescent="0.2">
      <c r="A18" s="36" t="s">
        <v>100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 x14ac:dyDescent="0.2">
      <c r="A19" s="36" t="s">
        <v>80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ht="13.5" thickBo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x14ac:dyDescent="0.2">
      <c r="A21" s="1" t="s">
        <v>81</v>
      </c>
      <c r="B21" s="2"/>
      <c r="C21" s="2"/>
      <c r="D21" s="2"/>
      <c r="E21" s="3"/>
      <c r="F21" s="36"/>
      <c r="G21" s="1" t="s">
        <v>85</v>
      </c>
      <c r="H21" s="2"/>
      <c r="I21" s="2"/>
      <c r="J21" s="2"/>
      <c r="K21" s="37"/>
      <c r="L21" s="36"/>
      <c r="M21" s="36"/>
    </row>
    <row r="22" spans="1:13" x14ac:dyDescent="0.2">
      <c r="A22" s="5" t="s">
        <v>130</v>
      </c>
      <c r="B22" s="6"/>
      <c r="C22" s="6"/>
      <c r="D22" s="6"/>
      <c r="E22" s="38">
        <v>1500</v>
      </c>
      <c r="F22" s="36"/>
      <c r="G22" s="5" t="s">
        <v>130</v>
      </c>
      <c r="H22" s="6"/>
      <c r="I22" s="6"/>
      <c r="J22" s="6"/>
      <c r="K22" s="38">
        <v>1500</v>
      </c>
      <c r="L22" s="36"/>
      <c r="M22" s="36"/>
    </row>
    <row r="23" spans="1:13" x14ac:dyDescent="0.2">
      <c r="A23" s="5" t="s">
        <v>131</v>
      </c>
      <c r="B23" s="6"/>
      <c r="C23" s="6"/>
      <c r="D23" s="6"/>
      <c r="E23" s="38">
        <v>201</v>
      </c>
      <c r="F23" s="36"/>
      <c r="G23" s="5" t="s">
        <v>131</v>
      </c>
      <c r="H23" s="6"/>
      <c r="I23" s="6"/>
      <c r="J23" s="6"/>
      <c r="K23" s="38">
        <v>201</v>
      </c>
      <c r="L23" s="36"/>
      <c r="M23" s="36"/>
    </row>
    <row r="24" spans="1:13" x14ac:dyDescent="0.2">
      <c r="A24" s="5" t="s">
        <v>82</v>
      </c>
      <c r="B24" s="6"/>
      <c r="C24" s="6"/>
      <c r="D24" s="6"/>
      <c r="E24" s="47">
        <f>+E22/E23</f>
        <v>7.4626865671641793</v>
      </c>
      <c r="F24" s="36"/>
      <c r="G24" s="5" t="s">
        <v>82</v>
      </c>
      <c r="H24" s="6"/>
      <c r="I24" s="6"/>
      <c r="J24" s="6"/>
      <c r="K24" s="47">
        <f>+K22/K23</f>
        <v>7.4626865671641793</v>
      </c>
      <c r="L24" s="36"/>
      <c r="M24" s="36"/>
    </row>
    <row r="25" spans="1:13" ht="13.5" thickBot="1" x14ac:dyDescent="0.25">
      <c r="A25" s="39" t="s">
        <v>83</v>
      </c>
      <c r="B25" s="25"/>
      <c r="C25" s="25"/>
      <c r="D25" s="25"/>
      <c r="E25" s="63">
        <f>1.283-0.2*LOG(E24)</f>
        <v>1.1084209596729615</v>
      </c>
      <c r="F25" s="36"/>
      <c r="G25" s="5" t="s">
        <v>86</v>
      </c>
      <c r="H25" s="6"/>
      <c r="I25" s="6"/>
      <c r="J25" s="6"/>
      <c r="K25" s="47">
        <f>1.74-0.52*LOG(K24)</f>
        <v>1.2860944951497</v>
      </c>
      <c r="L25" s="36"/>
      <c r="M25" s="36"/>
    </row>
    <row r="26" spans="1:13" ht="13.5" thickBot="1" x14ac:dyDescent="0.25">
      <c r="A26" s="6"/>
      <c r="B26" s="6"/>
      <c r="C26" s="6"/>
      <c r="D26" s="6"/>
      <c r="E26" s="41"/>
      <c r="F26" s="36"/>
      <c r="G26" s="5" t="s">
        <v>132</v>
      </c>
      <c r="H26" s="6"/>
      <c r="I26" s="6"/>
      <c r="J26" s="6"/>
      <c r="K26" s="48">
        <v>13.83</v>
      </c>
      <c r="L26" s="36"/>
      <c r="M26" s="36"/>
    </row>
    <row r="27" spans="1:13" ht="13.5" thickBot="1" x14ac:dyDescent="0.25">
      <c r="A27" s="1" t="s">
        <v>87</v>
      </c>
      <c r="B27" s="2"/>
      <c r="C27" s="2"/>
      <c r="D27" s="2"/>
      <c r="E27" s="3"/>
      <c r="F27" s="36"/>
      <c r="G27" s="39" t="s">
        <v>133</v>
      </c>
      <c r="H27" s="25"/>
      <c r="I27" s="25"/>
      <c r="J27" s="25"/>
      <c r="K27" s="63">
        <f>+K25*K26</f>
        <v>17.786686867920352</v>
      </c>
      <c r="L27" s="36"/>
      <c r="M27" s="36"/>
    </row>
    <row r="28" spans="1:13" x14ac:dyDescent="0.2">
      <c r="A28" s="5" t="s">
        <v>88</v>
      </c>
      <c r="B28" s="6"/>
      <c r="C28" s="6"/>
      <c r="D28" s="42">
        <v>2</v>
      </c>
      <c r="E28" s="7" t="s">
        <v>89</v>
      </c>
      <c r="F28" s="36"/>
      <c r="G28" s="36"/>
      <c r="H28" s="36"/>
      <c r="I28" s="36"/>
      <c r="J28" s="36"/>
      <c r="K28" s="36"/>
      <c r="L28" s="36"/>
      <c r="M28" s="36"/>
    </row>
    <row r="29" spans="1:13" x14ac:dyDescent="0.2">
      <c r="A29" s="5" t="s">
        <v>90</v>
      </c>
      <c r="B29" s="6"/>
      <c r="C29" s="6"/>
      <c r="D29" s="43">
        <f>+DEGREES(ATAN(1/D28))</f>
        <v>26.56505117707799</v>
      </c>
      <c r="E29" s="7"/>
      <c r="F29" s="36"/>
      <c r="G29" s="49" t="s">
        <v>128</v>
      </c>
      <c r="H29" s="49"/>
      <c r="I29" s="49"/>
      <c r="J29" s="36"/>
      <c r="K29" s="36"/>
      <c r="L29" s="36"/>
      <c r="M29" s="36"/>
    </row>
    <row r="30" spans="1:13" x14ac:dyDescent="0.2">
      <c r="A30" s="5" t="s">
        <v>91</v>
      </c>
      <c r="B30" s="6"/>
      <c r="C30" s="6"/>
      <c r="D30" s="42">
        <v>40</v>
      </c>
      <c r="E30" s="7"/>
      <c r="F30" s="36"/>
      <c r="G30" s="49" t="s">
        <v>127</v>
      </c>
      <c r="H30" s="49"/>
      <c r="I30" s="49"/>
      <c r="J30" s="36"/>
      <c r="K30" s="36"/>
      <c r="L30" s="36"/>
      <c r="M30" s="36"/>
    </row>
    <row r="31" spans="1:13" ht="13.5" thickBot="1" x14ac:dyDescent="0.25">
      <c r="A31" s="39" t="s">
        <v>56</v>
      </c>
      <c r="B31" s="25"/>
      <c r="C31" s="25"/>
      <c r="D31" s="62">
        <f>+(1-SIN(D29*PI()/180)^2/SIN(D30*PI()/180)^2)^0.5</f>
        <v>0.71829288936182467</v>
      </c>
      <c r="E31" s="40"/>
      <c r="F31" s="36"/>
      <c r="G31" s="36"/>
      <c r="H31" s="36"/>
      <c r="I31" s="36"/>
      <c r="J31" s="36"/>
      <c r="K31" s="36"/>
      <c r="L31" s="36"/>
      <c r="M31" s="36"/>
    </row>
    <row r="32" spans="1:13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ht="13.5" thickBo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spans="1:13" x14ac:dyDescent="0.2">
      <c r="A34" s="1" t="s">
        <v>49</v>
      </c>
      <c r="B34" s="2"/>
      <c r="C34" s="2"/>
      <c r="D34" s="2" t="s">
        <v>98</v>
      </c>
      <c r="E34" s="2"/>
      <c r="F34" s="3"/>
      <c r="G34" s="1" t="s">
        <v>49</v>
      </c>
      <c r="H34" s="2"/>
      <c r="I34" s="2"/>
      <c r="J34" s="2" t="s">
        <v>99</v>
      </c>
      <c r="K34" s="2"/>
      <c r="L34" s="3"/>
      <c r="M34" s="36"/>
    </row>
    <row r="35" spans="1:13" x14ac:dyDescent="0.2">
      <c r="A35" s="5" t="s">
        <v>93</v>
      </c>
      <c r="B35" s="6"/>
      <c r="C35" s="42">
        <v>13.83</v>
      </c>
      <c r="D35" s="6" t="s">
        <v>115</v>
      </c>
      <c r="E35" s="6"/>
      <c r="F35" s="7"/>
      <c r="G35" s="5" t="s">
        <v>93</v>
      </c>
      <c r="H35" s="6"/>
      <c r="I35" s="42">
        <v>13.83</v>
      </c>
      <c r="J35" s="6" t="s">
        <v>115</v>
      </c>
      <c r="K35" s="6"/>
      <c r="L35" s="7"/>
      <c r="M35" s="36"/>
    </row>
    <row r="36" spans="1:13" x14ac:dyDescent="0.2">
      <c r="A36" s="5" t="s">
        <v>92</v>
      </c>
      <c r="B36" s="6"/>
      <c r="C36" s="42">
        <v>5.5</v>
      </c>
      <c r="D36" s="6" t="s">
        <v>46</v>
      </c>
      <c r="E36" s="6"/>
      <c r="F36" s="7"/>
      <c r="G36" s="5" t="s">
        <v>92</v>
      </c>
      <c r="H36" s="6"/>
      <c r="I36" s="42">
        <v>5.5</v>
      </c>
      <c r="J36" s="6" t="s">
        <v>46</v>
      </c>
      <c r="K36" s="6"/>
      <c r="L36" s="7"/>
      <c r="M36" s="36"/>
    </row>
    <row r="37" spans="1:13" x14ac:dyDescent="0.2">
      <c r="A37" s="5" t="s">
        <v>96</v>
      </c>
      <c r="B37" s="6"/>
      <c r="C37" s="42">
        <v>165</v>
      </c>
      <c r="D37" s="6" t="s">
        <v>129</v>
      </c>
      <c r="E37" s="6"/>
      <c r="F37" s="7"/>
      <c r="G37" s="5" t="s">
        <v>96</v>
      </c>
      <c r="H37" s="6"/>
      <c r="I37" s="42">
        <v>165</v>
      </c>
      <c r="J37" s="6" t="s">
        <v>129</v>
      </c>
      <c r="K37" s="6"/>
      <c r="L37" s="7"/>
      <c r="M37" s="36"/>
    </row>
    <row r="38" spans="1:13" x14ac:dyDescent="0.2">
      <c r="A38" s="5" t="s">
        <v>95</v>
      </c>
      <c r="B38" s="6"/>
      <c r="C38" s="42">
        <v>62.4</v>
      </c>
      <c r="D38" s="6" t="s">
        <v>129</v>
      </c>
      <c r="E38" s="6"/>
      <c r="F38" s="7"/>
      <c r="G38" s="5" t="s">
        <v>95</v>
      </c>
      <c r="H38" s="6"/>
      <c r="I38" s="42">
        <v>62.4</v>
      </c>
      <c r="J38" s="6" t="s">
        <v>129</v>
      </c>
      <c r="K38" s="6"/>
      <c r="L38" s="7"/>
      <c r="M38" s="36"/>
    </row>
    <row r="39" spans="1:13" x14ac:dyDescent="0.2">
      <c r="A39" s="5" t="s">
        <v>50</v>
      </c>
      <c r="B39" s="6"/>
      <c r="C39" s="42">
        <v>1</v>
      </c>
      <c r="D39" s="6"/>
      <c r="E39" s="6"/>
      <c r="F39" s="7"/>
      <c r="G39" s="5" t="s">
        <v>50</v>
      </c>
      <c r="H39" s="6"/>
      <c r="I39" s="42">
        <v>1</v>
      </c>
      <c r="J39" s="6"/>
      <c r="K39" s="6"/>
      <c r="L39" s="7"/>
      <c r="M39" s="36"/>
    </row>
    <row r="40" spans="1:13" x14ac:dyDescent="0.2">
      <c r="A40" s="5" t="s">
        <v>51</v>
      </c>
      <c r="B40" s="6"/>
      <c r="C40" s="42">
        <v>0.3</v>
      </c>
      <c r="D40" s="6"/>
      <c r="E40" s="6"/>
      <c r="F40" s="7"/>
      <c r="G40" s="5" t="s">
        <v>51</v>
      </c>
      <c r="H40" s="6"/>
      <c r="I40" s="42">
        <v>0.3</v>
      </c>
      <c r="J40" s="6"/>
      <c r="K40" s="6"/>
      <c r="L40" s="7"/>
      <c r="M40" s="36"/>
    </row>
    <row r="41" spans="1:13" x14ac:dyDescent="0.2">
      <c r="A41" s="5" t="s">
        <v>52</v>
      </c>
      <c r="B41" s="16"/>
      <c r="C41" s="42">
        <v>0.96</v>
      </c>
      <c r="D41" s="6"/>
      <c r="E41" s="6"/>
      <c r="F41" s="7"/>
      <c r="G41" s="5" t="s">
        <v>52</v>
      </c>
      <c r="H41" s="16"/>
      <c r="I41" s="42">
        <v>0.96</v>
      </c>
      <c r="J41" s="6"/>
      <c r="K41" s="6"/>
      <c r="L41" s="7"/>
      <c r="M41" s="36"/>
    </row>
    <row r="42" spans="1:13" x14ac:dyDescent="0.2">
      <c r="A42" s="32" t="s">
        <v>53</v>
      </c>
      <c r="B42" s="6"/>
      <c r="C42" s="42">
        <v>1</v>
      </c>
      <c r="D42" s="6"/>
      <c r="E42" s="6"/>
      <c r="F42" s="7"/>
      <c r="G42" s="32" t="s">
        <v>53</v>
      </c>
      <c r="H42" s="6"/>
      <c r="I42" s="42">
        <v>1</v>
      </c>
      <c r="J42" s="6"/>
      <c r="K42" s="6"/>
      <c r="L42" s="7"/>
      <c r="M42" s="36"/>
    </row>
    <row r="43" spans="1:13" x14ac:dyDescent="0.2">
      <c r="A43" s="5" t="s">
        <v>56</v>
      </c>
      <c r="B43" s="6"/>
      <c r="C43" s="42">
        <v>0.72</v>
      </c>
      <c r="D43" s="6"/>
      <c r="E43" s="6"/>
      <c r="F43" s="7"/>
      <c r="G43" s="5" t="s">
        <v>56</v>
      </c>
      <c r="H43" s="6"/>
      <c r="I43" s="42">
        <v>0.72</v>
      </c>
      <c r="J43" s="6"/>
      <c r="K43" s="6"/>
      <c r="L43" s="7"/>
      <c r="M43" s="36"/>
    </row>
    <row r="44" spans="1:13" ht="13.5" thickBot="1" x14ac:dyDescent="0.25">
      <c r="A44" s="45" t="s">
        <v>57</v>
      </c>
      <c r="B44" s="44"/>
      <c r="C44" s="62">
        <f>+C39*C40*C41*C42*C36*(((C38/(C37-C38))^0.5)*C35/(C43*32.2*C36)^0.5)^2.5</f>
        <v>1.4122719767413632</v>
      </c>
      <c r="D44" s="25" t="s">
        <v>46</v>
      </c>
      <c r="E44" s="61">
        <f>+C44*12</f>
        <v>16.947263720896359</v>
      </c>
      <c r="F44" s="26" t="s">
        <v>94</v>
      </c>
      <c r="G44" s="45" t="s">
        <v>57</v>
      </c>
      <c r="H44" s="44"/>
      <c r="I44" s="62">
        <f>+I39*I40*I41*I42*I36*(((I38/(I37-I38))^0.5)*I35/(I43*32.2*I36)^0.5)^2.5</f>
        <v>1.4122719767413632</v>
      </c>
      <c r="J44" s="25" t="s">
        <v>46</v>
      </c>
      <c r="K44" s="61">
        <f>+I44*12</f>
        <v>16.947263720896359</v>
      </c>
      <c r="L44" s="26" t="s">
        <v>94</v>
      </c>
      <c r="M44" s="36"/>
    </row>
    <row r="45" spans="1:13" x14ac:dyDescent="0.2">
      <c r="A45" s="36" t="s">
        <v>58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3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ht="13.5" thickBo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1:13" x14ac:dyDescent="0.2">
      <c r="A48" s="36"/>
      <c r="B48" s="36"/>
      <c r="C48" s="36"/>
      <c r="D48" s="36"/>
      <c r="E48" s="36"/>
      <c r="F48" s="1" t="s">
        <v>97</v>
      </c>
      <c r="G48" s="70"/>
      <c r="H48" s="70"/>
      <c r="I48" s="71"/>
      <c r="J48" s="36"/>
      <c r="K48" s="36"/>
      <c r="L48" s="36"/>
      <c r="M48" s="36"/>
    </row>
    <row r="49" spans="1:13" x14ac:dyDescent="0.2">
      <c r="A49" s="46"/>
      <c r="B49" s="46" t="s">
        <v>59</v>
      </c>
      <c r="C49" s="46" t="s">
        <v>59</v>
      </c>
      <c r="D49" s="36"/>
      <c r="E49" s="36"/>
      <c r="F49" s="5"/>
      <c r="G49" s="6" t="s">
        <v>98</v>
      </c>
      <c r="H49" s="6" t="s">
        <v>99</v>
      </c>
      <c r="I49" s="7"/>
      <c r="J49" s="36"/>
      <c r="K49" s="36"/>
      <c r="L49" s="36"/>
      <c r="M49" s="36"/>
    </row>
    <row r="50" spans="1:13" x14ac:dyDescent="0.2">
      <c r="A50" s="46" t="s">
        <v>60</v>
      </c>
      <c r="B50" s="46">
        <v>0.75</v>
      </c>
      <c r="C50" s="46">
        <v>0.64</v>
      </c>
      <c r="D50" s="36"/>
      <c r="E50" s="36"/>
      <c r="F50" s="5" t="s">
        <v>60</v>
      </c>
      <c r="G50" s="60">
        <f>+E$44*B50</f>
        <v>12.710447790672269</v>
      </c>
      <c r="H50" s="60">
        <f>+K$44*B50</f>
        <v>12.710447790672269</v>
      </c>
      <c r="I50" s="7" t="s">
        <v>94</v>
      </c>
      <c r="J50" s="36"/>
      <c r="K50" s="36"/>
      <c r="L50" s="36"/>
      <c r="M50" s="36"/>
    </row>
    <row r="51" spans="1:13" x14ac:dyDescent="0.2">
      <c r="A51" s="46" t="s">
        <v>61</v>
      </c>
      <c r="B51" s="46">
        <v>1</v>
      </c>
      <c r="C51" s="46">
        <v>0.85</v>
      </c>
      <c r="D51" s="36"/>
      <c r="E51" s="36"/>
      <c r="F51" s="5" t="s">
        <v>61</v>
      </c>
      <c r="G51" s="60">
        <f>+E$44*B51</f>
        <v>16.947263720896359</v>
      </c>
      <c r="H51" s="60">
        <f>+K$44*B51</f>
        <v>16.947263720896359</v>
      </c>
      <c r="I51" s="7" t="s">
        <v>94</v>
      </c>
      <c r="J51" s="36"/>
      <c r="K51" s="36"/>
      <c r="L51" s="36"/>
      <c r="M51" s="36"/>
    </row>
    <row r="52" spans="1:13" x14ac:dyDescent="0.2">
      <c r="A52" s="46" t="s">
        <v>62</v>
      </c>
      <c r="B52" s="46">
        <v>1.17</v>
      </c>
      <c r="C52" s="46">
        <v>1</v>
      </c>
      <c r="D52" s="36"/>
      <c r="E52" s="36"/>
      <c r="F52" s="5" t="s">
        <v>62</v>
      </c>
      <c r="G52" s="60">
        <f>+E$44*B52</f>
        <v>19.828298553448739</v>
      </c>
      <c r="H52" s="60">
        <f>+K$44*B52</f>
        <v>19.828298553448739</v>
      </c>
      <c r="I52" s="7" t="s">
        <v>94</v>
      </c>
      <c r="J52" s="36"/>
      <c r="K52" s="36"/>
      <c r="L52" s="36"/>
      <c r="M52" s="36"/>
    </row>
    <row r="53" spans="1:13" x14ac:dyDescent="0.2">
      <c r="A53" s="46" t="s">
        <v>63</v>
      </c>
      <c r="B53" s="46">
        <v>1.4</v>
      </c>
      <c r="C53" s="46">
        <v>1.2</v>
      </c>
      <c r="D53" s="36"/>
      <c r="E53" s="36"/>
      <c r="F53" s="5" t="s">
        <v>63</v>
      </c>
      <c r="G53" s="60">
        <f>+E$44*B53</f>
        <v>23.726169209254902</v>
      </c>
      <c r="H53" s="60">
        <f>+K$44*B53</f>
        <v>23.726169209254902</v>
      </c>
      <c r="I53" s="7" t="s">
        <v>94</v>
      </c>
      <c r="J53" s="36"/>
      <c r="K53" s="36"/>
      <c r="L53" s="36"/>
      <c r="M53" s="36"/>
    </row>
    <row r="54" spans="1:13" ht="13.5" thickBot="1" x14ac:dyDescent="0.25">
      <c r="A54" s="46" t="s">
        <v>64</v>
      </c>
      <c r="B54" s="46">
        <v>1.5</v>
      </c>
      <c r="C54" s="46">
        <v>1.28</v>
      </c>
      <c r="D54" s="36"/>
      <c r="E54" s="36"/>
      <c r="F54" s="39" t="s">
        <v>64</v>
      </c>
      <c r="G54" s="61">
        <f>+E$44*B54</f>
        <v>25.420895581344539</v>
      </c>
      <c r="H54" s="61">
        <f>+K$44*B54</f>
        <v>25.420895581344539</v>
      </c>
      <c r="I54" s="26" t="s">
        <v>94</v>
      </c>
      <c r="J54" s="36"/>
      <c r="K54" s="36"/>
      <c r="L54" s="36"/>
      <c r="M54" s="36"/>
    </row>
    <row r="55" spans="1:13" x14ac:dyDescent="0.2">
      <c r="A55" s="36" t="s">
        <v>123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</row>
    <row r="56" spans="1:13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</row>
    <row r="58" spans="1:13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</row>
  </sheetData>
  <phoneticPr fontId="10" type="noConversion"/>
  <pageMargins left="0.75" right="0.75" top="1" bottom="1" header="0.5" footer="0.5"/>
  <pageSetup paperSize="3" scale="71"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B16" sqref="B16"/>
    </sheetView>
  </sheetViews>
  <sheetFormatPr defaultRowHeight="12.75" x14ac:dyDescent="0.2"/>
  <cols>
    <col min="1" max="1" width="15" customWidth="1"/>
    <col min="2" max="2" width="11.140625" customWidth="1"/>
  </cols>
  <sheetData>
    <row r="1" spans="1:10" x14ac:dyDescent="0.2">
      <c r="A1" s="4" t="s">
        <v>1</v>
      </c>
      <c r="B1" s="2"/>
      <c r="C1" s="2"/>
      <c r="D1" s="2"/>
      <c r="E1" s="70"/>
      <c r="F1" s="71"/>
    </row>
    <row r="2" spans="1:10" x14ac:dyDescent="0.2">
      <c r="A2" s="5"/>
      <c r="B2" s="8" t="s">
        <v>4</v>
      </c>
      <c r="C2" s="6"/>
      <c r="D2" s="6"/>
      <c r="E2" s="6"/>
      <c r="F2" s="7"/>
    </row>
    <row r="3" spans="1:10" x14ac:dyDescent="0.2">
      <c r="A3" s="5"/>
      <c r="B3" s="8" t="s">
        <v>5</v>
      </c>
      <c r="C3" s="6"/>
      <c r="D3" s="6"/>
      <c r="E3" s="6"/>
      <c r="F3" s="7"/>
    </row>
    <row r="4" spans="1:10" x14ac:dyDescent="0.2">
      <c r="A4" s="10"/>
      <c r="B4" s="11"/>
      <c r="C4" s="6"/>
      <c r="D4" s="6"/>
      <c r="E4" s="6"/>
      <c r="F4" s="7"/>
    </row>
    <row r="5" spans="1:10" x14ac:dyDescent="0.2">
      <c r="A5" s="5"/>
      <c r="B5" s="6"/>
      <c r="C5" s="6"/>
      <c r="D5" s="14" t="s">
        <v>10</v>
      </c>
      <c r="E5" s="6"/>
      <c r="F5" s="7"/>
    </row>
    <row r="6" spans="1:10" x14ac:dyDescent="0.2">
      <c r="A6" s="17" t="s">
        <v>12</v>
      </c>
      <c r="B6" s="14" t="s">
        <v>13</v>
      </c>
      <c r="C6" s="6"/>
      <c r="D6" s="14" t="s">
        <v>14</v>
      </c>
      <c r="E6" s="14" t="s">
        <v>15</v>
      </c>
      <c r="F6" s="7"/>
    </row>
    <row r="7" spans="1:10" x14ac:dyDescent="0.2">
      <c r="A7" s="18" t="s">
        <v>17</v>
      </c>
      <c r="B7" s="19">
        <v>0.6</v>
      </c>
      <c r="C7" s="6"/>
      <c r="D7" s="20" t="s">
        <v>18</v>
      </c>
      <c r="E7" s="20">
        <v>0.52</v>
      </c>
      <c r="F7" s="7"/>
    </row>
    <row r="8" spans="1:10" x14ac:dyDescent="0.2">
      <c r="A8" s="9" t="s">
        <v>20</v>
      </c>
      <c r="B8" s="19">
        <v>0.75</v>
      </c>
      <c r="C8" s="6"/>
      <c r="D8" s="20" t="s">
        <v>21</v>
      </c>
      <c r="E8" s="20">
        <v>0.63</v>
      </c>
      <c r="F8" s="7"/>
    </row>
    <row r="9" spans="1:10" x14ac:dyDescent="0.2">
      <c r="A9" s="9" t="s">
        <v>23</v>
      </c>
      <c r="B9" s="19">
        <v>0.9</v>
      </c>
      <c r="C9" s="6"/>
      <c r="D9" s="21" t="s">
        <v>24</v>
      </c>
      <c r="E9" s="20">
        <v>0.72</v>
      </c>
      <c r="F9" s="7"/>
    </row>
    <row r="10" spans="1:10" x14ac:dyDescent="0.2">
      <c r="A10" s="5" t="s">
        <v>26</v>
      </c>
      <c r="B10" s="19">
        <v>1</v>
      </c>
      <c r="C10" s="6"/>
      <c r="D10" s="22" t="s">
        <v>27</v>
      </c>
      <c r="E10" s="20">
        <v>0.8</v>
      </c>
      <c r="F10" s="7"/>
    </row>
    <row r="11" spans="1:10" x14ac:dyDescent="0.2">
      <c r="A11" s="5"/>
      <c r="B11" s="6"/>
      <c r="C11" s="6"/>
      <c r="D11" s="22" t="s">
        <v>29</v>
      </c>
      <c r="E11" s="20">
        <v>0.87</v>
      </c>
      <c r="F11" s="7"/>
    </row>
    <row r="12" spans="1:10" x14ac:dyDescent="0.2">
      <c r="A12" s="5"/>
      <c r="B12" s="6"/>
      <c r="C12" s="6"/>
      <c r="D12" s="6"/>
      <c r="E12" s="6"/>
      <c r="F12" s="7"/>
    </row>
    <row r="13" spans="1:10" x14ac:dyDescent="0.2">
      <c r="A13" s="5" t="s">
        <v>31</v>
      </c>
      <c r="B13" s="6"/>
      <c r="C13" s="6"/>
      <c r="D13" s="6"/>
      <c r="E13" s="6"/>
      <c r="F13" s="7"/>
    </row>
    <row r="14" spans="1:10" x14ac:dyDescent="0.2">
      <c r="A14" s="28" t="s">
        <v>33</v>
      </c>
      <c r="B14" s="6">
        <v>62.4</v>
      </c>
      <c r="C14" s="6" t="s">
        <v>129</v>
      </c>
      <c r="D14" s="6"/>
      <c r="E14" s="6"/>
      <c r="F14" s="7"/>
    </row>
    <row r="15" spans="1:10" x14ac:dyDescent="0.2">
      <c r="A15" s="28" t="s">
        <v>34</v>
      </c>
      <c r="B15" s="13">
        <v>5.5</v>
      </c>
      <c r="C15" s="6" t="s">
        <v>35</v>
      </c>
      <c r="D15" s="6"/>
      <c r="E15" s="6"/>
      <c r="F15" s="7"/>
    </row>
    <row r="16" spans="1:10" x14ac:dyDescent="0.2">
      <c r="A16" s="29" t="s">
        <v>38</v>
      </c>
      <c r="B16" s="13">
        <v>0.01</v>
      </c>
      <c r="C16" s="6" t="s">
        <v>39</v>
      </c>
      <c r="D16" s="6"/>
      <c r="E16" s="6"/>
      <c r="F16" s="7"/>
      <c r="H16" s="49" t="s">
        <v>128</v>
      </c>
      <c r="I16" s="49"/>
      <c r="J16" s="49"/>
    </row>
    <row r="17" spans="1:10" x14ac:dyDescent="0.2">
      <c r="A17" s="32" t="s">
        <v>42</v>
      </c>
      <c r="B17" s="13">
        <v>1</v>
      </c>
      <c r="C17" s="6"/>
      <c r="D17" s="6"/>
      <c r="E17" s="6"/>
      <c r="F17" s="7"/>
      <c r="H17" s="49" t="s">
        <v>127</v>
      </c>
      <c r="I17" s="49"/>
      <c r="J17" s="49"/>
    </row>
    <row r="18" spans="1:10" x14ac:dyDescent="0.2">
      <c r="A18" s="29" t="s">
        <v>43</v>
      </c>
      <c r="B18" s="13">
        <v>2</v>
      </c>
      <c r="C18" s="6"/>
      <c r="D18" s="6"/>
      <c r="E18" s="6"/>
      <c r="F18" s="7"/>
      <c r="H18" s="36"/>
      <c r="I18" s="36"/>
      <c r="J18" s="36"/>
    </row>
    <row r="19" spans="1:10" x14ac:dyDescent="0.2">
      <c r="A19" s="32" t="s">
        <v>44</v>
      </c>
      <c r="B19" s="13">
        <v>0.72</v>
      </c>
      <c r="C19" s="6"/>
      <c r="D19" s="6"/>
      <c r="E19" s="6"/>
      <c r="F19" s="7"/>
    </row>
    <row r="20" spans="1:10" x14ac:dyDescent="0.2">
      <c r="A20" s="5" t="s">
        <v>45</v>
      </c>
      <c r="B20" s="64">
        <f>(3.5/(B17*B19))*B14*B15*B16</f>
        <v>16.683333333333334</v>
      </c>
      <c r="C20" s="6" t="s">
        <v>41</v>
      </c>
      <c r="D20" s="64">
        <f>+B20/12</f>
        <v>1.3902777777777777</v>
      </c>
      <c r="E20" s="6" t="s">
        <v>46</v>
      </c>
      <c r="F20" s="7"/>
    </row>
    <row r="21" spans="1:10" x14ac:dyDescent="0.2">
      <c r="A21" s="5"/>
      <c r="B21" s="64"/>
      <c r="C21" s="6"/>
      <c r="D21" s="64"/>
      <c r="E21" s="6"/>
      <c r="F21" s="7"/>
    </row>
    <row r="22" spans="1:10" ht="13.5" thickBot="1" x14ac:dyDescent="0.25">
      <c r="A22" s="5"/>
      <c r="B22" s="64"/>
      <c r="C22" s="6"/>
      <c r="D22" s="64"/>
      <c r="E22" s="6"/>
      <c r="F22" s="7"/>
    </row>
    <row r="23" spans="1:10" x14ac:dyDescent="0.2">
      <c r="A23" s="72"/>
      <c r="B23" s="69" t="s">
        <v>97</v>
      </c>
      <c r="C23" s="70"/>
      <c r="D23" s="70"/>
      <c r="E23" s="70"/>
      <c r="F23" s="71"/>
    </row>
    <row r="24" spans="1:10" x14ac:dyDescent="0.2">
      <c r="A24" s="29" t="s">
        <v>48</v>
      </c>
      <c r="B24" s="6"/>
      <c r="C24" s="6"/>
      <c r="D24" s="6"/>
      <c r="E24" s="6"/>
      <c r="F24" s="7"/>
    </row>
    <row r="25" spans="1:10" x14ac:dyDescent="0.2">
      <c r="A25" s="5" t="s">
        <v>47</v>
      </c>
      <c r="B25" s="42">
        <v>1.18</v>
      </c>
      <c r="C25" s="6"/>
      <c r="D25" s="6"/>
      <c r="E25" s="6"/>
      <c r="F25" s="7"/>
    </row>
    <row r="26" spans="1:10" x14ac:dyDescent="0.2">
      <c r="A26" s="5"/>
      <c r="B26" s="6"/>
      <c r="C26" s="6"/>
      <c r="D26" s="6"/>
      <c r="E26" s="6"/>
      <c r="F26" s="7"/>
    </row>
    <row r="27" spans="1:10" x14ac:dyDescent="0.2">
      <c r="A27" s="5" t="s">
        <v>134</v>
      </c>
      <c r="B27" s="6"/>
      <c r="C27" s="6"/>
      <c r="D27" s="6" t="s">
        <v>135</v>
      </c>
      <c r="E27" s="6"/>
      <c r="F27" s="7"/>
    </row>
    <row r="28" spans="1:10" x14ac:dyDescent="0.2">
      <c r="A28" s="15" t="s">
        <v>136</v>
      </c>
      <c r="B28" s="68" t="s">
        <v>137</v>
      </c>
      <c r="C28" s="6"/>
      <c r="D28" s="20" t="s">
        <v>136</v>
      </c>
      <c r="E28" s="68" t="s">
        <v>137</v>
      </c>
      <c r="F28" s="7"/>
    </row>
    <row r="29" spans="1:10" x14ac:dyDescent="0.2">
      <c r="A29" s="65">
        <f t="shared" ref="A29:A35" si="0">($B$20/$B$25)*B41</f>
        <v>18.097175141242939</v>
      </c>
      <c r="B29" s="20">
        <v>100</v>
      </c>
      <c r="C29" s="6"/>
      <c r="D29" s="64">
        <f t="shared" ref="D29:D35" si="1">($B$20/$B$25)*C41</f>
        <v>28.276836158192094</v>
      </c>
      <c r="E29" s="20">
        <v>100</v>
      </c>
      <c r="F29" s="7"/>
    </row>
    <row r="30" spans="1:10" x14ac:dyDescent="0.2">
      <c r="A30" s="65">
        <f t="shared" si="0"/>
        <v>16.683333333333334</v>
      </c>
      <c r="B30" s="20">
        <v>75</v>
      </c>
      <c r="C30" s="6"/>
      <c r="D30" s="64">
        <f t="shared" si="1"/>
        <v>24.03531073446328</v>
      </c>
      <c r="E30" s="20">
        <v>75</v>
      </c>
      <c r="F30" s="7"/>
    </row>
    <row r="31" spans="1:10" x14ac:dyDescent="0.2">
      <c r="A31" s="65">
        <f t="shared" si="0"/>
        <v>15.410875706214693</v>
      </c>
      <c r="B31" s="20">
        <v>60</v>
      </c>
      <c r="C31" s="6"/>
      <c r="D31" s="64">
        <f t="shared" si="1"/>
        <v>21.773163841807911</v>
      </c>
      <c r="E31" s="20">
        <v>60</v>
      </c>
      <c r="F31" s="7"/>
    </row>
    <row r="32" spans="1:10" x14ac:dyDescent="0.2">
      <c r="A32" s="65">
        <f t="shared" si="0"/>
        <v>14.138418079096047</v>
      </c>
      <c r="B32" s="20">
        <v>50</v>
      </c>
      <c r="C32" s="6"/>
      <c r="D32" s="64">
        <f t="shared" si="1"/>
        <v>20.217937853107347</v>
      </c>
      <c r="E32" s="20">
        <v>50</v>
      </c>
      <c r="F32" s="7"/>
    </row>
    <row r="33" spans="1:6" x14ac:dyDescent="0.2">
      <c r="A33" s="65">
        <f t="shared" si="0"/>
        <v>13.007344632768364</v>
      </c>
      <c r="B33" s="20">
        <v>40</v>
      </c>
      <c r="C33" s="6"/>
      <c r="D33" s="64">
        <f t="shared" si="1"/>
        <v>18.662711864406784</v>
      </c>
      <c r="E33" s="20">
        <v>40</v>
      </c>
      <c r="F33" s="7"/>
    </row>
    <row r="34" spans="1:6" x14ac:dyDescent="0.2">
      <c r="A34" s="65">
        <f t="shared" si="0"/>
        <v>11.169350282485878</v>
      </c>
      <c r="B34" s="20">
        <v>30</v>
      </c>
      <c r="C34" s="6"/>
      <c r="D34" s="64">
        <f t="shared" si="1"/>
        <v>16.824717514124295</v>
      </c>
      <c r="E34" s="20">
        <v>30</v>
      </c>
      <c r="F34" s="7"/>
    </row>
    <row r="35" spans="1:6" ht="13.5" thickBot="1" x14ac:dyDescent="0.25">
      <c r="A35" s="66">
        <f t="shared" si="0"/>
        <v>9.7555084745762723</v>
      </c>
      <c r="B35" s="34">
        <v>20</v>
      </c>
      <c r="C35" s="25"/>
      <c r="D35" s="62">
        <f t="shared" si="1"/>
        <v>14.703954802259888</v>
      </c>
      <c r="E35" s="34">
        <v>20</v>
      </c>
      <c r="F35" s="26"/>
    </row>
    <row r="36" spans="1:6" x14ac:dyDescent="0.2">
      <c r="A36" s="1" t="s">
        <v>0</v>
      </c>
      <c r="B36" s="2"/>
      <c r="C36" s="2"/>
      <c r="D36" s="67">
        <v>2.65</v>
      </c>
      <c r="E36" s="2"/>
      <c r="F36" s="3"/>
    </row>
    <row r="37" spans="1:6" x14ac:dyDescent="0.2">
      <c r="A37" s="5" t="s">
        <v>2</v>
      </c>
      <c r="B37" s="6"/>
      <c r="C37" s="6"/>
      <c r="D37" s="42">
        <f>D36*62.4</f>
        <v>165.35999999999999</v>
      </c>
      <c r="E37" s="6" t="s">
        <v>3</v>
      </c>
      <c r="F37" s="7"/>
    </row>
    <row r="38" spans="1:6" x14ac:dyDescent="0.2">
      <c r="A38" s="5"/>
      <c r="B38" s="6"/>
      <c r="C38" s="6"/>
      <c r="D38" s="6"/>
      <c r="E38" s="6"/>
      <c r="F38" s="7"/>
    </row>
    <row r="39" spans="1:6" x14ac:dyDescent="0.2">
      <c r="A39" s="9" t="s">
        <v>6</v>
      </c>
      <c r="B39" s="6"/>
      <c r="C39" s="6"/>
      <c r="D39" s="6"/>
      <c r="E39" s="6"/>
      <c r="F39" s="7"/>
    </row>
    <row r="40" spans="1:6" x14ac:dyDescent="0.2">
      <c r="A40" s="12" t="s">
        <v>7</v>
      </c>
      <c r="B40" s="13" t="s">
        <v>8</v>
      </c>
      <c r="C40" s="13" t="s">
        <v>9</v>
      </c>
      <c r="D40" s="6"/>
      <c r="E40" s="6"/>
      <c r="F40" s="7"/>
    </row>
    <row r="41" spans="1:6" ht="15.75" x14ac:dyDescent="0.3">
      <c r="A41" s="15" t="s">
        <v>11</v>
      </c>
      <c r="B41" s="16">
        <v>1.28</v>
      </c>
      <c r="C41" s="16">
        <v>2</v>
      </c>
      <c r="D41" s="6"/>
      <c r="E41" s="6"/>
      <c r="F41" s="7"/>
    </row>
    <row r="42" spans="1:6" ht="15.75" x14ac:dyDescent="0.3">
      <c r="A42" s="15" t="s">
        <v>16</v>
      </c>
      <c r="B42" s="16">
        <v>1.18</v>
      </c>
      <c r="C42" s="16">
        <v>1.7</v>
      </c>
      <c r="D42" s="6"/>
      <c r="E42" s="6"/>
      <c r="F42" s="7"/>
    </row>
    <row r="43" spans="1:6" ht="15.75" x14ac:dyDescent="0.3">
      <c r="A43" s="15" t="s">
        <v>19</v>
      </c>
      <c r="B43" s="16">
        <v>1.0900000000000001</v>
      </c>
      <c r="C43" s="16">
        <v>1.54</v>
      </c>
      <c r="D43" s="6"/>
      <c r="E43" s="6"/>
      <c r="F43" s="7"/>
    </row>
    <row r="44" spans="1:6" ht="15.75" x14ac:dyDescent="0.3">
      <c r="A44" s="15" t="s">
        <v>22</v>
      </c>
      <c r="B44" s="16">
        <v>1</v>
      </c>
      <c r="C44" s="16">
        <v>1.43</v>
      </c>
      <c r="D44" s="6"/>
      <c r="E44" s="6"/>
      <c r="F44" s="7"/>
    </row>
    <row r="45" spans="1:6" ht="15.75" x14ac:dyDescent="0.3">
      <c r="A45" s="15" t="s">
        <v>25</v>
      </c>
      <c r="B45" s="16">
        <v>0.92</v>
      </c>
      <c r="C45" s="16">
        <v>1.32</v>
      </c>
      <c r="D45" s="6"/>
      <c r="E45" s="6"/>
      <c r="F45" s="7"/>
    </row>
    <row r="46" spans="1:6" ht="15.75" x14ac:dyDescent="0.3">
      <c r="A46" s="15" t="s">
        <v>28</v>
      </c>
      <c r="B46" s="16">
        <v>0.79</v>
      </c>
      <c r="C46" s="16">
        <v>1.19</v>
      </c>
      <c r="D46" s="6"/>
      <c r="E46" s="6"/>
      <c r="F46" s="7"/>
    </row>
    <row r="47" spans="1:6" ht="16.5" thickBot="1" x14ac:dyDescent="0.35">
      <c r="A47" s="23" t="s">
        <v>30</v>
      </c>
      <c r="B47" s="24">
        <v>0.69</v>
      </c>
      <c r="C47" s="24">
        <v>1.04</v>
      </c>
      <c r="D47" s="25"/>
      <c r="E47" s="25"/>
      <c r="F47" s="26"/>
    </row>
  </sheetData>
  <phoneticPr fontId="10" type="noConversion"/>
  <pageMargins left="0.75" right="0.75" top="1" bottom="1" header="0.5" footer="0.5"/>
  <pageSetup paperSize="3"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workbookViewId="0">
      <selection activeCell="H22" sqref="H22"/>
    </sheetView>
  </sheetViews>
  <sheetFormatPr defaultRowHeight="12.75" x14ac:dyDescent="0.2"/>
  <cols>
    <col min="2" max="3" width="13.28515625" customWidth="1"/>
  </cols>
  <sheetData>
    <row r="1" spans="1:20" x14ac:dyDescent="0.2">
      <c r="A1" s="1"/>
      <c r="B1" s="2"/>
      <c r="C1" s="2"/>
      <c r="D1" s="2"/>
      <c r="E1" s="2"/>
      <c r="F1" s="3"/>
      <c r="O1" s="98" t="s">
        <v>158</v>
      </c>
      <c r="P1" s="98" t="s">
        <v>159</v>
      </c>
      <c r="Q1" s="98">
        <f>Q2</f>
        <v>9.0721229999999995</v>
      </c>
      <c r="R1">
        <v>0</v>
      </c>
      <c r="S1" s="98">
        <f>S2</f>
        <v>7.9</v>
      </c>
      <c r="T1">
        <v>0</v>
      </c>
    </row>
    <row r="2" spans="1:20" x14ac:dyDescent="0.2">
      <c r="A2" s="27" t="s">
        <v>32</v>
      </c>
      <c r="B2" s="6"/>
      <c r="C2" s="6"/>
      <c r="D2" s="6"/>
      <c r="E2" s="6"/>
      <c r="F2" s="7"/>
      <c r="O2">
        <v>0</v>
      </c>
      <c r="P2">
        <v>0</v>
      </c>
      <c r="Q2">
        <f>S2^2*0.1543-0.0706*S2</f>
        <v>9.0721229999999995</v>
      </c>
      <c r="R2">
        <v>15</v>
      </c>
      <c r="S2">
        <f>B4</f>
        <v>7.9</v>
      </c>
      <c r="T2">
        <v>34</v>
      </c>
    </row>
    <row r="3" spans="1:20" x14ac:dyDescent="0.2">
      <c r="A3" s="5"/>
      <c r="B3" s="6"/>
      <c r="C3" s="6"/>
      <c r="D3" s="6"/>
      <c r="E3" s="6"/>
      <c r="F3" s="7"/>
      <c r="O3">
        <v>0.3</v>
      </c>
      <c r="P3">
        <v>2</v>
      </c>
    </row>
    <row r="4" spans="1:20" x14ac:dyDescent="0.2">
      <c r="A4" s="29" t="s">
        <v>36</v>
      </c>
      <c r="B4" s="13">
        <v>7.9</v>
      </c>
      <c r="C4" s="30" t="s">
        <v>37</v>
      </c>
      <c r="D4" s="30"/>
      <c r="E4" s="30"/>
      <c r="F4" s="31"/>
      <c r="O4">
        <v>2.2000000000000002</v>
      </c>
      <c r="P4">
        <v>4</v>
      </c>
    </row>
    <row r="5" spans="1:20" x14ac:dyDescent="0.2">
      <c r="A5" s="29" t="s">
        <v>40</v>
      </c>
      <c r="B5" s="99">
        <f>Q2</f>
        <v>9.0721229999999995</v>
      </c>
      <c r="C5" s="30" t="s">
        <v>41</v>
      </c>
      <c r="D5" s="30" t="s">
        <v>138</v>
      </c>
      <c r="E5" s="30"/>
      <c r="F5" s="31"/>
      <c r="O5">
        <v>3.5</v>
      </c>
      <c r="P5">
        <v>5</v>
      </c>
    </row>
    <row r="6" spans="1:20" x14ac:dyDescent="0.2">
      <c r="A6" s="32"/>
      <c r="B6" s="30"/>
      <c r="C6" s="30"/>
      <c r="D6" s="30"/>
      <c r="E6" s="30"/>
      <c r="F6" s="31"/>
      <c r="H6" s="49" t="s">
        <v>128</v>
      </c>
      <c r="I6" s="49"/>
      <c r="J6" s="49"/>
      <c r="O6">
        <v>5</v>
      </c>
      <c r="P6">
        <v>6</v>
      </c>
    </row>
    <row r="7" spans="1:20" ht="13.5" thickBot="1" x14ac:dyDescent="0.25">
      <c r="A7" s="33"/>
      <c r="B7" s="30"/>
      <c r="C7" s="30"/>
      <c r="D7" s="30"/>
      <c r="E7" s="30"/>
      <c r="F7" s="31"/>
      <c r="H7" s="49" t="s">
        <v>127</v>
      </c>
      <c r="I7" s="49"/>
      <c r="J7" s="49"/>
      <c r="O7">
        <v>7</v>
      </c>
      <c r="P7">
        <v>7</v>
      </c>
    </row>
    <row r="8" spans="1:20" x14ac:dyDescent="0.2">
      <c r="A8" s="72"/>
      <c r="B8" s="69" t="s">
        <v>97</v>
      </c>
      <c r="C8" s="70"/>
      <c r="D8" s="70"/>
      <c r="E8" s="70"/>
      <c r="F8" s="71"/>
      <c r="H8" s="36"/>
      <c r="I8" s="36"/>
      <c r="J8" s="36"/>
      <c r="O8">
        <v>9.5</v>
      </c>
      <c r="P8">
        <v>8</v>
      </c>
    </row>
    <row r="9" spans="1:20" x14ac:dyDescent="0.2">
      <c r="A9" s="29" t="s">
        <v>48</v>
      </c>
      <c r="B9" s="6"/>
      <c r="C9" s="6"/>
      <c r="D9" s="6"/>
      <c r="E9" s="6"/>
      <c r="F9" s="7"/>
      <c r="O9">
        <v>12</v>
      </c>
      <c r="P9">
        <v>9</v>
      </c>
    </row>
    <row r="10" spans="1:20" x14ac:dyDescent="0.2">
      <c r="A10" s="5" t="s">
        <v>47</v>
      </c>
      <c r="B10" s="42">
        <v>2</v>
      </c>
      <c r="C10" s="6"/>
      <c r="D10" s="6"/>
      <c r="E10" s="6"/>
      <c r="F10" s="7"/>
      <c r="O10">
        <v>15</v>
      </c>
      <c r="P10">
        <v>10</v>
      </c>
    </row>
    <row r="11" spans="1:20" x14ac:dyDescent="0.2">
      <c r="A11" s="5"/>
      <c r="B11" s="6"/>
      <c r="C11" s="6"/>
      <c r="D11" s="6"/>
      <c r="E11" s="6"/>
      <c r="F11" s="7"/>
      <c r="O11">
        <v>18</v>
      </c>
      <c r="P11">
        <v>11</v>
      </c>
    </row>
    <row r="12" spans="1:20" x14ac:dyDescent="0.2">
      <c r="A12" s="5" t="s">
        <v>134</v>
      </c>
      <c r="B12" s="6"/>
      <c r="C12" s="6"/>
      <c r="D12" s="6" t="s">
        <v>135</v>
      </c>
      <c r="E12" s="6"/>
      <c r="F12" s="7"/>
      <c r="O12">
        <v>21</v>
      </c>
      <c r="P12">
        <v>12</v>
      </c>
    </row>
    <row r="13" spans="1:20" x14ac:dyDescent="0.2">
      <c r="A13" s="15" t="s">
        <v>136</v>
      </c>
      <c r="B13" s="68" t="s">
        <v>137</v>
      </c>
      <c r="C13" s="6"/>
      <c r="D13" s="20" t="s">
        <v>136</v>
      </c>
      <c r="E13" s="68" t="s">
        <v>137</v>
      </c>
      <c r="F13" s="7"/>
      <c r="O13">
        <v>25</v>
      </c>
      <c r="P13">
        <v>13</v>
      </c>
    </row>
    <row r="14" spans="1:20" x14ac:dyDescent="0.2">
      <c r="A14" s="65">
        <f t="shared" ref="A14:A20" si="0">($B$5/$B$10)*B26</f>
        <v>5.80615872</v>
      </c>
      <c r="B14" s="20">
        <v>100</v>
      </c>
      <c r="C14" s="6"/>
      <c r="D14" s="64">
        <f t="shared" ref="D14:D20" si="1">($B$5/$B$10)*C26</f>
        <v>9.0721229999999995</v>
      </c>
      <c r="E14" s="20">
        <v>100</v>
      </c>
      <c r="F14" s="7"/>
      <c r="O14">
        <v>29</v>
      </c>
      <c r="P14">
        <v>14</v>
      </c>
    </row>
    <row r="15" spans="1:20" x14ac:dyDescent="0.2">
      <c r="A15" s="65">
        <f t="shared" si="0"/>
        <v>5.3525525699999994</v>
      </c>
      <c r="B15" s="20">
        <v>75</v>
      </c>
      <c r="C15" s="6"/>
      <c r="D15" s="64">
        <f t="shared" si="1"/>
        <v>7.7113045499999995</v>
      </c>
      <c r="E15" s="20">
        <v>75</v>
      </c>
      <c r="F15" s="7"/>
      <c r="O15">
        <v>34</v>
      </c>
      <c r="P15">
        <v>15</v>
      </c>
    </row>
    <row r="16" spans="1:20" x14ac:dyDescent="0.2">
      <c r="A16" s="65">
        <f t="shared" si="0"/>
        <v>4.9443070350000005</v>
      </c>
      <c r="B16" s="20">
        <v>60</v>
      </c>
      <c r="C16" s="6"/>
      <c r="D16" s="64">
        <f t="shared" si="1"/>
        <v>6.9855347099999996</v>
      </c>
      <c r="E16" s="20">
        <v>60</v>
      </c>
      <c r="F16" s="7"/>
    </row>
    <row r="17" spans="1:6" x14ac:dyDescent="0.2">
      <c r="A17" s="65">
        <f t="shared" si="0"/>
        <v>4.5360614999999997</v>
      </c>
      <c r="B17" s="20">
        <v>50</v>
      </c>
      <c r="C17" s="6"/>
      <c r="D17" s="64">
        <f t="shared" si="1"/>
        <v>6.4865679449999991</v>
      </c>
      <c r="E17" s="20">
        <v>50</v>
      </c>
      <c r="F17" s="7"/>
    </row>
    <row r="18" spans="1:6" x14ac:dyDescent="0.2">
      <c r="A18" s="65">
        <f t="shared" si="0"/>
        <v>4.1731765799999998</v>
      </c>
      <c r="B18" s="20">
        <v>40</v>
      </c>
      <c r="C18" s="6"/>
      <c r="D18" s="64">
        <f t="shared" si="1"/>
        <v>5.9876011799999995</v>
      </c>
      <c r="E18" s="20">
        <v>40</v>
      </c>
      <c r="F18" s="7"/>
    </row>
    <row r="19" spans="1:6" x14ac:dyDescent="0.2">
      <c r="A19" s="65">
        <f t="shared" si="0"/>
        <v>3.583488585</v>
      </c>
      <c r="B19" s="20">
        <v>30</v>
      </c>
      <c r="C19" s="6"/>
      <c r="D19" s="64">
        <f t="shared" si="1"/>
        <v>5.3979131849999993</v>
      </c>
      <c r="E19" s="20">
        <v>30</v>
      </c>
      <c r="F19" s="7"/>
    </row>
    <row r="20" spans="1:6" ht="13.5" thickBot="1" x14ac:dyDescent="0.25">
      <c r="A20" s="66">
        <f t="shared" si="0"/>
        <v>3.1298824349999994</v>
      </c>
      <c r="B20" s="34">
        <v>20</v>
      </c>
      <c r="C20" s="25"/>
      <c r="D20" s="62">
        <f t="shared" si="1"/>
        <v>4.7175039600000002</v>
      </c>
      <c r="E20" s="34">
        <v>20</v>
      </c>
      <c r="F20" s="26"/>
    </row>
    <row r="21" spans="1:6" x14ac:dyDescent="0.2">
      <c r="A21" s="1" t="s">
        <v>0</v>
      </c>
      <c r="B21" s="2"/>
      <c r="C21" s="2"/>
      <c r="D21" s="67">
        <v>2.65</v>
      </c>
      <c r="E21" s="2"/>
      <c r="F21" s="3"/>
    </row>
    <row r="22" spans="1:6" x14ac:dyDescent="0.2">
      <c r="A22" s="5" t="s">
        <v>2</v>
      </c>
      <c r="B22" s="6"/>
      <c r="C22" s="6"/>
      <c r="D22" s="42">
        <f>D21*62.4</f>
        <v>165.35999999999999</v>
      </c>
      <c r="E22" s="6" t="s">
        <v>3</v>
      </c>
      <c r="F22" s="7"/>
    </row>
    <row r="23" spans="1:6" x14ac:dyDescent="0.2">
      <c r="A23" s="5"/>
      <c r="B23" s="6"/>
      <c r="C23" s="6"/>
      <c r="D23" s="6"/>
      <c r="E23" s="6"/>
      <c r="F23" s="7"/>
    </row>
    <row r="24" spans="1:6" x14ac:dyDescent="0.2">
      <c r="A24" s="9" t="s">
        <v>6</v>
      </c>
      <c r="B24" s="6"/>
      <c r="C24" s="6"/>
      <c r="D24" s="6"/>
      <c r="E24" s="6"/>
      <c r="F24" s="7"/>
    </row>
    <row r="25" spans="1:6" x14ac:dyDescent="0.2">
      <c r="A25" s="12" t="s">
        <v>7</v>
      </c>
      <c r="B25" s="13" t="s">
        <v>8</v>
      </c>
      <c r="C25" s="13" t="s">
        <v>9</v>
      </c>
      <c r="D25" s="6"/>
      <c r="E25" s="6"/>
      <c r="F25" s="7"/>
    </row>
    <row r="26" spans="1:6" ht="15.75" x14ac:dyDescent="0.3">
      <c r="A26" s="15" t="s">
        <v>11</v>
      </c>
      <c r="B26" s="16">
        <v>1.28</v>
      </c>
      <c r="C26" s="16">
        <v>2</v>
      </c>
      <c r="D26" s="6"/>
      <c r="E26" s="6"/>
      <c r="F26" s="7"/>
    </row>
    <row r="27" spans="1:6" ht="15.75" x14ac:dyDescent="0.3">
      <c r="A27" s="15" t="s">
        <v>16</v>
      </c>
      <c r="B27" s="16">
        <v>1.18</v>
      </c>
      <c r="C27" s="16">
        <v>1.7</v>
      </c>
      <c r="D27" s="6"/>
      <c r="E27" s="6"/>
      <c r="F27" s="7"/>
    </row>
    <row r="28" spans="1:6" ht="15.75" x14ac:dyDescent="0.3">
      <c r="A28" s="15" t="s">
        <v>19</v>
      </c>
      <c r="B28" s="16">
        <v>1.0900000000000001</v>
      </c>
      <c r="C28" s="16">
        <v>1.54</v>
      </c>
      <c r="D28" s="6"/>
      <c r="E28" s="6"/>
      <c r="F28" s="7"/>
    </row>
    <row r="29" spans="1:6" ht="15.75" x14ac:dyDescent="0.3">
      <c r="A29" s="15" t="s">
        <v>22</v>
      </c>
      <c r="B29" s="16">
        <v>1</v>
      </c>
      <c r="C29" s="16">
        <v>1.43</v>
      </c>
      <c r="D29" s="6"/>
      <c r="E29" s="6"/>
      <c r="F29" s="7"/>
    </row>
    <row r="30" spans="1:6" ht="15.75" x14ac:dyDescent="0.3">
      <c r="A30" s="15" t="s">
        <v>25</v>
      </c>
      <c r="B30" s="16">
        <v>0.92</v>
      </c>
      <c r="C30" s="16">
        <v>1.32</v>
      </c>
      <c r="D30" s="6"/>
      <c r="E30" s="6"/>
      <c r="F30" s="7"/>
    </row>
    <row r="31" spans="1:6" ht="15.75" x14ac:dyDescent="0.3">
      <c r="A31" s="15" t="s">
        <v>28</v>
      </c>
      <c r="B31" s="16">
        <v>0.79</v>
      </c>
      <c r="C31" s="16">
        <v>1.19</v>
      </c>
      <c r="D31" s="6"/>
      <c r="E31" s="6"/>
      <c r="F31" s="7"/>
    </row>
    <row r="32" spans="1:6" ht="16.5" thickBot="1" x14ac:dyDescent="0.35">
      <c r="A32" s="23" t="s">
        <v>30</v>
      </c>
      <c r="B32" s="24">
        <v>0.69</v>
      </c>
      <c r="C32" s="24">
        <v>1.04</v>
      </c>
      <c r="D32" s="25"/>
      <c r="E32" s="25"/>
      <c r="F32" s="26"/>
    </row>
  </sheetData>
  <phoneticPr fontId="10" type="noConversion"/>
  <pageMargins left="0.25" right="0.25" top="0.75" bottom="0.75" header="0.3" footer="0.3"/>
  <pageSetup scale="85"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workbookViewId="0">
      <selection activeCell="B17" sqref="B17"/>
    </sheetView>
  </sheetViews>
  <sheetFormatPr defaultRowHeight="12.75" x14ac:dyDescent="0.2"/>
  <sheetData>
    <row r="1" spans="1:10" x14ac:dyDescent="0.2">
      <c r="A1" s="4" t="s">
        <v>116</v>
      </c>
      <c r="B1" s="2"/>
      <c r="C1" s="2"/>
      <c r="D1" s="2"/>
      <c r="E1" s="36"/>
      <c r="F1" s="36"/>
      <c r="G1" s="36"/>
      <c r="H1" s="36"/>
      <c r="I1" s="36"/>
      <c r="J1" s="36"/>
    </row>
    <row r="2" spans="1:10" x14ac:dyDescent="0.2">
      <c r="A2" s="36" t="s">
        <v>66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x14ac:dyDescent="0.2">
      <c r="A4" s="36" t="s">
        <v>107</v>
      </c>
      <c r="B4" s="36"/>
      <c r="C4" s="51">
        <v>1.2</v>
      </c>
      <c r="D4" s="36" t="s">
        <v>114</v>
      </c>
      <c r="E4" s="36"/>
      <c r="F4" s="36"/>
      <c r="G4" s="36"/>
      <c r="H4" s="36"/>
      <c r="I4" s="36"/>
      <c r="J4" s="36"/>
    </row>
    <row r="5" spans="1:10" x14ac:dyDescent="0.2">
      <c r="A5" s="36" t="s">
        <v>113</v>
      </c>
      <c r="B5" s="36"/>
      <c r="C5" s="51">
        <v>7.9</v>
      </c>
      <c r="D5" s="36" t="s">
        <v>115</v>
      </c>
      <c r="E5" s="36"/>
      <c r="F5" s="36"/>
      <c r="G5" s="36"/>
      <c r="H5" s="36"/>
      <c r="I5" s="36"/>
      <c r="J5" s="36"/>
    </row>
    <row r="6" spans="1:10" x14ac:dyDescent="0.2">
      <c r="A6" s="5" t="s">
        <v>96</v>
      </c>
      <c r="B6" s="6"/>
      <c r="C6" s="42">
        <v>165</v>
      </c>
      <c r="D6" s="36"/>
      <c r="E6" s="36"/>
      <c r="F6" s="36"/>
      <c r="G6" s="36"/>
      <c r="H6" s="36"/>
      <c r="I6" s="36"/>
      <c r="J6" s="36"/>
    </row>
    <row r="7" spans="1:10" x14ac:dyDescent="0.2">
      <c r="A7" s="5" t="s">
        <v>95</v>
      </c>
      <c r="B7" s="6"/>
      <c r="C7" s="42">
        <v>62.4</v>
      </c>
      <c r="D7" s="36"/>
      <c r="E7" s="36"/>
      <c r="F7" s="36"/>
      <c r="G7" s="36"/>
      <c r="H7" s="36"/>
      <c r="I7" s="36"/>
      <c r="J7" s="36"/>
    </row>
    <row r="8" spans="1:10" x14ac:dyDescent="0.2">
      <c r="A8" s="36" t="s">
        <v>112</v>
      </c>
      <c r="B8" s="36"/>
      <c r="C8" s="73">
        <f>+(C5/(C4*(2*32.2*(C6-C7)/C7)^0.5))^2</f>
        <v>0.40930123214638858</v>
      </c>
      <c r="D8" s="52" t="s">
        <v>46</v>
      </c>
      <c r="E8" s="73">
        <f>+C8*12</f>
        <v>4.9116147857566634</v>
      </c>
      <c r="F8" s="36" t="s">
        <v>94</v>
      </c>
      <c r="G8" s="36"/>
      <c r="H8" s="36"/>
      <c r="I8" s="36"/>
      <c r="J8" s="36"/>
    </row>
    <row r="9" spans="1:10" x14ac:dyDescent="0.2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spans="1:10" x14ac:dyDescent="0.2">
      <c r="A10" s="36"/>
      <c r="B10" s="49" t="s">
        <v>128</v>
      </c>
      <c r="C10" s="49"/>
      <c r="D10" s="49"/>
      <c r="E10" s="36"/>
      <c r="F10" s="36"/>
      <c r="G10" s="36"/>
      <c r="H10" s="36"/>
      <c r="I10" s="36"/>
      <c r="J10" s="36"/>
    </row>
    <row r="11" spans="1:10" x14ac:dyDescent="0.2">
      <c r="A11" s="36"/>
      <c r="B11" s="49" t="s">
        <v>127</v>
      </c>
      <c r="C11" s="49"/>
      <c r="D11" s="49"/>
      <c r="E11" s="36"/>
      <c r="F11" s="36"/>
      <c r="G11" s="36"/>
      <c r="H11" s="36"/>
      <c r="I11" s="36"/>
      <c r="J11" s="36"/>
    </row>
    <row r="12" spans="1:10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0" ht="13.5" thickBo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x14ac:dyDescent="0.2">
      <c r="A14" s="72"/>
      <c r="B14" s="69" t="s">
        <v>97</v>
      </c>
      <c r="C14" s="70"/>
      <c r="D14" s="70"/>
      <c r="E14" s="70"/>
      <c r="F14" s="71"/>
    </row>
    <row r="15" spans="1:10" x14ac:dyDescent="0.2">
      <c r="A15" s="29" t="s">
        <v>48</v>
      </c>
      <c r="B15" s="6"/>
      <c r="C15" s="6"/>
      <c r="D15" s="6"/>
      <c r="E15" s="6"/>
      <c r="F15" s="7"/>
    </row>
    <row r="16" spans="1:10" x14ac:dyDescent="0.2">
      <c r="A16" s="5" t="s">
        <v>47</v>
      </c>
      <c r="B16" s="42">
        <v>1</v>
      </c>
      <c r="C16" s="6"/>
      <c r="D16" s="6"/>
      <c r="E16" s="6"/>
      <c r="F16" s="7"/>
    </row>
    <row r="17" spans="1:6" x14ac:dyDescent="0.2">
      <c r="A17" s="5"/>
      <c r="B17" s="6"/>
      <c r="C17" s="6"/>
      <c r="D17" s="6"/>
      <c r="E17" s="6"/>
      <c r="F17" s="7"/>
    </row>
    <row r="18" spans="1:6" x14ac:dyDescent="0.2">
      <c r="A18" s="5" t="s">
        <v>134</v>
      </c>
      <c r="B18" s="6"/>
      <c r="C18" s="6"/>
      <c r="D18" s="6" t="s">
        <v>135</v>
      </c>
      <c r="E18" s="6"/>
      <c r="F18" s="7"/>
    </row>
    <row r="19" spans="1:6" x14ac:dyDescent="0.2">
      <c r="A19" s="15" t="s">
        <v>136</v>
      </c>
      <c r="B19" s="68" t="s">
        <v>137</v>
      </c>
      <c r="C19" s="6"/>
      <c r="D19" s="20" t="s">
        <v>136</v>
      </c>
      <c r="E19" s="68" t="s">
        <v>137</v>
      </c>
      <c r="F19" s="7"/>
    </row>
    <row r="20" spans="1:6" x14ac:dyDescent="0.2">
      <c r="A20" s="65">
        <f>($E$8/$B$16)*B32</f>
        <v>6.2868669257685292</v>
      </c>
      <c r="B20" s="20">
        <v>100</v>
      </c>
      <c r="C20" s="6"/>
      <c r="D20" s="64">
        <f>($E$8/$B$16)*C32</f>
        <v>9.8232295715133269</v>
      </c>
      <c r="E20" s="20">
        <v>100</v>
      </c>
      <c r="F20" s="7"/>
    </row>
    <row r="21" spans="1:6" x14ac:dyDescent="0.2">
      <c r="A21" s="65">
        <f t="shared" ref="A21:A26" si="0">($E$8/$B$16)*B33</f>
        <v>5.7957054471928622</v>
      </c>
      <c r="B21" s="20">
        <v>75</v>
      </c>
      <c r="C21" s="6"/>
      <c r="D21" s="64">
        <f t="shared" ref="D21:D26" si="1">($E$8/$B$16)*C33</f>
        <v>8.3497451357863284</v>
      </c>
      <c r="E21" s="20">
        <v>75</v>
      </c>
      <c r="F21" s="7"/>
    </row>
    <row r="22" spans="1:6" x14ac:dyDescent="0.2">
      <c r="A22" s="65">
        <f t="shared" si="0"/>
        <v>5.3536601164747637</v>
      </c>
      <c r="B22" s="20">
        <v>60</v>
      </c>
      <c r="C22" s="6"/>
      <c r="D22" s="64">
        <f t="shared" si="1"/>
        <v>7.5638867700652614</v>
      </c>
      <c r="E22" s="20">
        <v>60</v>
      </c>
      <c r="F22" s="7"/>
    </row>
    <row r="23" spans="1:6" x14ac:dyDescent="0.2">
      <c r="A23" s="65">
        <f t="shared" si="0"/>
        <v>4.9116147857566634</v>
      </c>
      <c r="B23" s="20">
        <v>50</v>
      </c>
      <c r="C23" s="6"/>
      <c r="D23" s="64">
        <f t="shared" si="1"/>
        <v>7.0236091436320285</v>
      </c>
      <c r="E23" s="20">
        <v>50</v>
      </c>
      <c r="F23" s="7"/>
    </row>
    <row r="24" spans="1:6" x14ac:dyDescent="0.2">
      <c r="A24" s="65">
        <f t="shared" si="0"/>
        <v>4.5186856028961309</v>
      </c>
      <c r="B24" s="20">
        <v>40</v>
      </c>
      <c r="C24" s="6"/>
      <c r="D24" s="64">
        <f t="shared" si="1"/>
        <v>6.4833315171987964</v>
      </c>
      <c r="E24" s="20">
        <v>40</v>
      </c>
      <c r="F24" s="7"/>
    </row>
    <row r="25" spans="1:6" x14ac:dyDescent="0.2">
      <c r="A25" s="65">
        <f t="shared" si="0"/>
        <v>3.8801756807477643</v>
      </c>
      <c r="B25" s="20">
        <v>30</v>
      </c>
      <c r="C25" s="6"/>
      <c r="D25" s="64">
        <f t="shared" si="1"/>
        <v>5.844821595050429</v>
      </c>
      <c r="E25" s="20">
        <v>30</v>
      </c>
      <c r="F25" s="7"/>
    </row>
    <row r="26" spans="1:6" ht="13.5" thickBot="1" x14ac:dyDescent="0.25">
      <c r="A26" s="66">
        <f t="shared" si="0"/>
        <v>3.3890142021720977</v>
      </c>
      <c r="B26" s="34">
        <v>20</v>
      </c>
      <c r="C26" s="25"/>
      <c r="D26" s="62">
        <f t="shared" si="1"/>
        <v>5.1080793771869297</v>
      </c>
      <c r="E26" s="34">
        <v>20</v>
      </c>
      <c r="F26" s="26"/>
    </row>
    <row r="27" spans="1:6" x14ac:dyDescent="0.2">
      <c r="A27" s="1" t="s">
        <v>0</v>
      </c>
      <c r="B27" s="2"/>
      <c r="C27" s="2"/>
      <c r="D27" s="67">
        <v>2.65</v>
      </c>
      <c r="E27" s="2"/>
      <c r="F27" s="3"/>
    </row>
    <row r="28" spans="1:6" x14ac:dyDescent="0.2">
      <c r="A28" s="5" t="s">
        <v>2</v>
      </c>
      <c r="B28" s="6"/>
      <c r="C28" s="6"/>
      <c r="D28" s="42">
        <f>D27*62.4</f>
        <v>165.35999999999999</v>
      </c>
      <c r="E28" s="6" t="s">
        <v>3</v>
      </c>
      <c r="F28" s="7"/>
    </row>
    <row r="29" spans="1:6" x14ac:dyDescent="0.2">
      <c r="A29" s="5"/>
      <c r="B29" s="6"/>
      <c r="C29" s="6"/>
      <c r="D29" s="6"/>
      <c r="E29" s="6"/>
      <c r="F29" s="7"/>
    </row>
    <row r="30" spans="1:6" x14ac:dyDescent="0.2">
      <c r="A30" s="9" t="s">
        <v>6</v>
      </c>
      <c r="B30" s="6"/>
      <c r="C30" s="6"/>
      <c r="D30" s="6"/>
      <c r="E30" s="6"/>
      <c r="F30" s="7"/>
    </row>
    <row r="31" spans="1:6" x14ac:dyDescent="0.2">
      <c r="A31" s="12" t="s">
        <v>7</v>
      </c>
      <c r="B31" s="13" t="s">
        <v>8</v>
      </c>
      <c r="C31" s="13" t="s">
        <v>9</v>
      </c>
      <c r="D31" s="6"/>
      <c r="E31" s="6"/>
      <c r="F31" s="7"/>
    </row>
    <row r="32" spans="1:6" ht="15.75" x14ac:dyDescent="0.3">
      <c r="A32" s="15" t="s">
        <v>11</v>
      </c>
      <c r="B32" s="16">
        <v>1.28</v>
      </c>
      <c r="C32" s="16">
        <v>2</v>
      </c>
      <c r="D32" s="6"/>
      <c r="E32" s="6"/>
      <c r="F32" s="7"/>
    </row>
    <row r="33" spans="1:6" ht="15.75" x14ac:dyDescent="0.3">
      <c r="A33" s="15" t="s">
        <v>16</v>
      </c>
      <c r="B33" s="16">
        <v>1.18</v>
      </c>
      <c r="C33" s="16">
        <v>1.7</v>
      </c>
      <c r="D33" s="6"/>
      <c r="E33" s="6"/>
      <c r="F33" s="7"/>
    </row>
    <row r="34" spans="1:6" ht="15.75" x14ac:dyDescent="0.3">
      <c r="A34" s="15" t="s">
        <v>19</v>
      </c>
      <c r="B34" s="16">
        <v>1.0900000000000001</v>
      </c>
      <c r="C34" s="16">
        <v>1.54</v>
      </c>
      <c r="D34" s="6"/>
      <c r="E34" s="6"/>
      <c r="F34" s="7"/>
    </row>
    <row r="35" spans="1:6" ht="15.75" x14ac:dyDescent="0.3">
      <c r="A35" s="15" t="s">
        <v>22</v>
      </c>
      <c r="B35" s="16">
        <v>1</v>
      </c>
      <c r="C35" s="16">
        <v>1.43</v>
      </c>
      <c r="D35" s="6"/>
      <c r="E35" s="6"/>
      <c r="F35" s="7"/>
    </row>
    <row r="36" spans="1:6" ht="15.75" x14ac:dyDescent="0.3">
      <c r="A36" s="15" t="s">
        <v>25</v>
      </c>
      <c r="B36" s="16">
        <v>0.92</v>
      </c>
      <c r="C36" s="16">
        <v>1.32</v>
      </c>
      <c r="D36" s="6"/>
      <c r="E36" s="6"/>
      <c r="F36" s="7"/>
    </row>
    <row r="37" spans="1:6" ht="15.75" x14ac:dyDescent="0.3">
      <c r="A37" s="15" t="s">
        <v>28</v>
      </c>
      <c r="B37" s="16">
        <v>0.79</v>
      </c>
      <c r="C37" s="16">
        <v>1.19</v>
      </c>
      <c r="D37" s="6"/>
      <c r="E37" s="6"/>
      <c r="F37" s="7"/>
    </row>
    <row r="38" spans="1:6" ht="16.5" thickBot="1" x14ac:dyDescent="0.35">
      <c r="A38" s="23" t="s">
        <v>30</v>
      </c>
      <c r="B38" s="24">
        <v>0.69</v>
      </c>
      <c r="C38" s="24">
        <v>1.04</v>
      </c>
      <c r="D38" s="25"/>
      <c r="E38" s="25"/>
      <c r="F38" s="26"/>
    </row>
  </sheetData>
  <phoneticPr fontId="10" type="noConversion"/>
  <pageMargins left="0.75" right="0.75" top="1" bottom="1" header="0.5" footer="0.5"/>
  <pageSetup scale="98"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4" sqref="F4"/>
    </sheetView>
  </sheetViews>
  <sheetFormatPr defaultRowHeight="12.75" x14ac:dyDescent="0.2"/>
  <sheetData>
    <row r="1" spans="1:11" x14ac:dyDescent="0.2">
      <c r="A1" s="36" t="s">
        <v>101</v>
      </c>
      <c r="B1" s="51">
        <v>0.01</v>
      </c>
      <c r="C1" s="36" t="s">
        <v>124</v>
      </c>
      <c r="D1" s="36"/>
      <c r="E1" s="36"/>
      <c r="F1" s="36" t="s">
        <v>160</v>
      </c>
      <c r="G1" s="36"/>
      <c r="H1" s="36"/>
      <c r="I1" s="36"/>
      <c r="J1" s="36"/>
      <c r="K1" s="36"/>
    </row>
    <row r="2" spans="1:11" x14ac:dyDescent="0.2">
      <c r="A2" s="36" t="s">
        <v>103</v>
      </c>
      <c r="B2" s="51">
        <v>16278</v>
      </c>
      <c r="C2" s="36" t="s">
        <v>125</v>
      </c>
      <c r="D2" s="36"/>
      <c r="E2" s="36"/>
      <c r="F2" s="36" t="s">
        <v>161</v>
      </c>
      <c r="G2" s="36"/>
      <c r="H2" s="36"/>
      <c r="I2" s="36"/>
      <c r="J2" s="36"/>
      <c r="K2" s="36"/>
    </row>
    <row r="3" spans="1:11" ht="13.5" thickBot="1" x14ac:dyDescent="0.25">
      <c r="A3" s="36"/>
      <c r="B3" s="36"/>
      <c r="C3" s="36"/>
      <c r="D3" s="36"/>
      <c r="E3" s="36"/>
      <c r="F3" s="36" t="s">
        <v>162</v>
      </c>
      <c r="G3" s="36"/>
      <c r="H3" s="36"/>
      <c r="I3" s="36"/>
      <c r="J3" s="36"/>
      <c r="K3" s="36"/>
    </row>
    <row r="4" spans="1:11" x14ac:dyDescent="0.2">
      <c r="A4" s="1" t="s">
        <v>122</v>
      </c>
      <c r="B4" s="2"/>
      <c r="C4" s="1" t="s">
        <v>106</v>
      </c>
      <c r="D4" s="3"/>
      <c r="E4" s="36"/>
      <c r="F4" s="36"/>
      <c r="G4" s="36"/>
      <c r="H4" s="36"/>
      <c r="I4" s="36"/>
      <c r="J4" s="36"/>
      <c r="K4" s="36"/>
    </row>
    <row r="5" spans="1:11" x14ac:dyDescent="0.2">
      <c r="A5" s="32" t="s">
        <v>103</v>
      </c>
      <c r="B5" s="30">
        <f>+$B$2</f>
        <v>16278</v>
      </c>
      <c r="C5" s="32" t="s">
        <v>103</v>
      </c>
      <c r="D5" s="31">
        <f>+$B$2</f>
        <v>16278</v>
      </c>
      <c r="E5" s="36"/>
      <c r="F5" s="36"/>
      <c r="G5" s="36"/>
      <c r="H5" s="36"/>
      <c r="I5" s="36"/>
      <c r="J5" s="36"/>
      <c r="K5" s="36"/>
    </row>
    <row r="6" spans="1:11" x14ac:dyDescent="0.2">
      <c r="A6" s="32" t="s">
        <v>108</v>
      </c>
      <c r="B6" s="30">
        <f>+$B$1</f>
        <v>0.01</v>
      </c>
      <c r="C6" s="32" t="s">
        <v>108</v>
      </c>
      <c r="D6" s="31">
        <f>+$B$1</f>
        <v>0.01</v>
      </c>
      <c r="E6" s="36"/>
      <c r="F6" s="36"/>
      <c r="G6" s="36"/>
      <c r="H6" s="36"/>
      <c r="I6" s="36"/>
      <c r="J6" s="36"/>
      <c r="K6" s="36"/>
    </row>
    <row r="7" spans="1:11" x14ac:dyDescent="0.2">
      <c r="A7" s="5"/>
      <c r="B7" s="6"/>
      <c r="C7" s="5"/>
      <c r="D7" s="7"/>
      <c r="E7" s="36"/>
      <c r="F7" s="36"/>
      <c r="G7" s="36"/>
      <c r="H7" s="36"/>
      <c r="I7" s="36"/>
      <c r="J7" s="36"/>
      <c r="K7" s="36"/>
    </row>
    <row r="8" spans="1:11" x14ac:dyDescent="0.2">
      <c r="A8" s="58" t="s">
        <v>120</v>
      </c>
      <c r="B8" s="60">
        <f>+(1.35*B5)^0.56*B6^0.43*5.23</f>
        <v>194.97780815044663</v>
      </c>
      <c r="C8" s="5" t="s">
        <v>111</v>
      </c>
      <c r="D8" s="7"/>
      <c r="E8" s="36"/>
      <c r="F8" s="36"/>
      <c r="G8" s="49" t="s">
        <v>128</v>
      </c>
      <c r="H8" s="49"/>
      <c r="I8" s="49"/>
      <c r="J8" s="36"/>
      <c r="K8" s="36"/>
    </row>
    <row r="9" spans="1:11" x14ac:dyDescent="0.2">
      <c r="A9" s="58" t="s">
        <v>119</v>
      </c>
      <c r="B9" s="60">
        <f>+B8/12</f>
        <v>16.248150679203885</v>
      </c>
      <c r="C9" s="5" t="s">
        <v>120</v>
      </c>
      <c r="D9" s="74">
        <f>12*(1.923*D5*D6^1.5)^0.529</f>
        <v>74.189635910363208</v>
      </c>
      <c r="E9" s="36"/>
      <c r="F9" s="36"/>
      <c r="G9" s="49" t="s">
        <v>127</v>
      </c>
      <c r="H9" s="49"/>
      <c r="I9" s="49"/>
      <c r="J9" s="36"/>
      <c r="K9" s="36"/>
    </row>
    <row r="10" spans="1:11" x14ac:dyDescent="0.2">
      <c r="A10" s="58"/>
      <c r="B10" s="43"/>
      <c r="C10" s="5" t="s">
        <v>119</v>
      </c>
      <c r="D10" s="74">
        <f>+D9/12</f>
        <v>6.1824696591969337</v>
      </c>
      <c r="E10" s="36"/>
      <c r="F10" s="36"/>
      <c r="G10" s="36"/>
      <c r="H10" s="36"/>
      <c r="I10" s="36"/>
      <c r="J10" s="36"/>
      <c r="K10" s="36"/>
    </row>
    <row r="11" spans="1:11" x14ac:dyDescent="0.2">
      <c r="A11" s="5"/>
      <c r="B11" s="6"/>
      <c r="C11" s="5" t="s">
        <v>121</v>
      </c>
      <c r="D11" s="59"/>
      <c r="E11" s="36"/>
      <c r="F11" s="36"/>
      <c r="G11" s="36"/>
      <c r="H11" s="36"/>
      <c r="I11" s="36"/>
      <c r="J11" s="36"/>
      <c r="K11" s="36"/>
    </row>
    <row r="12" spans="1:11" x14ac:dyDescent="0.2">
      <c r="A12" s="5"/>
      <c r="B12" s="6"/>
      <c r="C12" s="5" t="s">
        <v>120</v>
      </c>
      <c r="D12" s="74">
        <f>12*(0.233*D5*D6^0.58)^0.529</f>
        <v>228.45963606128345</v>
      </c>
      <c r="E12" s="36"/>
      <c r="F12" s="36"/>
      <c r="G12" s="36"/>
      <c r="H12" s="36"/>
      <c r="I12" s="36"/>
      <c r="J12" s="36"/>
      <c r="K12" s="36"/>
    </row>
    <row r="13" spans="1:11" ht="13.5" thickBot="1" x14ac:dyDescent="0.25">
      <c r="A13" s="39"/>
      <c r="B13" s="25"/>
      <c r="C13" s="39" t="s">
        <v>119</v>
      </c>
      <c r="D13" s="75">
        <f>+D12/12</f>
        <v>19.038303005106954</v>
      </c>
      <c r="E13" s="36"/>
      <c r="F13" s="36"/>
      <c r="G13" s="36"/>
      <c r="H13" s="36"/>
      <c r="I13" s="36"/>
      <c r="J13" s="36"/>
      <c r="K13" s="36"/>
    </row>
    <row r="14" spans="1:11" x14ac:dyDescent="0.2">
      <c r="A14" s="6"/>
      <c r="B14" s="6"/>
      <c r="C14" s="43"/>
      <c r="D14" s="43"/>
      <c r="E14" s="36"/>
      <c r="F14" s="36"/>
      <c r="G14" s="36"/>
      <c r="H14" s="36"/>
      <c r="I14" s="36"/>
      <c r="J14" s="36"/>
      <c r="K14" s="36"/>
    </row>
    <row r="15" spans="1:11" x14ac:dyDescent="0.2">
      <c r="A15" s="6"/>
      <c r="B15" s="6"/>
      <c r="C15" s="6"/>
      <c r="D15" s="6"/>
      <c r="E15" s="52"/>
      <c r="F15" s="36"/>
      <c r="G15" s="36"/>
      <c r="H15" s="36"/>
      <c r="I15" s="36"/>
      <c r="J15" s="36"/>
      <c r="K15" s="36"/>
    </row>
    <row r="16" spans="1:11" x14ac:dyDescent="0.2">
      <c r="A16" s="36"/>
      <c r="B16" s="36"/>
      <c r="C16" s="36"/>
      <c r="D16" s="36"/>
      <c r="E16" s="52"/>
      <c r="F16" s="36"/>
      <c r="G16" s="36"/>
      <c r="H16" s="36"/>
      <c r="I16" s="36"/>
      <c r="J16" s="36"/>
      <c r="K16" s="36"/>
    </row>
    <row r="17" spans="1:11" x14ac:dyDescent="0.2">
      <c r="A17" s="36"/>
      <c r="B17" s="36"/>
      <c r="C17" s="36"/>
      <c r="D17" s="36"/>
      <c r="E17" s="6"/>
      <c r="F17" s="6"/>
      <c r="G17" s="6"/>
      <c r="H17" s="6"/>
      <c r="I17" s="6"/>
      <c r="J17" s="6"/>
      <c r="K17" s="36"/>
    </row>
    <row r="18" spans="1:11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1:11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1:1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1:1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1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1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</row>
  </sheetData>
  <phoneticPr fontId="10" type="noConversion"/>
  <pageMargins left="0.75" right="0.75" top="1" bottom="1" header="0.5" footer="0.5"/>
  <pageSetup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" sqref="A4"/>
    </sheetView>
  </sheetViews>
  <sheetFormatPr defaultRowHeight="12.75" x14ac:dyDescent="0.2"/>
  <sheetData>
    <row r="1" spans="1:8" x14ac:dyDescent="0.2">
      <c r="A1" s="1" t="s">
        <v>118</v>
      </c>
      <c r="B1" s="3"/>
      <c r="C1" s="36"/>
      <c r="D1" s="36"/>
      <c r="E1" s="36"/>
      <c r="F1" s="36"/>
      <c r="G1" s="36"/>
      <c r="H1" s="36"/>
    </row>
    <row r="2" spans="1:8" x14ac:dyDescent="0.2">
      <c r="A2" s="5" t="s">
        <v>108</v>
      </c>
      <c r="B2" s="55">
        <v>0.01</v>
      </c>
      <c r="C2" s="36"/>
      <c r="D2" s="49" t="s">
        <v>128</v>
      </c>
      <c r="E2" s="49"/>
      <c r="F2" s="49"/>
      <c r="G2" s="36"/>
      <c r="H2" s="36"/>
    </row>
    <row r="3" spans="1:8" x14ac:dyDescent="0.2">
      <c r="A3" s="5" t="s">
        <v>110</v>
      </c>
      <c r="B3" s="55">
        <v>5.5</v>
      </c>
      <c r="C3" s="36"/>
      <c r="D3" s="49" t="s">
        <v>127</v>
      </c>
      <c r="E3" s="49"/>
      <c r="F3" s="49"/>
      <c r="G3" s="36"/>
      <c r="H3" s="36"/>
    </row>
    <row r="4" spans="1:8" x14ac:dyDescent="0.2">
      <c r="A4" s="5"/>
      <c r="B4" s="7"/>
      <c r="C4" s="36"/>
      <c r="D4" s="36"/>
      <c r="E4" s="36"/>
      <c r="F4" s="36"/>
      <c r="G4" s="36"/>
      <c r="H4" s="36"/>
    </row>
    <row r="5" spans="1:8" x14ac:dyDescent="0.2">
      <c r="A5" s="5"/>
      <c r="B5" s="7"/>
      <c r="C5" s="36"/>
      <c r="D5" s="36"/>
      <c r="E5" s="36"/>
      <c r="F5" s="36"/>
      <c r="G5" s="36"/>
      <c r="H5" s="36"/>
    </row>
    <row r="6" spans="1:8" x14ac:dyDescent="0.2">
      <c r="A6" s="5"/>
      <c r="B6" s="7"/>
      <c r="C6" s="36"/>
      <c r="D6" s="36"/>
      <c r="E6" s="36"/>
      <c r="F6" s="36"/>
      <c r="G6" s="36"/>
      <c r="H6" s="36"/>
    </row>
    <row r="7" spans="1:8" x14ac:dyDescent="0.2">
      <c r="A7" s="5" t="s">
        <v>119</v>
      </c>
      <c r="B7" s="74">
        <f>62.4*B2*B3/4</f>
        <v>0.85799999999999998</v>
      </c>
      <c r="C7" s="36"/>
      <c r="D7" s="36"/>
      <c r="E7" s="36"/>
      <c r="F7" s="36"/>
      <c r="G7" s="36"/>
      <c r="H7" s="36"/>
    </row>
    <row r="8" spans="1:8" x14ac:dyDescent="0.2">
      <c r="A8" s="5" t="s">
        <v>120</v>
      </c>
      <c r="B8" s="74">
        <f>+B7*12</f>
        <v>10.295999999999999</v>
      </c>
      <c r="C8" s="36"/>
      <c r="D8" s="36"/>
      <c r="E8" s="36"/>
      <c r="F8" s="36"/>
      <c r="G8" s="36"/>
      <c r="H8" s="36"/>
    </row>
    <row r="9" spans="1:8" ht="13.5" thickBot="1" x14ac:dyDescent="0.25">
      <c r="A9" s="53"/>
      <c r="B9" s="54"/>
      <c r="C9" s="36"/>
      <c r="D9" s="36"/>
      <c r="E9" s="36"/>
      <c r="F9" s="36"/>
      <c r="G9" s="36"/>
      <c r="H9" s="36"/>
    </row>
    <row r="10" spans="1:8" x14ac:dyDescent="0.2">
      <c r="A10" s="36"/>
      <c r="B10" s="36"/>
      <c r="C10" s="36"/>
      <c r="D10" s="36"/>
      <c r="E10" s="36"/>
      <c r="F10" s="36"/>
      <c r="G10" s="36"/>
      <c r="H10" s="36"/>
    </row>
    <row r="11" spans="1:8" x14ac:dyDescent="0.2">
      <c r="A11" s="36"/>
      <c r="B11" s="36"/>
      <c r="C11" s="36"/>
      <c r="D11" s="36"/>
      <c r="E11" s="36"/>
      <c r="F11" s="36"/>
      <c r="G11" s="36"/>
      <c r="H11" s="36"/>
    </row>
    <row r="12" spans="1:8" x14ac:dyDescent="0.2">
      <c r="A12" s="36"/>
      <c r="B12" s="36"/>
      <c r="C12" s="36"/>
      <c r="D12" s="36"/>
      <c r="E12" s="36"/>
      <c r="F12" s="36"/>
      <c r="G12" s="36"/>
      <c r="H12" s="36"/>
    </row>
    <row r="13" spans="1:8" x14ac:dyDescent="0.2">
      <c r="A13" s="36"/>
      <c r="B13" s="36"/>
      <c r="C13" s="36"/>
      <c r="D13" s="36"/>
      <c r="E13" s="36"/>
      <c r="F13" s="36"/>
      <c r="G13" s="36"/>
      <c r="H13" s="36"/>
    </row>
    <row r="14" spans="1:8" x14ac:dyDescent="0.2">
      <c r="A14" s="36"/>
      <c r="B14" s="36"/>
      <c r="C14" s="36"/>
      <c r="D14" s="36"/>
      <c r="E14" s="36"/>
      <c r="F14" s="36"/>
      <c r="G14" s="36"/>
      <c r="H14" s="36"/>
    </row>
    <row r="15" spans="1:8" x14ac:dyDescent="0.2">
      <c r="A15" s="36"/>
      <c r="B15" s="36"/>
      <c r="C15" s="36"/>
      <c r="D15" s="36"/>
      <c r="E15" s="36"/>
      <c r="F15" s="36"/>
      <c r="G15" s="36"/>
      <c r="H15" s="36"/>
    </row>
    <row r="16" spans="1:8" x14ac:dyDescent="0.2">
      <c r="A16" s="36"/>
      <c r="B16" s="36"/>
      <c r="C16" s="36"/>
      <c r="D16" s="36"/>
      <c r="E16" s="36"/>
      <c r="F16" s="36"/>
      <c r="G16" s="36"/>
      <c r="H16" s="36"/>
    </row>
    <row r="17" spans="1:8" x14ac:dyDescent="0.2">
      <c r="A17" s="36"/>
      <c r="B17" s="36"/>
      <c r="C17" s="36"/>
      <c r="D17" s="36"/>
      <c r="E17" s="36"/>
      <c r="F17" s="36"/>
      <c r="G17" s="36"/>
      <c r="H17" s="36"/>
    </row>
    <row r="18" spans="1:8" x14ac:dyDescent="0.2">
      <c r="A18" s="36"/>
      <c r="B18" s="36"/>
      <c r="C18" s="36"/>
      <c r="D18" s="36"/>
      <c r="E18" s="36"/>
      <c r="F18" s="36"/>
      <c r="G18" s="36"/>
      <c r="H18" s="36"/>
    </row>
    <row r="19" spans="1:8" x14ac:dyDescent="0.2">
      <c r="A19" s="36"/>
      <c r="B19" s="36"/>
      <c r="C19" s="36"/>
      <c r="D19" s="36"/>
      <c r="E19" s="36"/>
      <c r="F19" s="36"/>
      <c r="G19" s="36"/>
      <c r="H19" s="36"/>
    </row>
    <row r="20" spans="1:8" x14ac:dyDescent="0.2">
      <c r="A20" s="36"/>
      <c r="B20" s="36"/>
      <c r="C20" s="36"/>
      <c r="D20" s="36"/>
      <c r="E20" s="36"/>
      <c r="F20" s="36"/>
      <c r="G20" s="36"/>
      <c r="H20" s="36"/>
    </row>
  </sheetData>
  <phoneticPr fontId="10" type="noConversion"/>
  <pageMargins left="0.75" right="0.75" top="1" bottom="1" header="0.5" footer="0.5"/>
  <pageSetup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3" sqref="B3"/>
    </sheetView>
  </sheetViews>
  <sheetFormatPr defaultRowHeight="12.75" x14ac:dyDescent="0.2"/>
  <sheetData>
    <row r="1" spans="1:11" x14ac:dyDescent="0.2">
      <c r="A1" s="36" t="s">
        <v>55</v>
      </c>
      <c r="B1" s="51">
        <v>13.83</v>
      </c>
      <c r="C1" s="36" t="s">
        <v>115</v>
      </c>
      <c r="D1" s="36"/>
      <c r="E1" s="36"/>
      <c r="F1" s="36"/>
      <c r="G1" s="36"/>
      <c r="H1" s="36"/>
      <c r="I1" s="36"/>
      <c r="J1" s="36"/>
      <c r="K1" s="36"/>
    </row>
    <row r="2" spans="1:11" x14ac:dyDescent="0.2">
      <c r="A2" s="36" t="s">
        <v>102</v>
      </c>
      <c r="B2" s="51">
        <v>5.5</v>
      </c>
      <c r="C2" s="36" t="s">
        <v>46</v>
      </c>
      <c r="D2" s="36"/>
      <c r="E2" s="49" t="s">
        <v>128</v>
      </c>
      <c r="F2" s="49"/>
      <c r="G2" s="49"/>
      <c r="H2" s="36"/>
      <c r="I2" s="36"/>
      <c r="J2" s="36"/>
      <c r="K2" s="36"/>
    </row>
    <row r="3" spans="1:11" x14ac:dyDescent="0.2">
      <c r="A3" s="36"/>
      <c r="B3" s="51"/>
      <c r="C3" s="36"/>
      <c r="D3" s="36"/>
      <c r="E3" s="49" t="s">
        <v>127</v>
      </c>
      <c r="F3" s="49"/>
      <c r="G3" s="49"/>
      <c r="H3" s="36"/>
      <c r="I3" s="36"/>
      <c r="J3" s="36"/>
      <c r="K3" s="36"/>
    </row>
    <row r="4" spans="1:11" x14ac:dyDescent="0.2">
      <c r="A4" s="36"/>
      <c r="B4" s="51"/>
      <c r="C4" s="36"/>
      <c r="D4" s="36"/>
      <c r="E4" s="36"/>
      <c r="F4" s="36"/>
      <c r="G4" s="36"/>
      <c r="H4" s="36"/>
      <c r="I4" s="36"/>
      <c r="J4" s="36"/>
      <c r="K4" s="36"/>
    </row>
    <row r="5" spans="1:11" ht="13.5" thickBo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x14ac:dyDescent="0.2">
      <c r="A6" s="2" t="s">
        <v>104</v>
      </c>
      <c r="B6" s="2"/>
      <c r="C6" s="1" t="s">
        <v>105</v>
      </c>
      <c r="D6" s="3"/>
      <c r="E6" s="36"/>
      <c r="F6" s="36"/>
      <c r="G6" s="36"/>
      <c r="H6" s="36"/>
      <c r="I6" s="36"/>
      <c r="J6" s="36"/>
      <c r="K6" s="36"/>
    </row>
    <row r="7" spans="1:11" x14ac:dyDescent="0.2">
      <c r="A7" s="30" t="s">
        <v>109</v>
      </c>
      <c r="B7" s="57">
        <f>+$B$1</f>
        <v>13.83</v>
      </c>
      <c r="C7" s="32" t="s">
        <v>109</v>
      </c>
      <c r="D7" s="56">
        <f>+$B$1</f>
        <v>13.83</v>
      </c>
      <c r="E7" s="36"/>
      <c r="F7" s="36"/>
      <c r="G7" s="36"/>
      <c r="H7" s="36"/>
      <c r="I7" s="36"/>
      <c r="J7" s="36"/>
      <c r="K7" s="36"/>
    </row>
    <row r="8" spans="1:11" x14ac:dyDescent="0.2">
      <c r="A8" s="30" t="s">
        <v>54</v>
      </c>
      <c r="B8" s="30">
        <f>+$B$2</f>
        <v>5.5</v>
      </c>
      <c r="C8" s="32"/>
      <c r="D8" s="31"/>
      <c r="E8" s="36"/>
      <c r="F8" s="36"/>
      <c r="G8" s="36"/>
      <c r="H8" s="36"/>
      <c r="I8" s="36"/>
      <c r="J8" s="36"/>
      <c r="K8" s="36"/>
    </row>
    <row r="9" spans="1:11" x14ac:dyDescent="0.2">
      <c r="A9" s="6"/>
      <c r="B9" s="6"/>
      <c r="C9" s="5"/>
      <c r="D9" s="7"/>
      <c r="E9" s="36"/>
      <c r="F9" s="36"/>
      <c r="G9" s="36"/>
      <c r="H9" s="36"/>
      <c r="I9" s="36"/>
      <c r="J9" s="36"/>
      <c r="K9" s="36"/>
    </row>
    <row r="10" spans="1:11" x14ac:dyDescent="0.2">
      <c r="A10" s="43" t="s">
        <v>120</v>
      </c>
      <c r="B10" s="60">
        <f>12*B11</f>
        <v>15.700895780900311</v>
      </c>
      <c r="C10" s="58" t="s">
        <v>120</v>
      </c>
      <c r="D10" s="74">
        <f>12*D11</f>
        <v>32.781948806745632</v>
      </c>
      <c r="E10" s="36"/>
      <c r="F10" s="36"/>
      <c r="G10" s="36"/>
      <c r="H10" s="36"/>
      <c r="I10" s="36"/>
      <c r="J10" s="36"/>
      <c r="K10" s="36"/>
    </row>
    <row r="11" spans="1:11" x14ac:dyDescent="0.2">
      <c r="A11" s="43" t="s">
        <v>119</v>
      </c>
      <c r="B11" s="60">
        <f>0.00116*B7^3/(B8^0.5)</f>
        <v>1.3084079817416925</v>
      </c>
      <c r="C11" s="58" t="s">
        <v>119</v>
      </c>
      <c r="D11" s="74">
        <f>0.0122*D7^2.06</f>
        <v>2.7318290672288024</v>
      </c>
      <c r="E11" s="36"/>
      <c r="F11" s="36"/>
      <c r="G11" s="36"/>
      <c r="H11" s="36"/>
      <c r="I11" s="36"/>
      <c r="J11" s="36"/>
      <c r="K11" s="36"/>
    </row>
    <row r="12" spans="1:11" x14ac:dyDescent="0.2">
      <c r="A12" s="43"/>
      <c r="B12" s="43"/>
      <c r="C12" s="58"/>
      <c r="D12" s="59"/>
      <c r="E12" s="36"/>
      <c r="F12" s="36"/>
      <c r="G12" s="36"/>
      <c r="H12" s="36"/>
      <c r="I12" s="36"/>
      <c r="J12" s="36"/>
      <c r="K12" s="36"/>
    </row>
    <row r="13" spans="1:11" x14ac:dyDescent="0.2">
      <c r="A13" s="6"/>
      <c r="B13" s="43"/>
      <c r="C13" s="5"/>
      <c r="D13" s="59"/>
      <c r="E13" s="36"/>
      <c r="F13" s="36"/>
      <c r="G13" s="36"/>
      <c r="H13" s="36"/>
      <c r="I13" s="36"/>
      <c r="J13" s="36"/>
      <c r="K13" s="36"/>
    </row>
    <row r="14" spans="1:11" x14ac:dyDescent="0.2">
      <c r="A14" s="6"/>
      <c r="B14" s="6"/>
      <c r="C14" s="5"/>
      <c r="D14" s="7"/>
      <c r="E14" s="36"/>
      <c r="F14" s="36"/>
      <c r="G14" s="36"/>
      <c r="H14" s="36"/>
      <c r="I14" s="36"/>
      <c r="J14" s="36"/>
      <c r="K14" s="36"/>
    </row>
    <row r="15" spans="1:11" s="35" customFormat="1" ht="13.5" thickBot="1" x14ac:dyDescent="0.25">
      <c r="A15" s="25"/>
      <c r="B15" s="25"/>
      <c r="C15" s="39"/>
      <c r="D15" s="26"/>
      <c r="E15" s="52"/>
      <c r="F15" s="52"/>
      <c r="G15" s="52"/>
      <c r="H15" s="52"/>
      <c r="I15" s="52"/>
      <c r="J15" s="52"/>
      <c r="K15" s="52"/>
    </row>
    <row r="16" spans="1:11" s="35" customFormat="1" x14ac:dyDescent="0.2">
      <c r="A16" s="6"/>
      <c r="B16" s="6"/>
      <c r="C16" s="6"/>
      <c r="D16" s="6"/>
      <c r="E16" s="6"/>
      <c r="F16" s="6"/>
      <c r="G16" s="6"/>
      <c r="H16" s="6"/>
      <c r="I16" s="43"/>
      <c r="J16" s="43"/>
      <c r="K16" s="52"/>
    </row>
    <row r="17" spans="1:11" x14ac:dyDescent="0.2">
      <c r="A17" s="6" t="s">
        <v>126</v>
      </c>
      <c r="B17" s="6"/>
      <c r="C17" s="6"/>
      <c r="E17" s="6"/>
      <c r="F17" s="6"/>
      <c r="G17" s="6"/>
      <c r="H17" s="6"/>
      <c r="I17" s="6"/>
      <c r="J17" s="6"/>
      <c r="K17" s="36"/>
    </row>
    <row r="18" spans="1:11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1:11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1:1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</row>
  </sheetData>
  <phoneticPr fontId="10" type="noConversion"/>
  <pageMargins left="0.75" right="0.75" top="1" bottom="1" header="0.5" footer="0.5"/>
  <pageSetup orientation="portrait" horizontalDpi="1200" verticalDpi="1200" r:id="rId1"/>
  <headerFooter alignWithMargins="0">
    <oddHeader xml:space="preserve">&amp;LWorksheet &gt; &amp;A  &amp;R&amp;9in Workbook &gt;  &amp;F  </oddHeader>
    <oddFooter>&amp;L&amp;"Arial Narrow,Regular"&amp;9MS-Excel Spreadsheet Tool in support of NRCS NEH-654&amp;C&amp;D&amp;R&amp;9Page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Disclaimer</vt:lpstr>
      <vt:lpstr>MAYNORD</vt:lpstr>
      <vt:lpstr>Lanes FWS</vt:lpstr>
      <vt:lpstr>ISBASH</vt:lpstr>
      <vt:lpstr>USCOE High Energy</vt:lpstr>
      <vt:lpstr>Rock Chutes and Grade Control</vt:lpstr>
      <vt:lpstr>Low energy - 108 Report</vt:lpstr>
      <vt:lpstr>Misc Calculations</vt:lpstr>
      <vt:lpstr>ISBASH!Print_Area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jon.fripp</dc:creator>
  <cp:lastModifiedBy>Schaeffer, Anton - NRCS, Harrisonburg, VA</cp:lastModifiedBy>
  <cp:lastPrinted>2014-04-21T14:26:18Z</cp:lastPrinted>
  <dcterms:created xsi:type="dcterms:W3CDTF">2005-09-16T13:13:39Z</dcterms:created>
  <dcterms:modified xsi:type="dcterms:W3CDTF">2015-04-24T11:59:26Z</dcterms:modified>
</cp:coreProperties>
</file>