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eigh.coleman@dcr.virginia.gov\Desktop\"/>
    </mc:Choice>
  </mc:AlternateContent>
  <bookViews>
    <workbookView xWindow="120" yWindow="90" windowWidth="28635" windowHeight="12270"/>
  </bookViews>
  <sheets>
    <sheet name="Summary" sheetId="3" r:id="rId1"/>
    <sheet name="VelocityCalc" sheetId="1" r:id="rId2"/>
    <sheet name="Depth Calc" sheetId="2" r:id="rId3"/>
  </sheets>
  <definedNames>
    <definedName name="_xlnm.Print_Area" localSheetId="2">'Depth Calc'!$A$1:$T$19</definedName>
    <definedName name="_xlnm.Print_Area" localSheetId="1">VelocityCalc!$A$1:$T$22</definedName>
  </definedNames>
  <calcPr calcId="152511"/>
</workbook>
</file>

<file path=xl/calcChain.xml><?xml version="1.0" encoding="utf-8"?>
<calcChain xmlns="http://schemas.openxmlformats.org/spreadsheetml/2006/main">
  <c r="F19" i="2" l="1"/>
  <c r="F17" i="2"/>
  <c r="F16" i="2"/>
  <c r="F14" i="2"/>
  <c r="F13" i="2"/>
  <c r="F12" i="2"/>
  <c r="F11" i="2"/>
  <c r="F10" i="2"/>
  <c r="F8" i="2"/>
  <c r="E8" i="2"/>
  <c r="F7" i="2"/>
  <c r="E7" i="2"/>
  <c r="F6" i="2"/>
  <c r="E6" i="2"/>
  <c r="F5" i="2"/>
  <c r="E5" i="2"/>
  <c r="E4" i="2"/>
  <c r="F4" i="2"/>
  <c r="F22" i="1"/>
  <c r="D22" i="1"/>
  <c r="E22" i="1" s="1"/>
  <c r="F20" i="1"/>
  <c r="D20" i="1"/>
  <c r="E20" i="1" s="1"/>
  <c r="F19" i="1"/>
  <c r="D19" i="1"/>
  <c r="E19" i="1" s="1"/>
  <c r="F18" i="1"/>
  <c r="D18" i="1"/>
  <c r="E18" i="1" s="1"/>
  <c r="F17" i="1"/>
  <c r="D17" i="1"/>
  <c r="E17" i="1" s="1"/>
  <c r="F16" i="1"/>
  <c r="D16" i="1"/>
  <c r="E16" i="1" s="1"/>
  <c r="F14" i="1"/>
  <c r="D14" i="1"/>
  <c r="E14" i="1" s="1"/>
  <c r="F13" i="1"/>
  <c r="D13" i="1"/>
  <c r="E13" i="1" s="1"/>
  <c r="F12" i="1"/>
  <c r="D12" i="1"/>
  <c r="E12" i="1" s="1"/>
  <c r="F11" i="1"/>
  <c r="D11" i="1"/>
  <c r="E11" i="1" s="1"/>
  <c r="F10" i="1"/>
  <c r="D10" i="1"/>
  <c r="E10" i="1" s="1"/>
  <c r="F5" i="1"/>
  <c r="F6" i="1"/>
  <c r="F7" i="1"/>
  <c r="F8" i="1"/>
  <c r="F4" i="1"/>
  <c r="D20" i="3"/>
  <c r="N19" i="2"/>
  <c r="N17" i="2"/>
  <c r="N16" i="2"/>
  <c r="N14" i="2"/>
  <c r="N13" i="2"/>
  <c r="N12" i="2"/>
  <c r="N11" i="2"/>
  <c r="N10" i="2"/>
  <c r="N5" i="2"/>
  <c r="N6" i="2"/>
  <c r="N7" i="2"/>
  <c r="N8" i="2"/>
  <c r="N4" i="2"/>
  <c r="S22" i="1"/>
  <c r="N22" i="1"/>
  <c r="I22" i="1"/>
  <c r="S20" i="1"/>
  <c r="N20" i="1"/>
  <c r="I20" i="1"/>
  <c r="S19" i="1"/>
  <c r="N19" i="1"/>
  <c r="I19" i="1"/>
  <c r="S18" i="1"/>
  <c r="N18" i="1"/>
  <c r="I18" i="1"/>
  <c r="S17" i="1"/>
  <c r="N17" i="1"/>
  <c r="I17" i="1"/>
  <c r="S16" i="1"/>
  <c r="N16" i="1"/>
  <c r="I16" i="1"/>
  <c r="S14" i="1"/>
  <c r="N14" i="1"/>
  <c r="I14" i="1"/>
  <c r="S13" i="1"/>
  <c r="N13" i="1"/>
  <c r="I13" i="1"/>
  <c r="S12" i="1"/>
  <c r="N12" i="1"/>
  <c r="I12" i="1"/>
  <c r="S11" i="1"/>
  <c r="N11" i="1"/>
  <c r="I11" i="1"/>
  <c r="S10" i="1"/>
  <c r="N10" i="1"/>
  <c r="I10" i="1"/>
  <c r="S5" i="1"/>
  <c r="S6" i="1"/>
  <c r="S7" i="1"/>
  <c r="S8" i="1"/>
  <c r="N5" i="1"/>
  <c r="N6" i="1"/>
  <c r="N7" i="1"/>
  <c r="N8" i="1"/>
  <c r="D5" i="1"/>
  <c r="D6" i="1"/>
  <c r="D7" i="1"/>
  <c r="D8" i="1"/>
  <c r="B8" i="1" s="1"/>
  <c r="D4" i="1"/>
  <c r="B4" i="1" s="1"/>
  <c r="N4" i="1"/>
  <c r="S4" i="1"/>
  <c r="D23" i="3"/>
  <c r="D24" i="3"/>
  <c r="S10" i="2" s="1"/>
  <c r="I5" i="1"/>
  <c r="I6" i="1"/>
  <c r="I7" i="1"/>
  <c r="I8" i="1"/>
  <c r="I4" i="1"/>
  <c r="D18" i="3"/>
  <c r="I11" i="2" s="1"/>
  <c r="D22" i="3"/>
  <c r="K17" i="2" s="1"/>
  <c r="D7" i="3"/>
  <c r="K10" i="1" s="1"/>
  <c r="A5" i="1"/>
  <c r="A6" i="1" s="1"/>
  <c r="A7" i="1" s="1"/>
  <c r="B7" i="1" l="1"/>
  <c r="G5" i="1"/>
  <c r="H5" i="1" s="1"/>
  <c r="G6" i="1"/>
  <c r="H6" i="1" s="1"/>
  <c r="G7" i="1"/>
  <c r="H7" i="1" s="1"/>
  <c r="G4" i="1"/>
  <c r="H4" i="1" s="1"/>
  <c r="G8" i="1"/>
  <c r="H8" i="1" s="1"/>
  <c r="B5" i="1"/>
  <c r="B6" i="1"/>
  <c r="K8" i="1"/>
  <c r="K12" i="1"/>
  <c r="P12" i="1" s="1"/>
  <c r="K10" i="2"/>
  <c r="P10" i="2" s="1"/>
  <c r="K13" i="1"/>
  <c r="P13" i="1" s="1"/>
  <c r="S13" i="2"/>
  <c r="K5" i="1"/>
  <c r="K17" i="1"/>
  <c r="P17" i="1" s="1"/>
  <c r="K6" i="1"/>
  <c r="K11" i="1"/>
  <c r="P11" i="1" s="1"/>
  <c r="K7" i="1"/>
  <c r="K14" i="1"/>
  <c r="P14" i="1" s="1"/>
  <c r="K20" i="1"/>
  <c r="P20" i="1" s="1"/>
  <c r="S5" i="2"/>
  <c r="S11" i="2"/>
  <c r="I4" i="2"/>
  <c r="I12" i="2"/>
  <c r="I14" i="2"/>
  <c r="I17" i="2"/>
  <c r="I10" i="2"/>
  <c r="S16" i="2"/>
  <c r="S19" i="2"/>
  <c r="I5" i="2"/>
  <c r="K18" i="1"/>
  <c r="K22" i="1"/>
  <c r="P22" i="1" s="1"/>
  <c r="S6" i="2"/>
  <c r="I6" i="2"/>
  <c r="K13" i="2"/>
  <c r="P13" i="2" s="1"/>
  <c r="K16" i="2"/>
  <c r="P16" i="2" s="1"/>
  <c r="K19" i="2"/>
  <c r="P19" i="2" s="1"/>
  <c r="S7" i="2"/>
  <c r="I7" i="2"/>
  <c r="K11" i="2"/>
  <c r="P11" i="2" s="1"/>
  <c r="I13" i="2"/>
  <c r="I16" i="2"/>
  <c r="I19" i="2"/>
  <c r="S8" i="2"/>
  <c r="I8" i="2"/>
  <c r="S12" i="2"/>
  <c r="S14" i="2"/>
  <c r="S17" i="2"/>
  <c r="K16" i="1"/>
  <c r="P16" i="1" s="1"/>
  <c r="K19" i="1"/>
  <c r="P19" i="1" s="1"/>
  <c r="S4" i="2"/>
  <c r="K4" i="1"/>
  <c r="P4" i="1" s="1"/>
  <c r="K12" i="2"/>
  <c r="K14" i="2"/>
  <c r="Q19" i="1"/>
  <c r="P17" i="2"/>
  <c r="P12" i="2"/>
  <c r="P14" i="2"/>
  <c r="Q5" i="2"/>
  <c r="Q6" i="2"/>
  <c r="Q7" i="2"/>
  <c r="Q8" i="2"/>
  <c r="K5" i="2"/>
  <c r="P5" i="2" s="1"/>
  <c r="K6" i="2"/>
  <c r="P6" i="2" s="1"/>
  <c r="K7" i="2"/>
  <c r="P7" i="2" s="1"/>
  <c r="K8" i="2"/>
  <c r="P8" i="2" s="1"/>
  <c r="K4" i="2"/>
  <c r="P4" i="2" s="1"/>
  <c r="Q4" i="2"/>
  <c r="Q11" i="1"/>
  <c r="Q17" i="1"/>
  <c r="Q13" i="1"/>
  <c r="Q22" i="1"/>
  <c r="Q16" i="1"/>
  <c r="Q18" i="1"/>
  <c r="Q20" i="1"/>
  <c r="P18" i="1"/>
  <c r="P10" i="1"/>
  <c r="Q10" i="1"/>
  <c r="Q12" i="1"/>
  <c r="Q14" i="1"/>
  <c r="Q4" i="1"/>
  <c r="E4" i="1"/>
  <c r="C4" i="1" s="1"/>
  <c r="E7" i="1"/>
  <c r="C7" i="1" s="1"/>
  <c r="P5" i="1" l="1"/>
  <c r="E5" i="1"/>
  <c r="C5" i="1" s="1"/>
  <c r="J5" i="1"/>
  <c r="Q5" i="1"/>
  <c r="Q8" i="1"/>
  <c r="Q7" i="1"/>
  <c r="Q6" i="1"/>
  <c r="E6" i="1"/>
  <c r="C6" i="1" s="1"/>
  <c r="E8" i="1"/>
  <c r="C8" i="1" s="1"/>
  <c r="J4" i="1"/>
  <c r="P6" i="1" l="1"/>
  <c r="L5" i="1"/>
  <c r="M5" i="1" s="1"/>
  <c r="T5" i="1" s="1"/>
  <c r="J7" i="1"/>
  <c r="L4" i="1"/>
  <c r="M4" i="1" s="1"/>
  <c r="T4" i="1" s="1"/>
  <c r="P8" i="1" l="1"/>
  <c r="P7" i="1"/>
  <c r="O5" i="1"/>
  <c r="R5" i="1" s="1"/>
  <c r="O4" i="1"/>
  <c r="R4" i="1" s="1"/>
  <c r="J8" i="1"/>
  <c r="J6" i="1"/>
  <c r="L7" i="1"/>
  <c r="M7" i="1" s="1"/>
  <c r="T7" i="1" s="1"/>
  <c r="O7" i="1" l="1"/>
  <c r="R7" i="1" s="1"/>
  <c r="L6" i="1"/>
  <c r="M6" i="1" s="1"/>
  <c r="T6" i="1" s="1"/>
  <c r="L8" i="1"/>
  <c r="M8" i="1" s="1"/>
  <c r="T8" i="1" s="1"/>
  <c r="O8" i="1" l="1"/>
  <c r="R8" i="1" s="1"/>
  <c r="O6" i="1"/>
  <c r="R6" i="1" s="1"/>
  <c r="A10" i="1" l="1"/>
  <c r="C10" i="1" l="1"/>
  <c r="B10" i="1"/>
  <c r="G10" i="1"/>
  <c r="H10" i="1" s="1"/>
  <c r="A11" i="1"/>
  <c r="C11" i="1" l="1"/>
  <c r="G11" i="1"/>
  <c r="H11" i="1" s="1"/>
  <c r="B11" i="1"/>
  <c r="J10" i="1"/>
  <c r="A12" i="1"/>
  <c r="C12" i="1" l="1"/>
  <c r="B12" i="1"/>
  <c r="G12" i="1"/>
  <c r="H12" i="1" s="1"/>
  <c r="L10" i="1"/>
  <c r="M10" i="1" s="1"/>
  <c r="J11" i="1"/>
  <c r="A13" i="1"/>
  <c r="G13" i="1" l="1"/>
  <c r="H13" i="1" s="1"/>
  <c r="B13" i="1"/>
  <c r="C13" i="1"/>
  <c r="O10" i="1"/>
  <c r="R10" i="1" s="1"/>
  <c r="T10" i="1"/>
  <c r="J12" i="1"/>
  <c r="L11" i="1"/>
  <c r="M11" i="1" s="1"/>
  <c r="A14" i="1"/>
  <c r="G14" i="1" l="1"/>
  <c r="H14" i="1" s="1"/>
  <c r="B14" i="1"/>
  <c r="C14" i="1"/>
  <c r="O11" i="1"/>
  <c r="R11" i="1" s="1"/>
  <c r="T11" i="1"/>
  <c r="L12" i="1"/>
  <c r="M12" i="1" s="1"/>
  <c r="J13" i="1"/>
  <c r="O12" i="1" l="1"/>
  <c r="R12" i="1" s="1"/>
  <c r="T12" i="1"/>
  <c r="L13" i="1"/>
  <c r="M13" i="1" s="1"/>
  <c r="T13" i="1" s="1"/>
  <c r="J14" i="1"/>
  <c r="O13" i="1" l="1"/>
  <c r="R13" i="1" s="1"/>
  <c r="L14" i="1"/>
  <c r="M14" i="1" s="1"/>
  <c r="T14" i="1" s="1"/>
  <c r="O14" i="1" l="1"/>
  <c r="R14" i="1" s="1"/>
  <c r="A16" i="1" s="1"/>
  <c r="G16" i="1" l="1"/>
  <c r="H16" i="1" s="1"/>
  <c r="B16" i="1"/>
  <c r="C16" i="1"/>
  <c r="A17" i="1"/>
  <c r="G17" i="1" l="1"/>
  <c r="H17" i="1" s="1"/>
  <c r="B17" i="1"/>
  <c r="C17" i="1"/>
  <c r="A18" i="1"/>
  <c r="B18" i="1" l="1"/>
  <c r="G18" i="1"/>
  <c r="H18" i="1" s="1"/>
  <c r="C18" i="1"/>
  <c r="A19" i="1"/>
  <c r="J16" i="1"/>
  <c r="G19" i="1" l="1"/>
  <c r="H19" i="1" s="1"/>
  <c r="C19" i="1"/>
  <c r="B19" i="1"/>
  <c r="L16" i="1"/>
  <c r="M16" i="1" s="1"/>
  <c r="J17" i="1"/>
  <c r="A20" i="1"/>
  <c r="G20" i="1" l="1"/>
  <c r="H20" i="1" s="1"/>
  <c r="C20" i="1"/>
  <c r="B20" i="1"/>
  <c r="O16" i="1"/>
  <c r="R16" i="1" s="1"/>
  <c r="T16" i="1"/>
  <c r="J18" i="1"/>
  <c r="L17" i="1"/>
  <c r="M17" i="1" s="1"/>
  <c r="O17" i="1" l="1"/>
  <c r="R17" i="1" s="1"/>
  <c r="T17" i="1"/>
  <c r="J20" i="1"/>
  <c r="J19" i="1"/>
  <c r="L18" i="1"/>
  <c r="M18" i="1" s="1"/>
  <c r="T18" i="1" s="1"/>
  <c r="L19" i="1" l="1"/>
  <c r="M19" i="1" s="1"/>
  <c r="T19" i="1" s="1"/>
  <c r="O18" i="1"/>
  <c r="R18" i="1" s="1"/>
  <c r="L20" i="1"/>
  <c r="M20" i="1" s="1"/>
  <c r="T20" i="1" s="1"/>
  <c r="O19" i="1" l="1"/>
  <c r="R19" i="1" s="1"/>
  <c r="A22" i="1" s="1"/>
  <c r="O20" i="1"/>
  <c r="R20" i="1" s="1"/>
  <c r="G22" i="1" l="1"/>
  <c r="H22" i="1" s="1"/>
  <c r="C22" i="1"/>
  <c r="B22" i="1"/>
  <c r="J22" i="1" l="1"/>
  <c r="L22" i="1" s="1"/>
  <c r="M22" i="1" s="1"/>
  <c r="T22" i="1" s="1"/>
  <c r="D13" i="3" s="1"/>
  <c r="O22" i="1" l="1"/>
  <c r="R22" i="1" s="1"/>
  <c r="A13" i="2"/>
  <c r="D26" i="3" l="1"/>
  <c r="A10" i="2"/>
  <c r="A16" i="2"/>
  <c r="A5" i="2"/>
  <c r="A12" i="2"/>
  <c r="A4" i="2"/>
  <c r="A19" i="2"/>
  <c r="A8" i="2"/>
  <c r="A14" i="2"/>
  <c r="A7" i="2"/>
  <c r="A11" i="2"/>
  <c r="A6" i="2"/>
  <c r="A17" i="2"/>
  <c r="G8" i="2" l="1"/>
  <c r="H8" i="2" s="1"/>
  <c r="C8" i="2"/>
  <c r="B8" i="2"/>
  <c r="B7" i="2"/>
  <c r="G7" i="2"/>
  <c r="H7" i="2" s="1"/>
  <c r="C7" i="2"/>
  <c r="G6" i="2"/>
  <c r="H6" i="2" s="1"/>
  <c r="C6" i="2"/>
  <c r="B6" i="2"/>
  <c r="C5" i="2"/>
  <c r="B5" i="2"/>
  <c r="G5" i="2"/>
  <c r="H5" i="2" s="1"/>
  <c r="L12" i="3"/>
  <c r="L19" i="3"/>
  <c r="G4" i="2"/>
  <c r="H4" i="2" s="1"/>
  <c r="C4" i="2"/>
  <c r="B4" i="2"/>
  <c r="J6" i="2" l="1"/>
  <c r="L6" i="2" s="1"/>
  <c r="M6" i="2" s="1"/>
  <c r="J4" i="2"/>
  <c r="L4" i="2" s="1"/>
  <c r="M4" i="2" s="1"/>
  <c r="J8" i="2"/>
  <c r="L8" i="2" s="1"/>
  <c r="M8" i="2" s="1"/>
  <c r="J7" i="2"/>
  <c r="L7" i="2" s="1"/>
  <c r="M7" i="2" s="1"/>
  <c r="J5" i="2"/>
  <c r="L5" i="2" s="1"/>
  <c r="M5" i="2" s="1"/>
  <c r="T6" i="2" l="1"/>
  <c r="O6" i="2"/>
  <c r="R6" i="2" s="1"/>
  <c r="T8" i="2"/>
  <c r="O8" i="2"/>
  <c r="R8" i="2" s="1"/>
  <c r="T5" i="2"/>
  <c r="O5" i="2"/>
  <c r="R5" i="2" s="1"/>
  <c r="T7" i="2"/>
  <c r="O7" i="2"/>
  <c r="R7" i="2" s="1"/>
  <c r="T4" i="2"/>
  <c r="O4" i="2"/>
  <c r="R4" i="2" s="1"/>
  <c r="D10" i="2" l="1"/>
  <c r="E10" i="2" l="1"/>
  <c r="C10" i="2" s="1"/>
  <c r="G10" i="2"/>
  <c r="H10" i="2" s="1"/>
  <c r="Q10" i="2"/>
  <c r="B10" i="2"/>
  <c r="D11" i="2"/>
  <c r="E11" i="2" l="1"/>
  <c r="C11" i="2" s="1"/>
  <c r="G11" i="2"/>
  <c r="H11" i="2" s="1"/>
  <c r="Q11" i="2"/>
  <c r="B11" i="2"/>
  <c r="D12" i="2"/>
  <c r="J10" i="2"/>
  <c r="L10" i="2" s="1"/>
  <c r="M10" i="2" s="1"/>
  <c r="E12" i="2" l="1"/>
  <c r="C12" i="2" s="1"/>
  <c r="G12" i="2"/>
  <c r="H12" i="2" s="1"/>
  <c r="Q12" i="2"/>
  <c r="B12" i="2"/>
  <c r="J11" i="2"/>
  <c r="L11" i="2" s="1"/>
  <c r="M11" i="2" s="1"/>
  <c r="D13" i="2"/>
  <c r="O10" i="2"/>
  <c r="R10" i="2" s="1"/>
  <c r="T10" i="2"/>
  <c r="E13" i="2" l="1"/>
  <c r="C13" i="2" s="1"/>
  <c r="G13" i="2"/>
  <c r="H13" i="2" s="1"/>
  <c r="Q13" i="2"/>
  <c r="B13" i="2"/>
  <c r="J12" i="2"/>
  <c r="L12" i="2" s="1"/>
  <c r="M12" i="2" s="1"/>
  <c r="T12" i="2" s="1"/>
  <c r="D14" i="2"/>
  <c r="O11" i="2"/>
  <c r="R11" i="2" s="1"/>
  <c r="T11" i="2"/>
  <c r="E14" i="2" l="1"/>
  <c r="C14" i="2" s="1"/>
  <c r="G14" i="2"/>
  <c r="H14" i="2" s="1"/>
  <c r="Q14" i="2"/>
  <c r="B14" i="2"/>
  <c r="O12" i="2"/>
  <c r="R12" i="2" s="1"/>
  <c r="J13" i="2"/>
  <c r="L13" i="2" s="1"/>
  <c r="M13" i="2" s="1"/>
  <c r="J14" i="2" l="1"/>
  <c r="L14" i="2" s="1"/>
  <c r="M14" i="2" s="1"/>
  <c r="O13" i="2"/>
  <c r="R13" i="2" s="1"/>
  <c r="T13" i="2"/>
  <c r="D16" i="2" l="1"/>
  <c r="B16" i="2" s="1"/>
  <c r="O14" i="2"/>
  <c r="R14" i="2" s="1"/>
  <c r="T14" i="2"/>
  <c r="G16" i="2" l="1"/>
  <c r="H16" i="2" s="1"/>
  <c r="E16" i="2"/>
  <c r="C16" i="2" s="1"/>
  <c r="D17" i="2"/>
  <c r="B17" i="2" s="1"/>
  <c r="Q16" i="2"/>
  <c r="G17" i="2" l="1"/>
  <c r="H17" i="2" s="1"/>
  <c r="E17" i="2"/>
  <c r="C17" i="2" s="1"/>
  <c r="Q17" i="2"/>
  <c r="J16" i="2"/>
  <c r="L16" i="2" l="1"/>
  <c r="M16" i="2" s="1"/>
  <c r="J17" i="2" l="1"/>
  <c r="O16" i="2"/>
  <c r="R16" i="2" s="1"/>
  <c r="T16" i="2"/>
  <c r="L17" i="2" l="1"/>
  <c r="M17" i="2" s="1"/>
  <c r="O17" i="2" l="1"/>
  <c r="R17" i="2" s="1"/>
  <c r="D19" i="2" s="1"/>
  <c r="T17" i="2"/>
  <c r="L20" i="3" l="1"/>
  <c r="E19" i="2"/>
  <c r="L13" i="3" s="1"/>
  <c r="G19" i="2"/>
  <c r="H19" i="2" s="1"/>
  <c r="B19" i="2"/>
  <c r="L18" i="3" s="1"/>
  <c r="Q19" i="2"/>
  <c r="D28" i="3" s="1"/>
  <c r="C19" i="2" l="1"/>
  <c r="L11" i="3" s="1"/>
  <c r="J19" i="2"/>
  <c r="L19" i="2" l="1"/>
  <c r="M19" i="2" s="1"/>
  <c r="O19" i="2" l="1"/>
  <c r="R19" i="2" s="1"/>
  <c r="T19" i="2"/>
</calcChain>
</file>

<file path=xl/comments1.xml><?xml version="1.0" encoding="utf-8"?>
<comments xmlns="http://schemas.openxmlformats.org/spreadsheetml/2006/main">
  <authors>
    <author>anton.schaeffer</author>
  </authors>
  <commentList>
    <comment ref="D3" authorId="0" shapeId="0">
      <text>
        <r>
          <rPr>
            <b/>
            <sz val="8"/>
            <color indexed="81"/>
            <rFont val="Tahoma"/>
            <charset val="1"/>
          </rPr>
          <t>anton.schaeffer:</t>
        </r>
        <r>
          <rPr>
            <sz val="8"/>
            <color indexed="81"/>
            <rFont val="Tahoma"/>
            <charset val="1"/>
          </rPr>
          <t xml:space="preserve">
Design Flow calculated by EFH2 or other accepted method.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anton.schaeffer:</t>
        </r>
        <r>
          <rPr>
            <sz val="8"/>
            <color indexed="81"/>
            <rFont val="Tahoma"/>
            <family val="2"/>
          </rPr>
          <t xml:space="preserve">
Should be the average slope of the channel or the maximum slope of the channel.
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anton.schaeffer:</t>
        </r>
        <r>
          <rPr>
            <sz val="8"/>
            <color indexed="81"/>
            <rFont val="Tahoma"/>
            <family val="2"/>
          </rPr>
          <t xml:space="preserve">
Normally D, refer to EFH Part 650 Chapter 7 Grassed Waterways for guidance.
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anton.schaeffer:</t>
        </r>
        <r>
          <rPr>
            <sz val="8"/>
            <color indexed="81"/>
            <rFont val="Tahoma"/>
            <family val="2"/>
          </rPr>
          <t xml:space="preserve">
Refer to EFH Part 650 Chapter 7 Grassed Waterways for guidance.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anton.schaeffer:</t>
        </r>
        <r>
          <rPr>
            <sz val="8"/>
            <color indexed="81"/>
            <rFont val="Tahoma"/>
            <family val="2"/>
          </rPr>
          <t xml:space="preserve">
Refer to EFH Part 650 Chapter 7 Grassed Waterways for guidance.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anton.schaeffer:</t>
        </r>
        <r>
          <rPr>
            <sz val="8"/>
            <color indexed="81"/>
            <rFont val="Tahoma"/>
            <family val="2"/>
          </rPr>
          <t xml:space="preserve">
Try increasing depths by 0.01 feet until "Decrease Depth" reads in the Calculated Top Width box.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anton.schaeffer:</t>
        </r>
        <r>
          <rPr>
            <sz val="8"/>
            <color indexed="81"/>
            <rFont val="Tahoma"/>
            <family val="2"/>
          </rPr>
          <t xml:space="preserve">
Complete this section only after the Velocity/Stress Check section is complete.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anton.schaeffer:</t>
        </r>
        <r>
          <rPr>
            <sz val="8"/>
            <color indexed="81"/>
            <rFont val="Tahoma"/>
            <family val="2"/>
          </rPr>
          <t xml:space="preserve">
Should be the average slope of the channel or the minimum slope of the channel.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anton.schaeffer:</t>
        </r>
        <r>
          <rPr>
            <sz val="8"/>
            <color indexed="81"/>
            <rFont val="Tahoma"/>
            <family val="2"/>
          </rPr>
          <t xml:space="preserve">
Refer to EFH Part 650 Chapter 7 Grassed Waterways for guidance.</t>
        </r>
      </text>
    </comment>
  </commentList>
</comments>
</file>

<file path=xl/sharedStrings.xml><?xml version="1.0" encoding="utf-8"?>
<sst xmlns="http://schemas.openxmlformats.org/spreadsheetml/2006/main" count="86" uniqueCount="44">
  <si>
    <t>A</t>
  </si>
  <si>
    <t>R</t>
  </si>
  <si>
    <t>D</t>
  </si>
  <si>
    <t>z</t>
  </si>
  <si>
    <t>Q</t>
  </si>
  <si>
    <t>n</t>
  </si>
  <si>
    <t>VR</t>
  </si>
  <si>
    <t>Vm</t>
  </si>
  <si>
    <t>Vt</t>
  </si>
  <si>
    <t>Tva</t>
  </si>
  <si>
    <t>T</t>
  </si>
  <si>
    <t>S</t>
  </si>
  <si>
    <t>Vm-Vt</t>
  </si>
  <si>
    <t>Dt</t>
  </si>
  <si>
    <t>Tf</t>
  </si>
  <si>
    <t>Depth Check</t>
  </si>
  <si>
    <t>Ta</t>
  </si>
  <si>
    <t>Te</t>
  </si>
  <si>
    <t>Velocity Check (Te&lt;Ta)</t>
  </si>
  <si>
    <t>SCS Retardance Class</t>
  </si>
  <si>
    <t>Retardance Curve Index, Ci</t>
  </si>
  <si>
    <t>Cover Factor, Cf</t>
  </si>
  <si>
    <t>B</t>
  </si>
  <si>
    <t>Ci</t>
  </si>
  <si>
    <t>Allowable Stress, Ta</t>
  </si>
  <si>
    <t>Calculated Top Width, T (ft)</t>
  </si>
  <si>
    <t>Vegetal Stress Check</t>
  </si>
  <si>
    <t>Velocity/Stress Check</t>
  </si>
  <si>
    <t>Depth/Stress Check</t>
  </si>
  <si>
    <t>Design Flow, Q</t>
  </si>
  <si>
    <t>Channel Slope, S</t>
  </si>
  <si>
    <t>Trial Depth, D</t>
  </si>
  <si>
    <t>Trial Top Width, T</t>
  </si>
  <si>
    <t>cfs</t>
  </si>
  <si>
    <t>ft/ft</t>
  </si>
  <si>
    <r>
      <t>lb/ft</t>
    </r>
    <r>
      <rPr>
        <vertAlign val="superscript"/>
        <sz val="11"/>
        <color theme="1"/>
        <rFont val="Calibri"/>
        <family val="2"/>
        <scheme val="minor"/>
      </rPr>
      <t>2</t>
    </r>
  </si>
  <si>
    <t>ft</t>
  </si>
  <si>
    <t>Final Dimensions (without Freeboard)</t>
  </si>
  <si>
    <t>Total Top Width, T</t>
  </si>
  <si>
    <t>Total Depth, D</t>
  </si>
  <si>
    <t>:1</t>
  </si>
  <si>
    <t>Side Slope, z</t>
  </si>
  <si>
    <t>Total Bottom Width, B</t>
  </si>
  <si>
    <t>Final Dimensions (with 0.5 ft of Freeboard)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</si>
</sst>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7F7F7F"/>
      </right>
      <top/>
      <bottom/>
      <diagonal/>
    </border>
  </borders>
  <cellStyleXfs count="3">
    <xf numFmtId="0" fontId="0" fillId="0" borderId="0"/>
    <xf numFmtId="0" fontId="1" fillId="3" borderId="1" applyNumberFormat="0" applyAlignment="0" applyProtection="0"/>
    <xf numFmtId="0" fontId="2" fillId="4" borderId="1" applyNumberFormat="0" applyAlignment="0" applyProtection="0"/>
  </cellStyleXfs>
  <cellXfs count="50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3" fillId="0" borderId="0" xfId="0" applyFont="1"/>
    <xf numFmtId="0" fontId="0" fillId="0" borderId="0" xfId="0" applyFont="1" applyFill="1"/>
    <xf numFmtId="0" fontId="1" fillId="3" borderId="1" xfId="1"/>
    <xf numFmtId="0" fontId="2" fillId="4" borderId="1" xfId="2"/>
    <xf numFmtId="0" fontId="1" fillId="3" borderId="1" xfId="1" applyAlignment="1">
      <alignment horizontal="right"/>
    </xf>
    <xf numFmtId="2" fontId="0" fillId="0" borderId="0" xfId="0" applyNumberForma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" xfId="1" applyBorder="1"/>
    <xf numFmtId="0" fontId="0" fillId="0" borderId="9" xfId="0" applyBorder="1"/>
    <xf numFmtId="0" fontId="1" fillId="3" borderId="1" xfId="1" applyBorder="1" applyAlignment="1">
      <alignment horizontal="right"/>
    </xf>
    <xf numFmtId="2" fontId="2" fillId="4" borderId="1" xfId="2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4" borderId="1" xfId="2" applyBorder="1"/>
    <xf numFmtId="0" fontId="6" fillId="0" borderId="5" xfId="0" applyFont="1" applyBorder="1"/>
    <xf numFmtId="0" fontId="3" fillId="0" borderId="6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7" fillId="4" borderId="1" xfId="2" applyNumberFormat="1" applyFont="1" applyBorder="1"/>
    <xf numFmtId="0" fontId="4" fillId="0" borderId="0" xfId="0" applyFont="1" applyBorder="1"/>
    <xf numFmtId="2" fontId="1" fillId="3" borderId="1" xfId="1" applyNumberFormat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3" xfId="0" applyFill="1" applyBorder="1"/>
    <xf numFmtId="2" fontId="0" fillId="2" borderId="3" xfId="0" applyNumberFormat="1" applyFill="1" applyBorder="1"/>
    <xf numFmtId="0" fontId="0" fillId="2" borderId="4" xfId="0" applyFill="1" applyBorder="1"/>
    <xf numFmtId="0" fontId="0" fillId="2" borderId="2" xfId="0" applyFont="1" applyFill="1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4" borderId="1" xfId="2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3">
    <cellStyle name="Calculation" xfId="2" builtinId="22"/>
    <cellStyle name="Input" xfId="1" builtinId="20"/>
    <cellStyle name="Normal" xfId="0" builtinId="0"/>
  </cellStyles>
  <dxfs count="2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workbookViewId="0">
      <selection activeCell="G26" sqref="G26"/>
    </sheetView>
  </sheetViews>
  <sheetFormatPr defaultRowHeight="15" x14ac:dyDescent="0.25"/>
  <cols>
    <col min="12" max="12" width="9.5703125" bestFit="1" customWidth="1"/>
  </cols>
  <sheetData>
    <row r="1" spans="1:14" ht="19.5" customHeight="1" thickBot="1" x14ac:dyDescent="0.3">
      <c r="A1" s="43" t="s">
        <v>27</v>
      </c>
      <c r="B1" s="43"/>
      <c r="C1" s="43"/>
    </row>
    <row r="2" spans="1:14" ht="19.5" customHeight="1" x14ac:dyDescent="0.3">
      <c r="A2" s="13"/>
      <c r="B2" s="14"/>
      <c r="C2" s="14"/>
      <c r="D2" s="14"/>
      <c r="E2" s="14"/>
      <c r="F2" s="15"/>
      <c r="K2" s="7"/>
      <c r="L2" s="7"/>
    </row>
    <row r="3" spans="1:14" ht="19.5" customHeight="1" x14ac:dyDescent="0.3">
      <c r="A3" s="40" t="s">
        <v>29</v>
      </c>
      <c r="B3" s="41"/>
      <c r="C3" s="42"/>
      <c r="D3" s="17"/>
      <c r="E3" s="3" t="s">
        <v>33</v>
      </c>
      <c r="F3" s="18"/>
      <c r="K3" s="7"/>
      <c r="L3" s="7"/>
    </row>
    <row r="4" spans="1:14" ht="19.5" customHeight="1" x14ac:dyDescent="0.3">
      <c r="A4" s="40" t="s">
        <v>30</v>
      </c>
      <c r="B4" s="41"/>
      <c r="C4" s="42"/>
      <c r="D4" s="17"/>
      <c r="E4" s="3" t="s">
        <v>34</v>
      </c>
      <c r="F4" s="18"/>
      <c r="K4" s="7"/>
      <c r="L4" s="7"/>
    </row>
    <row r="5" spans="1:14" ht="19.5" customHeight="1" x14ac:dyDescent="0.3">
      <c r="A5" s="40" t="s">
        <v>41</v>
      </c>
      <c r="B5" s="41"/>
      <c r="C5" s="42"/>
      <c r="D5" s="17"/>
      <c r="E5" s="3" t="s">
        <v>40</v>
      </c>
      <c r="F5" s="18"/>
      <c r="K5" s="7"/>
      <c r="L5" s="7"/>
    </row>
    <row r="6" spans="1:14" ht="19.5" customHeight="1" x14ac:dyDescent="0.3">
      <c r="A6" s="40" t="s">
        <v>19</v>
      </c>
      <c r="B6" s="41"/>
      <c r="C6" s="42"/>
      <c r="D6" s="19"/>
      <c r="E6" s="3"/>
      <c r="F6" s="18"/>
      <c r="K6" s="7"/>
      <c r="L6" s="7"/>
    </row>
    <row r="7" spans="1:14" ht="19.5" customHeight="1" x14ac:dyDescent="0.3">
      <c r="A7" s="40" t="s">
        <v>20</v>
      </c>
      <c r="B7" s="41"/>
      <c r="C7" s="42"/>
      <c r="D7" s="20">
        <f>IF(D6="A",10,IF(D6="B",7.64,IF(D6="C",5.6,IF(D6="D",4.44,2.88))))</f>
        <v>2.88</v>
      </c>
      <c r="E7" s="3"/>
      <c r="F7" s="18"/>
      <c r="K7" s="7"/>
      <c r="L7" s="7"/>
    </row>
    <row r="8" spans="1:14" ht="19.5" customHeight="1" x14ac:dyDescent="0.3">
      <c r="A8" s="40" t="s">
        <v>21</v>
      </c>
      <c r="B8" s="41"/>
      <c r="C8" s="42"/>
      <c r="D8" s="17"/>
      <c r="E8" s="3"/>
      <c r="F8" s="18"/>
      <c r="K8" s="7"/>
      <c r="L8" s="7"/>
    </row>
    <row r="9" spans="1:14" ht="19.5" customHeight="1" thickBot="1" x14ac:dyDescent="0.35">
      <c r="A9" s="40" t="s">
        <v>24</v>
      </c>
      <c r="B9" s="41"/>
      <c r="C9" s="42"/>
      <c r="D9" s="17"/>
      <c r="E9" s="3" t="s">
        <v>35</v>
      </c>
      <c r="F9" s="18"/>
      <c r="I9" s="46" t="s">
        <v>43</v>
      </c>
      <c r="J9" s="46"/>
      <c r="K9" s="46"/>
      <c r="L9" s="46"/>
      <c r="M9" s="46"/>
      <c r="N9" s="46"/>
    </row>
    <row r="10" spans="1:14" ht="19.5" customHeight="1" x14ac:dyDescent="0.3">
      <c r="A10" s="16"/>
      <c r="B10" s="3"/>
      <c r="C10" s="3"/>
      <c r="D10" s="3"/>
      <c r="E10" s="3"/>
      <c r="F10" s="18"/>
      <c r="I10" s="25"/>
      <c r="J10" s="26"/>
      <c r="K10" s="26"/>
      <c r="L10" s="26"/>
      <c r="M10" s="14"/>
      <c r="N10" s="15"/>
    </row>
    <row r="11" spans="1:14" ht="19.5" customHeight="1" x14ac:dyDescent="0.3">
      <c r="A11" s="40" t="s">
        <v>31</v>
      </c>
      <c r="B11" s="41"/>
      <c r="C11" s="42"/>
      <c r="D11" s="33"/>
      <c r="E11" s="3" t="s">
        <v>36</v>
      </c>
      <c r="F11" s="18"/>
      <c r="I11" s="48" t="s">
        <v>38</v>
      </c>
      <c r="J11" s="49"/>
      <c r="K11" s="49"/>
      <c r="L11" s="31" t="e">
        <f>'Depth Calc'!C19</f>
        <v>#DIV/0!</v>
      </c>
      <c r="M11" s="32" t="s">
        <v>36</v>
      </c>
      <c r="N11" s="18"/>
    </row>
    <row r="12" spans="1:14" ht="19.5" customHeight="1" x14ac:dyDescent="0.3">
      <c r="A12" s="16"/>
      <c r="B12" s="3"/>
      <c r="C12" s="3"/>
      <c r="D12" s="3"/>
      <c r="E12" s="3"/>
      <c r="F12" s="18"/>
      <c r="I12" s="29" t="s">
        <v>42</v>
      </c>
      <c r="J12" s="30"/>
      <c r="K12" s="30"/>
      <c r="L12" s="31" t="e">
        <f>'Depth Calc'!A19</f>
        <v>#DIV/0!</v>
      </c>
      <c r="M12" s="32" t="s">
        <v>36</v>
      </c>
      <c r="N12" s="18"/>
    </row>
    <row r="13" spans="1:14" ht="19.5" customHeight="1" x14ac:dyDescent="0.3">
      <c r="A13" s="40" t="s">
        <v>25</v>
      </c>
      <c r="B13" s="41"/>
      <c r="C13" s="44"/>
      <c r="D13" s="45" t="e">
        <f>IF(VelocityCalc!A22&lt;0,"INCREASE DEPTH",IF(VelocityCalc!$T$22&lt;Summary!$D$9,VelocityCalc!A22,"DECREASE DEPTH"))</f>
        <v>#DIV/0!</v>
      </c>
      <c r="E13" s="45"/>
      <c r="F13" s="18"/>
      <c r="I13" s="48" t="s">
        <v>39</v>
      </c>
      <c r="J13" s="49"/>
      <c r="K13" s="49"/>
      <c r="L13" s="31" t="e">
        <f>'Depth Calc'!E19</f>
        <v>#DIV/0!</v>
      </c>
      <c r="M13" s="32" t="s">
        <v>36</v>
      </c>
      <c r="N13" s="18"/>
    </row>
    <row r="14" spans="1:14" ht="19.5" customHeight="1" thickBot="1" x14ac:dyDescent="0.35">
      <c r="A14" s="21"/>
      <c r="B14" s="22"/>
      <c r="C14" s="22"/>
      <c r="D14" s="22"/>
      <c r="E14" s="22"/>
      <c r="F14" s="23"/>
      <c r="I14" s="27"/>
      <c r="J14" s="28"/>
      <c r="K14" s="22"/>
      <c r="L14" s="22"/>
      <c r="M14" s="22"/>
      <c r="N14" s="23"/>
    </row>
    <row r="15" spans="1:14" ht="19.5" customHeight="1" x14ac:dyDescent="0.3">
      <c r="I15" s="7"/>
      <c r="J15" s="7"/>
    </row>
    <row r="16" spans="1:14" ht="19.5" customHeight="1" thickBot="1" x14ac:dyDescent="0.35">
      <c r="A16" s="41" t="s">
        <v>28</v>
      </c>
      <c r="B16" s="41"/>
      <c r="C16" s="41"/>
      <c r="D16" s="3"/>
      <c r="E16" s="3"/>
      <c r="F16" s="3"/>
      <c r="I16" s="47" t="s">
        <v>37</v>
      </c>
      <c r="J16" s="47"/>
      <c r="K16" s="47"/>
      <c r="L16" s="47"/>
      <c r="M16" s="47"/>
    </row>
    <row r="17" spans="1:14" ht="19.5" customHeight="1" x14ac:dyDescent="0.3">
      <c r="A17" s="13"/>
      <c r="B17" s="14"/>
      <c r="C17" s="14"/>
      <c r="D17" s="14"/>
      <c r="E17" s="14"/>
      <c r="F17" s="15"/>
      <c r="I17" s="25"/>
      <c r="J17" s="26"/>
      <c r="K17" s="14"/>
      <c r="L17" s="14"/>
      <c r="M17" s="14"/>
      <c r="N17" s="15"/>
    </row>
    <row r="18" spans="1:14" ht="19.5" customHeight="1" x14ac:dyDescent="0.3">
      <c r="A18" s="40" t="s">
        <v>29</v>
      </c>
      <c r="B18" s="41"/>
      <c r="C18" s="41"/>
      <c r="D18" s="24">
        <f>D3</f>
        <v>0</v>
      </c>
      <c r="E18" s="3" t="s">
        <v>33</v>
      </c>
      <c r="F18" s="18"/>
      <c r="I18" s="48" t="s">
        <v>38</v>
      </c>
      <c r="J18" s="49"/>
      <c r="K18" s="49"/>
      <c r="L18" s="31" t="e">
        <f>'Depth Calc'!B19</f>
        <v>#DIV/0!</v>
      </c>
      <c r="M18" s="32" t="s">
        <v>36</v>
      </c>
      <c r="N18" s="18"/>
    </row>
    <row r="19" spans="1:14" ht="19.5" customHeight="1" x14ac:dyDescent="0.3">
      <c r="A19" s="40" t="s">
        <v>30</v>
      </c>
      <c r="B19" s="41"/>
      <c r="C19" s="41"/>
      <c r="D19" s="9"/>
      <c r="E19" s="3" t="s">
        <v>34</v>
      </c>
      <c r="F19" s="18"/>
      <c r="I19" s="29" t="s">
        <v>42</v>
      </c>
      <c r="J19" s="30"/>
      <c r="K19" s="30"/>
      <c r="L19" s="31" t="e">
        <f>'Depth Calc'!A19</f>
        <v>#DIV/0!</v>
      </c>
      <c r="M19" s="32" t="s">
        <v>36</v>
      </c>
      <c r="N19" s="18"/>
    </row>
    <row r="20" spans="1:14" ht="19.5" customHeight="1" x14ac:dyDescent="0.3">
      <c r="A20" s="40" t="s">
        <v>41</v>
      </c>
      <c r="B20" s="41"/>
      <c r="C20" s="42"/>
      <c r="D20" s="10">
        <f>D5</f>
        <v>0</v>
      </c>
      <c r="E20" s="3" t="s">
        <v>40</v>
      </c>
      <c r="F20" s="18"/>
      <c r="I20" s="48" t="s">
        <v>39</v>
      </c>
      <c r="J20" s="49"/>
      <c r="K20" s="49"/>
      <c r="L20" s="31" t="e">
        <f>'Depth Calc'!D19</f>
        <v>#DIV/0!</v>
      </c>
      <c r="M20" s="32" t="s">
        <v>36</v>
      </c>
      <c r="N20" s="18"/>
    </row>
    <row r="21" spans="1:14" ht="19.5" customHeight="1" thickBot="1" x14ac:dyDescent="0.3">
      <c r="A21" s="40" t="s">
        <v>19</v>
      </c>
      <c r="B21" s="41"/>
      <c r="C21" s="41"/>
      <c r="D21" s="11"/>
      <c r="E21" s="3"/>
      <c r="F21" s="18"/>
      <c r="I21" s="21"/>
      <c r="J21" s="22"/>
      <c r="K21" s="22"/>
      <c r="L21" s="22"/>
      <c r="M21" s="22"/>
      <c r="N21" s="23"/>
    </row>
    <row r="22" spans="1:14" ht="19.5" customHeight="1" x14ac:dyDescent="0.25">
      <c r="A22" s="40" t="s">
        <v>20</v>
      </c>
      <c r="B22" s="41"/>
      <c r="C22" s="41"/>
      <c r="D22" s="20">
        <f>IF(D21="A",10,IF(D21="B",7.64,IF(D21="C",5.6,IF(D21="D",4.44,2.88))))</f>
        <v>2.88</v>
      </c>
      <c r="E22" s="3"/>
      <c r="F22" s="18"/>
      <c r="I22" s="3"/>
      <c r="J22" s="3"/>
      <c r="K22" s="3"/>
      <c r="L22" s="3"/>
      <c r="M22" s="3"/>
      <c r="N22" s="3"/>
    </row>
    <row r="23" spans="1:14" ht="19.5" customHeight="1" x14ac:dyDescent="0.25">
      <c r="A23" s="40" t="s">
        <v>21</v>
      </c>
      <c r="B23" s="41"/>
      <c r="C23" s="41"/>
      <c r="D23" s="24">
        <f>D8</f>
        <v>0</v>
      </c>
      <c r="E23" s="3"/>
      <c r="F23" s="18"/>
    </row>
    <row r="24" spans="1:14" ht="19.5" customHeight="1" x14ac:dyDescent="0.25">
      <c r="A24" s="40" t="s">
        <v>24</v>
      </c>
      <c r="B24" s="41"/>
      <c r="C24" s="41"/>
      <c r="D24" s="24">
        <f>D9</f>
        <v>0</v>
      </c>
      <c r="E24" s="3" t="s">
        <v>35</v>
      </c>
      <c r="F24" s="18"/>
    </row>
    <row r="25" spans="1:14" ht="19.5" customHeight="1" x14ac:dyDescent="0.25">
      <c r="A25" s="16"/>
      <c r="B25" s="3"/>
      <c r="C25" s="3"/>
      <c r="D25" s="3"/>
      <c r="E25" s="3"/>
      <c r="F25" s="18"/>
    </row>
    <row r="26" spans="1:14" ht="19.5" customHeight="1" x14ac:dyDescent="0.25">
      <c r="A26" s="40" t="s">
        <v>32</v>
      </c>
      <c r="B26" s="41"/>
      <c r="C26" s="41"/>
      <c r="D26" s="24" t="e">
        <f>D13</f>
        <v>#DIV/0!</v>
      </c>
      <c r="E26" s="3" t="s">
        <v>36</v>
      </c>
      <c r="F26" s="18"/>
    </row>
    <row r="27" spans="1:14" ht="19.5" customHeight="1" x14ac:dyDescent="0.25">
      <c r="A27" s="16"/>
      <c r="B27" s="3"/>
      <c r="C27" s="3"/>
      <c r="D27" s="3"/>
      <c r="E27" s="3"/>
      <c r="F27" s="18"/>
    </row>
    <row r="28" spans="1:14" ht="19.5" customHeight="1" x14ac:dyDescent="0.25">
      <c r="A28" s="40" t="s">
        <v>26</v>
      </c>
      <c r="B28" s="41"/>
      <c r="C28" s="41"/>
      <c r="D28" s="45" t="e">
        <f>IF('Depth Calc'!Q19&lt;'Depth Calc'!P19,"OK","DECREASE DEPTH")</f>
        <v>#DIV/0!</v>
      </c>
      <c r="E28" s="45"/>
      <c r="F28" s="18"/>
    </row>
    <row r="29" spans="1:14" ht="19.5" customHeight="1" thickBot="1" x14ac:dyDescent="0.3">
      <c r="A29" s="21"/>
      <c r="B29" s="22"/>
      <c r="C29" s="22"/>
      <c r="D29" s="22"/>
      <c r="E29" s="22"/>
      <c r="F29" s="23"/>
    </row>
  </sheetData>
  <mergeCells count="28">
    <mergeCell ref="D13:E13"/>
    <mergeCell ref="D28:E28"/>
    <mergeCell ref="A5:C5"/>
    <mergeCell ref="A20:C20"/>
    <mergeCell ref="I9:N9"/>
    <mergeCell ref="I16:M16"/>
    <mergeCell ref="I20:K20"/>
    <mergeCell ref="I18:K18"/>
    <mergeCell ref="I13:K13"/>
    <mergeCell ref="I11:K11"/>
    <mergeCell ref="A7:C7"/>
    <mergeCell ref="A6:C6"/>
    <mergeCell ref="A4:C4"/>
    <mergeCell ref="A3:C3"/>
    <mergeCell ref="A1:C1"/>
    <mergeCell ref="A28:C28"/>
    <mergeCell ref="A26:C26"/>
    <mergeCell ref="A24:C24"/>
    <mergeCell ref="A23:C23"/>
    <mergeCell ref="A22:C22"/>
    <mergeCell ref="A13:C13"/>
    <mergeCell ref="A11:C11"/>
    <mergeCell ref="A9:C9"/>
    <mergeCell ref="A8:C8"/>
    <mergeCell ref="A21:C21"/>
    <mergeCell ref="A19:C19"/>
    <mergeCell ref="A18:C18"/>
    <mergeCell ref="A16:C16"/>
  </mergeCells>
  <dataValidations count="3">
    <dataValidation type="list" allowBlank="1" showInputMessage="1" showErrorMessage="1" sqref="D21 D6">
      <formula1>"A, B, C, D, E"</formula1>
    </dataValidation>
    <dataValidation type="list" allowBlank="1" showInputMessage="1" showErrorMessage="1" sqref="D8">
      <formula1>"0.90,0.87,0.75,0.5"</formula1>
    </dataValidation>
    <dataValidation type="list" allowBlank="1" showInputMessage="1" showErrorMessage="1" sqref="D9">
      <formula1>"0.02,0.03,0.05,0.07"</formula1>
    </dataValidation>
  </dataValidations>
  <pageMargins left="0.7" right="0.7" top="0.75" bottom="0.75" header="0.3" footer="0.3"/>
  <pageSetup scale="9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22"/>
  <sheetViews>
    <sheetView workbookViewId="0">
      <selection activeCell="B4" sqref="B4:H4"/>
    </sheetView>
  </sheetViews>
  <sheetFormatPr defaultRowHeight="15" x14ac:dyDescent="0.25"/>
  <sheetData>
    <row r="2" spans="1:20" x14ac:dyDescent="0.25">
      <c r="A2" t="s">
        <v>18</v>
      </c>
    </row>
    <row r="3" spans="1:20" x14ac:dyDescent="0.25">
      <c r="A3" t="s">
        <v>22</v>
      </c>
      <c r="B3" t="s">
        <v>10</v>
      </c>
      <c r="C3" t="s">
        <v>14</v>
      </c>
      <c r="D3" t="s">
        <v>2</v>
      </c>
      <c r="E3" t="s">
        <v>13</v>
      </c>
      <c r="F3" t="s">
        <v>3</v>
      </c>
      <c r="G3" t="s">
        <v>0</v>
      </c>
      <c r="H3" t="s">
        <v>1</v>
      </c>
      <c r="I3" t="s">
        <v>4</v>
      </c>
      <c r="J3" t="s">
        <v>8</v>
      </c>
      <c r="K3" t="s">
        <v>23</v>
      </c>
      <c r="L3" t="s">
        <v>6</v>
      </c>
      <c r="M3" t="s">
        <v>5</v>
      </c>
      <c r="N3" t="s">
        <v>11</v>
      </c>
      <c r="O3" t="s">
        <v>7</v>
      </c>
      <c r="P3" t="s">
        <v>9</v>
      </c>
      <c r="Q3" t="s">
        <v>10</v>
      </c>
      <c r="R3" t="s">
        <v>12</v>
      </c>
      <c r="S3" t="s">
        <v>16</v>
      </c>
      <c r="T3" t="s">
        <v>17</v>
      </c>
    </row>
    <row r="4" spans="1:20" x14ac:dyDescent="0.25">
      <c r="A4" s="4">
        <v>100</v>
      </c>
      <c r="B4" s="4">
        <f>A4+2*D4*F4</f>
        <v>100</v>
      </c>
      <c r="C4" s="5">
        <f>A4+2*E4*F4</f>
        <v>100</v>
      </c>
      <c r="D4" s="4">
        <f>Summary!$D$11</f>
        <v>0</v>
      </c>
      <c r="E4" s="4">
        <f>D4+0.5</f>
        <v>0.5</v>
      </c>
      <c r="F4" s="6">
        <f>Summary!$D$5</f>
        <v>0</v>
      </c>
      <c r="G4" s="6">
        <f>A4*D4+F4*D4^2</f>
        <v>0</v>
      </c>
      <c r="H4" s="4">
        <f>G4/(A4+2*D4*SQRT((F4^2)+1))</f>
        <v>0</v>
      </c>
      <c r="I4" s="4">
        <f>Summary!$D$3</f>
        <v>0</v>
      </c>
      <c r="J4" s="4" t="e">
        <f>I4/G4</f>
        <v>#DIV/0!</v>
      </c>
      <c r="K4" s="6">
        <f>Summary!$D$7</f>
        <v>2.88</v>
      </c>
      <c r="L4" s="4" t="e">
        <f>J4*H4</f>
        <v>#DIV/0!</v>
      </c>
      <c r="M4" s="4" t="e">
        <f>EXP(K4*((0.0133*(LN(L4))^2)-(0.0954*LN(L4))+0.297)-4.16)</f>
        <v>#DIV/0!</v>
      </c>
      <c r="N4" s="4">
        <f>Summary!$D$4</f>
        <v>0</v>
      </c>
      <c r="O4" s="4" t="e">
        <f>(1.49/M4)*H4^(2/3)*N4^(1/2)</f>
        <v>#DIV/0!</v>
      </c>
      <c r="P4" s="4">
        <f>0.75*K4</f>
        <v>2.16</v>
      </c>
      <c r="Q4" s="4">
        <f>62.4*D4*N4</f>
        <v>0</v>
      </c>
      <c r="R4" s="4" t="e">
        <f>O4-J4</f>
        <v>#DIV/0!</v>
      </c>
      <c r="S4" s="1">
        <f>Summary!$D$9</f>
        <v>0</v>
      </c>
      <c r="T4" s="1" t="e">
        <f>62.4*D4*N4*(1-Summary!$D$8)*((0.0156/M4)^2)</f>
        <v>#DIV/0!</v>
      </c>
    </row>
    <row r="5" spans="1:20" x14ac:dyDescent="0.25">
      <c r="A5" s="3">
        <f>+A4-25</f>
        <v>75</v>
      </c>
      <c r="B5" s="4">
        <f t="shared" ref="B5:B8" si="0">A5+2*D5*F5</f>
        <v>75</v>
      </c>
      <c r="C5" s="5">
        <f t="shared" ref="C5:C8" si="1">A5+2*E5*F5</f>
        <v>75</v>
      </c>
      <c r="D5" s="4">
        <f>Summary!$D$11</f>
        <v>0</v>
      </c>
      <c r="E5" s="3">
        <f t="shared" ref="E5:E8" si="2">D5+0.5</f>
        <v>0.5</v>
      </c>
      <c r="F5" s="6">
        <f>Summary!$D$5</f>
        <v>0</v>
      </c>
      <c r="G5" s="6">
        <f t="shared" ref="G5:G8" si="3">A5*D5+F5*D5^2</f>
        <v>0</v>
      </c>
      <c r="H5" s="4">
        <f t="shared" ref="H5:H8" si="4">G5/(A5+2*D5*SQRT((F5^2)+1))</f>
        <v>0</v>
      </c>
      <c r="I5" s="4">
        <f>Summary!$D$3</f>
        <v>0</v>
      </c>
      <c r="J5" s="3" t="e">
        <f t="shared" ref="J5:J8" si="5">I5/G5</f>
        <v>#DIV/0!</v>
      </c>
      <c r="K5" s="6">
        <f>Summary!$D$7</f>
        <v>2.88</v>
      </c>
      <c r="L5" s="3" t="e">
        <f t="shared" ref="L5:L6" si="6">J5*H5</f>
        <v>#DIV/0!</v>
      </c>
      <c r="M5" s="3" t="e">
        <f t="shared" ref="M5:M6" si="7">EXP(K5*((0.0133*(LN(L5))^2)-(0.0954*LN(L5))+0.297)-4.16)</f>
        <v>#DIV/0!</v>
      </c>
      <c r="N5" s="4">
        <f>Summary!$D$4</f>
        <v>0</v>
      </c>
      <c r="O5" s="3" t="e">
        <f t="shared" ref="O5:O6" si="8">(1.49/M5)*H5^(2/3)*N5^(1/2)</f>
        <v>#DIV/0!</v>
      </c>
      <c r="P5" s="3">
        <f t="shared" ref="P5:P6" si="9">0.75*K5</f>
        <v>2.16</v>
      </c>
      <c r="Q5" s="3">
        <f>62.4*D5*N5</f>
        <v>0</v>
      </c>
      <c r="R5" s="3" t="e">
        <f t="shared" ref="R5:R6" si="10">O5-J5</f>
        <v>#DIV/0!</v>
      </c>
      <c r="S5" s="1">
        <f>Summary!$D$9</f>
        <v>0</v>
      </c>
      <c r="T5" s="1" t="e">
        <f>62.4*D5*N5*(1-Summary!$D$8)*((0.0156/M5)^2)</f>
        <v>#DIV/0!</v>
      </c>
    </row>
    <row r="6" spans="1:20" x14ac:dyDescent="0.25">
      <c r="A6" s="3">
        <f t="shared" ref="A6:A7" si="11">+A5-25</f>
        <v>50</v>
      </c>
      <c r="B6" s="4">
        <f t="shared" si="0"/>
        <v>50</v>
      </c>
      <c r="C6" s="5">
        <f t="shared" si="1"/>
        <v>50</v>
      </c>
      <c r="D6" s="4">
        <f>Summary!$D$11</f>
        <v>0</v>
      </c>
      <c r="E6" s="3">
        <f t="shared" si="2"/>
        <v>0.5</v>
      </c>
      <c r="F6" s="6">
        <f>Summary!$D$5</f>
        <v>0</v>
      </c>
      <c r="G6" s="6">
        <f t="shared" si="3"/>
        <v>0</v>
      </c>
      <c r="H6" s="4">
        <f t="shared" si="4"/>
        <v>0</v>
      </c>
      <c r="I6" s="4">
        <f>Summary!$D$3</f>
        <v>0</v>
      </c>
      <c r="J6" s="3" t="e">
        <f t="shared" si="5"/>
        <v>#DIV/0!</v>
      </c>
      <c r="K6" s="6">
        <f>Summary!$D$7</f>
        <v>2.88</v>
      </c>
      <c r="L6" s="3" t="e">
        <f t="shared" si="6"/>
        <v>#DIV/0!</v>
      </c>
      <c r="M6" s="3" t="e">
        <f t="shared" si="7"/>
        <v>#DIV/0!</v>
      </c>
      <c r="N6" s="4">
        <f>Summary!$D$4</f>
        <v>0</v>
      </c>
      <c r="O6" s="3" t="e">
        <f t="shared" si="8"/>
        <v>#DIV/0!</v>
      </c>
      <c r="P6" s="3">
        <f t="shared" si="9"/>
        <v>2.16</v>
      </c>
      <c r="Q6" s="3">
        <f>62.4*D6*N6</f>
        <v>0</v>
      </c>
      <c r="R6" s="3" t="e">
        <f t="shared" si="10"/>
        <v>#DIV/0!</v>
      </c>
      <c r="S6" s="1">
        <f>Summary!$D$9</f>
        <v>0</v>
      </c>
      <c r="T6" s="1" t="e">
        <f>62.4*D6*N6*(1-Summary!$D$8)*((0.0156/M6)^2)</f>
        <v>#DIV/0!</v>
      </c>
    </row>
    <row r="7" spans="1:20" x14ac:dyDescent="0.25">
      <c r="A7" s="3">
        <f t="shared" si="11"/>
        <v>25</v>
      </c>
      <c r="B7" s="4">
        <f t="shared" si="0"/>
        <v>25</v>
      </c>
      <c r="C7" s="5">
        <f t="shared" si="1"/>
        <v>25</v>
      </c>
      <c r="D7" s="4">
        <f>Summary!$D$11</f>
        <v>0</v>
      </c>
      <c r="E7" s="4">
        <f t="shared" si="2"/>
        <v>0.5</v>
      </c>
      <c r="F7" s="6">
        <f>Summary!$D$5</f>
        <v>0</v>
      </c>
      <c r="G7" s="6">
        <f t="shared" si="3"/>
        <v>0</v>
      </c>
      <c r="H7" s="4">
        <f t="shared" si="4"/>
        <v>0</v>
      </c>
      <c r="I7" s="4">
        <f>Summary!$D$3</f>
        <v>0</v>
      </c>
      <c r="J7" s="4" t="e">
        <f t="shared" si="5"/>
        <v>#DIV/0!</v>
      </c>
      <c r="K7" s="6">
        <f>Summary!$D$7</f>
        <v>2.88</v>
      </c>
      <c r="L7" s="4" t="e">
        <f>J7*H7</f>
        <v>#DIV/0!</v>
      </c>
      <c r="M7" s="4" t="e">
        <f>EXP(K7*((0.0133*(LN(L7))^2)-(0.0954*LN(L7))+0.297)-4.16)</f>
        <v>#DIV/0!</v>
      </c>
      <c r="N7" s="4">
        <f>Summary!$D$4</f>
        <v>0</v>
      </c>
      <c r="O7" s="4" t="e">
        <f>(1.49/M7)*H7^(2/3)*N7^(1/2)</f>
        <v>#DIV/0!</v>
      </c>
      <c r="P7" s="4">
        <f>0.75*K7</f>
        <v>2.16</v>
      </c>
      <c r="Q7" s="4">
        <f>62.4*D7*N7</f>
        <v>0</v>
      </c>
      <c r="R7" s="4" t="e">
        <f>O7-J7</f>
        <v>#DIV/0!</v>
      </c>
      <c r="S7" s="1">
        <f>Summary!$D$9</f>
        <v>0</v>
      </c>
      <c r="T7" s="1" t="e">
        <f>62.4*D7*N7*(1-Summary!$D$8)*((0.0156/M7)^2)</f>
        <v>#DIV/0!</v>
      </c>
    </row>
    <row r="8" spans="1:20" x14ac:dyDescent="0.25">
      <c r="A8" s="3">
        <v>1</v>
      </c>
      <c r="B8" s="4">
        <f t="shared" si="0"/>
        <v>1</v>
      </c>
      <c r="C8" s="5">
        <f t="shared" si="1"/>
        <v>1</v>
      </c>
      <c r="D8" s="4">
        <f>Summary!$D$11</f>
        <v>0</v>
      </c>
      <c r="E8" s="3">
        <f t="shared" si="2"/>
        <v>0.5</v>
      </c>
      <c r="F8" s="6">
        <f>Summary!$D$5</f>
        <v>0</v>
      </c>
      <c r="G8" s="6">
        <f t="shared" si="3"/>
        <v>0</v>
      </c>
      <c r="H8" s="4">
        <f t="shared" si="4"/>
        <v>0</v>
      </c>
      <c r="I8" s="4">
        <f>Summary!$D$3</f>
        <v>0</v>
      </c>
      <c r="J8" s="3" t="e">
        <f t="shared" si="5"/>
        <v>#DIV/0!</v>
      </c>
      <c r="K8" s="6">
        <f>Summary!$D$7</f>
        <v>2.88</v>
      </c>
      <c r="L8" s="3" t="e">
        <f t="shared" ref="L8" si="12">J8*H8</f>
        <v>#DIV/0!</v>
      </c>
      <c r="M8" s="3" t="e">
        <f t="shared" ref="M8" si="13">EXP(K8*((0.0133*(LN(L8))^2)-(0.0954*LN(L8))+0.297)-4.16)</f>
        <v>#DIV/0!</v>
      </c>
      <c r="N8" s="4">
        <f>Summary!$D$4</f>
        <v>0</v>
      </c>
      <c r="O8" s="3" t="e">
        <f t="shared" ref="O8" si="14">(1.49/M8)*H8^(2/3)*N8^(1/2)</f>
        <v>#DIV/0!</v>
      </c>
      <c r="P8" s="3">
        <f t="shared" ref="P8" si="15">0.75*K8</f>
        <v>2.16</v>
      </c>
      <c r="Q8" s="3">
        <f>62.4*D8*N8</f>
        <v>0</v>
      </c>
      <c r="R8" s="3" t="e">
        <f t="shared" ref="R8" si="16">O8-J8</f>
        <v>#DIV/0!</v>
      </c>
      <c r="S8" s="1">
        <f>Summary!$D$9</f>
        <v>0</v>
      </c>
      <c r="T8" s="1" t="e">
        <f>62.4*D8*N8*(1-Summary!$D$8)*((0.0156/M8)^2)</f>
        <v>#DIV/0!</v>
      </c>
    </row>
    <row r="10" spans="1:20" x14ac:dyDescent="0.25">
      <c r="A10" t="e">
        <f>IF(AND(R4&gt;0,R5&lt;0),A4,IF(AND(R5&gt;0,R6&lt;0),A5,IF(AND(R6&gt;0,R7&lt;0),A6,IF(AND(R7&gt;0,R8&lt;0),A7,A8))))</f>
        <v>#DIV/0!</v>
      </c>
      <c r="B10" s="4" t="e">
        <f t="shared" ref="B10:B14" si="17">A10+2*D10*F10</f>
        <v>#DIV/0!</v>
      </c>
      <c r="C10" s="5" t="e">
        <f t="shared" ref="C10:C14" si="18">A10+2*E10*F10</f>
        <v>#DIV/0!</v>
      </c>
      <c r="D10" s="4">
        <f>Summary!$D$11</f>
        <v>0</v>
      </c>
      <c r="E10" s="4">
        <f t="shared" ref="E10:E14" si="19">D10+0.5</f>
        <v>0.5</v>
      </c>
      <c r="F10" s="6">
        <f>Summary!$D$5</f>
        <v>0</v>
      </c>
      <c r="G10" s="6" t="e">
        <f t="shared" ref="G10:G14" si="20">A10*D10+F10*D10^2</f>
        <v>#DIV/0!</v>
      </c>
      <c r="H10" s="4" t="e">
        <f t="shared" ref="H10:H14" si="21">G10/(A10+2*D10*SQRT((F10^2)+1))</f>
        <v>#DIV/0!</v>
      </c>
      <c r="I10" s="4">
        <f>Summary!$D$3</f>
        <v>0</v>
      </c>
      <c r="J10" s="4" t="e">
        <f>I10/G10</f>
        <v>#DIV/0!</v>
      </c>
      <c r="K10" s="6">
        <f>Summary!$D$7</f>
        <v>2.88</v>
      </c>
      <c r="L10" s="4" t="e">
        <f>J10*H10</f>
        <v>#DIV/0!</v>
      </c>
      <c r="M10" s="4" t="e">
        <f>EXP(K10*((0.0133*(LN(L10))^2)-(0.0954*LN(L10))+0.297)-4.16)</f>
        <v>#DIV/0!</v>
      </c>
      <c r="N10" s="4">
        <f>Summary!$D$4</f>
        <v>0</v>
      </c>
      <c r="O10" s="4" t="e">
        <f>(1.49/M10)*H10^(2/3)*N10^(1/2)</f>
        <v>#DIV/0!</v>
      </c>
      <c r="P10" s="4">
        <f>0.75*K10</f>
        <v>2.16</v>
      </c>
      <c r="Q10" s="4">
        <f>62.4*D10*N10</f>
        <v>0</v>
      </c>
      <c r="R10" s="4" t="e">
        <f>O10-J10</f>
        <v>#DIV/0!</v>
      </c>
      <c r="S10" s="1">
        <f>Summary!$D$9</f>
        <v>0</v>
      </c>
      <c r="T10" s="1" t="e">
        <f>62.4*D10*N10*(1-Summary!$D$8)*((0.0156/M10)^2)</f>
        <v>#DIV/0!</v>
      </c>
    </row>
    <row r="11" spans="1:20" x14ac:dyDescent="0.25">
      <c r="A11" t="e">
        <f>A10-5</f>
        <v>#DIV/0!</v>
      </c>
      <c r="B11" s="4" t="e">
        <f t="shared" si="17"/>
        <v>#DIV/0!</v>
      </c>
      <c r="C11" s="5" t="e">
        <f t="shared" si="18"/>
        <v>#DIV/0!</v>
      </c>
      <c r="D11" s="4">
        <f>Summary!$D$11</f>
        <v>0</v>
      </c>
      <c r="E11" s="4">
        <f t="shared" si="19"/>
        <v>0.5</v>
      </c>
      <c r="F11" s="6">
        <f>Summary!$D$5</f>
        <v>0</v>
      </c>
      <c r="G11" s="6" t="e">
        <f t="shared" si="20"/>
        <v>#DIV/0!</v>
      </c>
      <c r="H11" s="4" t="e">
        <f t="shared" si="21"/>
        <v>#DIV/0!</v>
      </c>
      <c r="I11" s="4">
        <f>Summary!$D$3</f>
        <v>0</v>
      </c>
      <c r="J11" s="3" t="e">
        <f t="shared" ref="J11:J14" si="22">I11/G11</f>
        <v>#DIV/0!</v>
      </c>
      <c r="K11" s="6">
        <f>Summary!$D$7</f>
        <v>2.88</v>
      </c>
      <c r="L11" s="3" t="e">
        <f t="shared" ref="L11:L12" si="23">J11*H11</f>
        <v>#DIV/0!</v>
      </c>
      <c r="M11" s="3" t="e">
        <f t="shared" ref="M11:M12" si="24">EXP(K11*((0.0133*(LN(L11))^2)-(0.0954*LN(L11))+0.297)-4.16)</f>
        <v>#DIV/0!</v>
      </c>
      <c r="N11" s="4">
        <f>Summary!$D$4</f>
        <v>0</v>
      </c>
      <c r="O11" s="3" t="e">
        <f t="shared" ref="O11:O12" si="25">(1.49/M11)*H11^(2/3)*N11^(1/2)</f>
        <v>#DIV/0!</v>
      </c>
      <c r="P11" s="3">
        <f t="shared" ref="P11:P12" si="26">0.75*K11</f>
        <v>2.16</v>
      </c>
      <c r="Q11" s="3">
        <f>62.4*D11*N11</f>
        <v>0</v>
      </c>
      <c r="R11" s="3" t="e">
        <f t="shared" ref="R11:R12" si="27">O11-J11</f>
        <v>#DIV/0!</v>
      </c>
      <c r="S11" s="1">
        <f>Summary!$D$9</f>
        <v>0</v>
      </c>
      <c r="T11" s="1" t="e">
        <f>62.4*D11*N11*(1-Summary!$D$8)*((0.0156/M11)^2)</f>
        <v>#DIV/0!</v>
      </c>
    </row>
    <row r="12" spans="1:20" x14ac:dyDescent="0.25">
      <c r="A12" t="e">
        <f t="shared" ref="A12:A14" si="28">A11-5</f>
        <v>#DIV/0!</v>
      </c>
      <c r="B12" s="4" t="e">
        <f t="shared" si="17"/>
        <v>#DIV/0!</v>
      </c>
      <c r="C12" s="5" t="e">
        <f t="shared" si="18"/>
        <v>#DIV/0!</v>
      </c>
      <c r="D12" s="4">
        <f>Summary!$D$11</f>
        <v>0</v>
      </c>
      <c r="E12" s="4">
        <f t="shared" si="19"/>
        <v>0.5</v>
      </c>
      <c r="F12" s="6">
        <f>Summary!$D$5</f>
        <v>0</v>
      </c>
      <c r="G12" s="6" t="e">
        <f t="shared" si="20"/>
        <v>#DIV/0!</v>
      </c>
      <c r="H12" s="4" t="e">
        <f t="shared" si="21"/>
        <v>#DIV/0!</v>
      </c>
      <c r="I12" s="4">
        <f>Summary!$D$3</f>
        <v>0</v>
      </c>
      <c r="J12" s="3" t="e">
        <f t="shared" si="22"/>
        <v>#DIV/0!</v>
      </c>
      <c r="K12" s="6">
        <f>Summary!$D$7</f>
        <v>2.88</v>
      </c>
      <c r="L12" s="3" t="e">
        <f t="shared" si="23"/>
        <v>#DIV/0!</v>
      </c>
      <c r="M12" s="3" t="e">
        <f t="shared" si="24"/>
        <v>#DIV/0!</v>
      </c>
      <c r="N12" s="4">
        <f>Summary!$D$4</f>
        <v>0</v>
      </c>
      <c r="O12" s="3" t="e">
        <f t="shared" si="25"/>
        <v>#DIV/0!</v>
      </c>
      <c r="P12" s="3">
        <f t="shared" si="26"/>
        <v>2.16</v>
      </c>
      <c r="Q12" s="3">
        <f>62.4*D12*N12</f>
        <v>0</v>
      </c>
      <c r="R12" s="3" t="e">
        <f t="shared" si="27"/>
        <v>#DIV/0!</v>
      </c>
      <c r="S12" s="1">
        <f>Summary!$D$9</f>
        <v>0</v>
      </c>
      <c r="T12" s="1" t="e">
        <f>62.4*D12*N12*(1-Summary!$D$8)*((0.0156/M12)^2)</f>
        <v>#DIV/0!</v>
      </c>
    </row>
    <row r="13" spans="1:20" x14ac:dyDescent="0.25">
      <c r="A13" t="e">
        <f t="shared" si="28"/>
        <v>#DIV/0!</v>
      </c>
      <c r="B13" s="4" t="e">
        <f t="shared" si="17"/>
        <v>#DIV/0!</v>
      </c>
      <c r="C13" s="5" t="e">
        <f t="shared" si="18"/>
        <v>#DIV/0!</v>
      </c>
      <c r="D13" s="4">
        <f>Summary!$D$11</f>
        <v>0</v>
      </c>
      <c r="E13" s="4">
        <f t="shared" si="19"/>
        <v>0.5</v>
      </c>
      <c r="F13" s="6">
        <f>Summary!$D$5</f>
        <v>0</v>
      </c>
      <c r="G13" s="6" t="e">
        <f t="shared" si="20"/>
        <v>#DIV/0!</v>
      </c>
      <c r="H13" s="4" t="e">
        <f t="shared" si="21"/>
        <v>#DIV/0!</v>
      </c>
      <c r="I13" s="4">
        <f>Summary!$D$3</f>
        <v>0</v>
      </c>
      <c r="J13" s="4" t="e">
        <f t="shared" si="22"/>
        <v>#DIV/0!</v>
      </c>
      <c r="K13" s="6">
        <f>Summary!$D$7</f>
        <v>2.88</v>
      </c>
      <c r="L13" s="4" t="e">
        <f>J13*H13</f>
        <v>#DIV/0!</v>
      </c>
      <c r="M13" s="4" t="e">
        <f>EXP(K13*((0.0133*(LN(L13))^2)-(0.0954*LN(L13))+0.297)-4.16)</f>
        <v>#DIV/0!</v>
      </c>
      <c r="N13" s="4">
        <f>Summary!$D$4</f>
        <v>0</v>
      </c>
      <c r="O13" s="4" t="e">
        <f>(1.49/M13)*H13^(2/3)*N13^(1/2)</f>
        <v>#DIV/0!</v>
      </c>
      <c r="P13" s="4">
        <f>0.75*K13</f>
        <v>2.16</v>
      </c>
      <c r="Q13" s="4">
        <f>62.4*D13*N13</f>
        <v>0</v>
      </c>
      <c r="R13" s="4" t="e">
        <f>O13-J13</f>
        <v>#DIV/0!</v>
      </c>
      <c r="S13" s="1">
        <f>Summary!$D$9</f>
        <v>0</v>
      </c>
      <c r="T13" s="1" t="e">
        <f>62.4*D13*N13*(1-Summary!$D$8)*((0.0156/M13)^2)</f>
        <v>#DIV/0!</v>
      </c>
    </row>
    <row r="14" spans="1:20" x14ac:dyDescent="0.25">
      <c r="A14" t="e">
        <f t="shared" si="28"/>
        <v>#DIV/0!</v>
      </c>
      <c r="B14" s="4" t="e">
        <f t="shared" si="17"/>
        <v>#DIV/0!</v>
      </c>
      <c r="C14" s="5" t="e">
        <f t="shared" si="18"/>
        <v>#DIV/0!</v>
      </c>
      <c r="D14" s="4">
        <f>Summary!$D$11</f>
        <v>0</v>
      </c>
      <c r="E14" s="4">
        <f t="shared" si="19"/>
        <v>0.5</v>
      </c>
      <c r="F14" s="6">
        <f>Summary!$D$5</f>
        <v>0</v>
      </c>
      <c r="G14" s="6" t="e">
        <f t="shared" si="20"/>
        <v>#DIV/0!</v>
      </c>
      <c r="H14" s="4" t="e">
        <f t="shared" si="21"/>
        <v>#DIV/0!</v>
      </c>
      <c r="I14" s="4">
        <f>Summary!$D$3</f>
        <v>0</v>
      </c>
      <c r="J14" s="3" t="e">
        <f t="shared" si="22"/>
        <v>#DIV/0!</v>
      </c>
      <c r="K14" s="6">
        <f>Summary!$D$7</f>
        <v>2.88</v>
      </c>
      <c r="L14" s="3" t="e">
        <f t="shared" ref="L14" si="29">J14*H14</f>
        <v>#DIV/0!</v>
      </c>
      <c r="M14" s="3" t="e">
        <f t="shared" ref="M14" si="30">EXP(K14*((0.0133*(LN(L14))^2)-(0.0954*LN(L14))+0.297)-4.16)</f>
        <v>#DIV/0!</v>
      </c>
      <c r="N14" s="4">
        <f>Summary!$D$4</f>
        <v>0</v>
      </c>
      <c r="O14" s="3" t="e">
        <f t="shared" ref="O14" si="31">(1.49/M14)*H14^(2/3)*N14^(1/2)</f>
        <v>#DIV/0!</v>
      </c>
      <c r="P14" s="3">
        <f t="shared" ref="P14" si="32">0.75*K14</f>
        <v>2.16</v>
      </c>
      <c r="Q14" s="3">
        <f>62.4*D14*N14</f>
        <v>0</v>
      </c>
      <c r="R14" s="3" t="e">
        <f t="shared" ref="R14" si="33">O14-J14</f>
        <v>#DIV/0!</v>
      </c>
      <c r="S14" s="1">
        <f>Summary!$D$9</f>
        <v>0</v>
      </c>
      <c r="T14" s="1" t="e">
        <f>62.4*D14*N14*(1-Summary!$D$8)*((0.0156/M14)^2)</f>
        <v>#DIV/0!</v>
      </c>
    </row>
    <row r="16" spans="1:20" x14ac:dyDescent="0.25">
      <c r="A16" t="e">
        <f>IF(AND(R10&gt;0,R11&lt;0),A10,IF(AND(R11&gt;0,R12&lt;0),A11,IF(AND(R12&gt;0,R13&lt;0),A12,IF(AND(R13&gt;0,R14&lt;0),A13,A14))))</f>
        <v>#DIV/0!</v>
      </c>
      <c r="B16" s="4" t="e">
        <f t="shared" ref="B16:B20" si="34">A16+2*D16*F16</f>
        <v>#DIV/0!</v>
      </c>
      <c r="C16" s="5" t="e">
        <f t="shared" ref="C16:C20" si="35">A16+2*E16*F16</f>
        <v>#DIV/0!</v>
      </c>
      <c r="D16" s="4">
        <f>Summary!$D$11</f>
        <v>0</v>
      </c>
      <c r="E16" s="4">
        <f t="shared" ref="E16:E20" si="36">D16+0.5</f>
        <v>0.5</v>
      </c>
      <c r="F16" s="6">
        <f>Summary!$D$5</f>
        <v>0</v>
      </c>
      <c r="G16" s="6" t="e">
        <f t="shared" ref="G16:G20" si="37">A16*D16+F16*D16^2</f>
        <v>#DIV/0!</v>
      </c>
      <c r="H16" s="4" t="e">
        <f t="shared" ref="H16:H20" si="38">G16/(A16+2*D16*SQRT((F16^2)+1))</f>
        <v>#DIV/0!</v>
      </c>
      <c r="I16" s="4">
        <f>Summary!$D$3</f>
        <v>0</v>
      </c>
      <c r="J16" s="4" t="e">
        <f>I16/G16</f>
        <v>#DIV/0!</v>
      </c>
      <c r="K16" s="6">
        <f>Summary!$D$7</f>
        <v>2.88</v>
      </c>
      <c r="L16" s="4" t="e">
        <f>J16*H16</f>
        <v>#DIV/0!</v>
      </c>
      <c r="M16" s="4" t="e">
        <f>EXP(K16*((0.0133*(LN(L16))^2)-(0.0954*LN(L16))+0.297)-4.16)</f>
        <v>#DIV/0!</v>
      </c>
      <c r="N16" s="4">
        <f>Summary!$D$4</f>
        <v>0</v>
      </c>
      <c r="O16" s="4" t="e">
        <f>(1.49/M16)*H16^(2/3)*N16^(1/2)</f>
        <v>#DIV/0!</v>
      </c>
      <c r="P16" s="4">
        <f>0.75*K16</f>
        <v>2.16</v>
      </c>
      <c r="Q16" s="4">
        <f>62.4*D16*N16</f>
        <v>0</v>
      </c>
      <c r="R16" s="4" t="e">
        <f>O16-J16</f>
        <v>#DIV/0!</v>
      </c>
      <c r="S16" s="1">
        <f>Summary!$D$9</f>
        <v>0</v>
      </c>
      <c r="T16" s="1" t="e">
        <f>62.4*D16*N16*(1-Summary!$D$8)*((0.0156/M16)^2)</f>
        <v>#DIV/0!</v>
      </c>
    </row>
    <row r="17" spans="1:20" x14ac:dyDescent="0.25">
      <c r="A17" t="e">
        <f>A16-1</f>
        <v>#DIV/0!</v>
      </c>
      <c r="B17" s="4" t="e">
        <f t="shared" si="34"/>
        <v>#DIV/0!</v>
      </c>
      <c r="C17" s="5" t="e">
        <f t="shared" si="35"/>
        <v>#DIV/0!</v>
      </c>
      <c r="D17" s="4">
        <f>Summary!$D$11</f>
        <v>0</v>
      </c>
      <c r="E17" s="4">
        <f t="shared" si="36"/>
        <v>0.5</v>
      </c>
      <c r="F17" s="6">
        <f>Summary!$D$5</f>
        <v>0</v>
      </c>
      <c r="G17" s="6" t="e">
        <f t="shared" si="37"/>
        <v>#DIV/0!</v>
      </c>
      <c r="H17" s="4" t="e">
        <f t="shared" si="38"/>
        <v>#DIV/0!</v>
      </c>
      <c r="I17" s="4">
        <f>Summary!$D$3</f>
        <v>0</v>
      </c>
      <c r="J17" s="3" t="e">
        <f t="shared" ref="J17:J20" si="39">I17/G17</f>
        <v>#DIV/0!</v>
      </c>
      <c r="K17" s="6">
        <f>Summary!$D$7</f>
        <v>2.88</v>
      </c>
      <c r="L17" s="3" t="e">
        <f t="shared" ref="L17:L18" si="40">J17*H17</f>
        <v>#DIV/0!</v>
      </c>
      <c r="M17" s="3" t="e">
        <f t="shared" ref="M17:M18" si="41">EXP(K17*((0.0133*(LN(L17))^2)-(0.0954*LN(L17))+0.297)-4.16)</f>
        <v>#DIV/0!</v>
      </c>
      <c r="N17" s="4">
        <f>Summary!$D$4</f>
        <v>0</v>
      </c>
      <c r="O17" s="3" t="e">
        <f t="shared" ref="O17:O18" si="42">(1.49/M17)*H17^(2/3)*N17^(1/2)</f>
        <v>#DIV/0!</v>
      </c>
      <c r="P17" s="3">
        <f t="shared" ref="P17:P18" si="43">0.75*K17</f>
        <v>2.16</v>
      </c>
      <c r="Q17" s="3">
        <f>62.4*D17*N17</f>
        <v>0</v>
      </c>
      <c r="R17" s="3" t="e">
        <f t="shared" ref="R17:R18" si="44">O17-J17</f>
        <v>#DIV/0!</v>
      </c>
      <c r="S17" s="1">
        <f>Summary!$D$9</f>
        <v>0</v>
      </c>
      <c r="T17" s="1" t="e">
        <f>62.4*D17*N17*(1-Summary!$D$8)*((0.0156/M17)^2)</f>
        <v>#DIV/0!</v>
      </c>
    </row>
    <row r="18" spans="1:20" x14ac:dyDescent="0.25">
      <c r="A18" t="e">
        <f t="shared" ref="A18:A20" si="45">A17-1</f>
        <v>#DIV/0!</v>
      </c>
      <c r="B18" s="4" t="e">
        <f t="shared" si="34"/>
        <v>#DIV/0!</v>
      </c>
      <c r="C18" s="5" t="e">
        <f t="shared" si="35"/>
        <v>#DIV/0!</v>
      </c>
      <c r="D18" s="4">
        <f>Summary!$D$11</f>
        <v>0</v>
      </c>
      <c r="E18" s="4">
        <f t="shared" si="36"/>
        <v>0.5</v>
      </c>
      <c r="F18" s="6">
        <f>Summary!$D$5</f>
        <v>0</v>
      </c>
      <c r="G18" s="6" t="e">
        <f t="shared" si="37"/>
        <v>#DIV/0!</v>
      </c>
      <c r="H18" s="4" t="e">
        <f t="shared" si="38"/>
        <v>#DIV/0!</v>
      </c>
      <c r="I18" s="4">
        <f>Summary!$D$3</f>
        <v>0</v>
      </c>
      <c r="J18" s="3" t="e">
        <f t="shared" si="39"/>
        <v>#DIV/0!</v>
      </c>
      <c r="K18" s="6">
        <f>Summary!$D$7</f>
        <v>2.88</v>
      </c>
      <c r="L18" s="3" t="e">
        <f t="shared" si="40"/>
        <v>#DIV/0!</v>
      </c>
      <c r="M18" s="3" t="e">
        <f t="shared" si="41"/>
        <v>#DIV/0!</v>
      </c>
      <c r="N18" s="4">
        <f>Summary!$D$4</f>
        <v>0</v>
      </c>
      <c r="O18" s="3" t="e">
        <f t="shared" si="42"/>
        <v>#DIV/0!</v>
      </c>
      <c r="P18" s="3">
        <f t="shared" si="43"/>
        <v>2.16</v>
      </c>
      <c r="Q18" s="3">
        <f>62.4*D18*N18</f>
        <v>0</v>
      </c>
      <c r="R18" s="3" t="e">
        <f t="shared" si="44"/>
        <v>#DIV/0!</v>
      </c>
      <c r="S18" s="1">
        <f>Summary!$D$9</f>
        <v>0</v>
      </c>
      <c r="T18" s="1" t="e">
        <f>62.4*D18*N18*(1-Summary!$D$8)*((0.0156/M18)^2)</f>
        <v>#DIV/0!</v>
      </c>
    </row>
    <row r="19" spans="1:20" x14ac:dyDescent="0.25">
      <c r="A19" t="e">
        <f t="shared" si="45"/>
        <v>#DIV/0!</v>
      </c>
      <c r="B19" s="4" t="e">
        <f t="shared" si="34"/>
        <v>#DIV/0!</v>
      </c>
      <c r="C19" s="5" t="e">
        <f t="shared" si="35"/>
        <v>#DIV/0!</v>
      </c>
      <c r="D19" s="4">
        <f>Summary!$D$11</f>
        <v>0</v>
      </c>
      <c r="E19" s="4">
        <f t="shared" si="36"/>
        <v>0.5</v>
      </c>
      <c r="F19" s="6">
        <f>Summary!$D$5</f>
        <v>0</v>
      </c>
      <c r="G19" s="6" t="e">
        <f t="shared" si="37"/>
        <v>#DIV/0!</v>
      </c>
      <c r="H19" s="4" t="e">
        <f t="shared" si="38"/>
        <v>#DIV/0!</v>
      </c>
      <c r="I19" s="4">
        <f>Summary!$D$3</f>
        <v>0</v>
      </c>
      <c r="J19" s="4" t="e">
        <f t="shared" si="39"/>
        <v>#DIV/0!</v>
      </c>
      <c r="K19" s="6">
        <f>Summary!$D$7</f>
        <v>2.88</v>
      </c>
      <c r="L19" s="4" t="e">
        <f>J19*H19</f>
        <v>#DIV/0!</v>
      </c>
      <c r="M19" s="4" t="e">
        <f>EXP(K19*((0.0133*(LN(L19))^2)-(0.0954*LN(L19))+0.297)-4.16)</f>
        <v>#DIV/0!</v>
      </c>
      <c r="N19" s="4">
        <f>Summary!$D$4</f>
        <v>0</v>
      </c>
      <c r="O19" s="4" t="e">
        <f>(1.49/M19)*H19^(2/3)*N19^(1/2)</f>
        <v>#DIV/0!</v>
      </c>
      <c r="P19" s="4">
        <f>0.75*K19</f>
        <v>2.16</v>
      </c>
      <c r="Q19" s="4">
        <f>62.4*D19*N19</f>
        <v>0</v>
      </c>
      <c r="R19" s="4" t="e">
        <f>O19-J19</f>
        <v>#DIV/0!</v>
      </c>
      <c r="S19" s="1">
        <f>Summary!$D$9</f>
        <v>0</v>
      </c>
      <c r="T19" s="1" t="e">
        <f>62.4*D19*N19*(1-Summary!$D$8)*((0.0156/M19)^2)</f>
        <v>#DIV/0!</v>
      </c>
    </row>
    <row r="20" spans="1:20" x14ac:dyDescent="0.25">
      <c r="A20" t="e">
        <f t="shared" si="45"/>
        <v>#DIV/0!</v>
      </c>
      <c r="B20" s="4" t="e">
        <f t="shared" si="34"/>
        <v>#DIV/0!</v>
      </c>
      <c r="C20" s="5" t="e">
        <f t="shared" si="35"/>
        <v>#DIV/0!</v>
      </c>
      <c r="D20" s="4">
        <f>Summary!$D$11</f>
        <v>0</v>
      </c>
      <c r="E20" s="4">
        <f t="shared" si="36"/>
        <v>0.5</v>
      </c>
      <c r="F20" s="6">
        <f>Summary!$D$5</f>
        <v>0</v>
      </c>
      <c r="G20" s="6" t="e">
        <f t="shared" si="37"/>
        <v>#DIV/0!</v>
      </c>
      <c r="H20" s="4" t="e">
        <f t="shared" si="38"/>
        <v>#DIV/0!</v>
      </c>
      <c r="I20" s="4">
        <f>Summary!$D$3</f>
        <v>0</v>
      </c>
      <c r="J20" s="3" t="e">
        <f t="shared" si="39"/>
        <v>#DIV/0!</v>
      </c>
      <c r="K20" s="6">
        <f>Summary!$D$7</f>
        <v>2.88</v>
      </c>
      <c r="L20" s="3" t="e">
        <f t="shared" ref="L20" si="46">J20*H20</f>
        <v>#DIV/0!</v>
      </c>
      <c r="M20" s="3" t="e">
        <f t="shared" ref="M20" si="47">EXP(K20*((0.0133*(LN(L20))^2)-(0.0954*LN(L20))+0.297)-4.16)</f>
        <v>#DIV/0!</v>
      </c>
      <c r="N20" s="4">
        <f>Summary!$D$4</f>
        <v>0</v>
      </c>
      <c r="O20" s="3" t="e">
        <f t="shared" ref="O20" si="48">(1.49/M20)*H20^(2/3)*N20^(1/2)</f>
        <v>#DIV/0!</v>
      </c>
      <c r="P20" s="3">
        <f t="shared" ref="P20" si="49">0.75*K20</f>
        <v>2.16</v>
      </c>
      <c r="Q20" s="3">
        <f>62.4*D20*N20</f>
        <v>0</v>
      </c>
      <c r="R20" s="3" t="e">
        <f t="shared" ref="R20" si="50">O20-J20</f>
        <v>#DIV/0!</v>
      </c>
      <c r="S20" s="1">
        <f>Summary!$D$9</f>
        <v>0</v>
      </c>
      <c r="T20" s="1" t="e">
        <f>62.4*D20*N20*(1-Summary!$D$8)*((0.0156/M20)^2)</f>
        <v>#DIV/0!</v>
      </c>
    </row>
    <row r="21" spans="1:20" ht="15.75" thickBot="1" x14ac:dyDescent="0.3"/>
    <row r="22" spans="1:20" s="8" customFormat="1" ht="15.75" thickBot="1" x14ac:dyDescent="0.3">
      <c r="A22" s="39" t="e">
        <f>IF(AND(R16&gt;0,R17&lt;0),A16,IF(AND(R17&gt;0,R18&lt;0),A17,IF(AND(R18&gt;0,R19&lt;0),A18,IF(AND(R19&gt;0,R20&lt;0),A19,A20))))</f>
        <v>#DIV/0!</v>
      </c>
      <c r="B22" s="36" t="e">
        <f>A22+2*D22*F22</f>
        <v>#DIV/0!</v>
      </c>
      <c r="C22" s="35" t="e">
        <f>A22+2*E22*F22</f>
        <v>#DIV/0!</v>
      </c>
      <c r="D22" s="36">
        <f>Summary!$D$11</f>
        <v>0</v>
      </c>
      <c r="E22" s="36">
        <f>D22+0.5</f>
        <v>0.5</v>
      </c>
      <c r="F22" s="37">
        <f>Summary!$D$5</f>
        <v>0</v>
      </c>
      <c r="G22" s="37" t="e">
        <f>A22*D22+F22*D22^2</f>
        <v>#DIV/0!</v>
      </c>
      <c r="H22" s="36" t="e">
        <f>G22/(A22+2*D22*SQRT((F22^2)+1))</f>
        <v>#DIV/0!</v>
      </c>
      <c r="I22" s="36">
        <f>Summary!$D$3</f>
        <v>0</v>
      </c>
      <c r="J22" s="36" t="e">
        <f>I22/G22</f>
        <v>#DIV/0!</v>
      </c>
      <c r="K22" s="37">
        <f>Summary!$D$7</f>
        <v>2.88</v>
      </c>
      <c r="L22" s="36" t="e">
        <f>J22*H22</f>
        <v>#DIV/0!</v>
      </c>
      <c r="M22" s="36" t="e">
        <f>EXP(K22*((0.0133*(LN(L22))^2)-(0.0954*LN(L22))+0.297)-4.16)</f>
        <v>#DIV/0!</v>
      </c>
      <c r="N22" s="36">
        <f>Summary!$D$4</f>
        <v>0</v>
      </c>
      <c r="O22" s="36" t="e">
        <f>(1.49/M22)*H22^(2/3)*N22^(1/2)</f>
        <v>#DIV/0!</v>
      </c>
      <c r="P22" s="36">
        <f>0.75*K22</f>
        <v>2.16</v>
      </c>
      <c r="Q22" s="36">
        <f>62.4*D22*N22</f>
        <v>0</v>
      </c>
      <c r="R22" s="36" t="e">
        <f>O22-J22</f>
        <v>#DIV/0!</v>
      </c>
      <c r="S22" s="36">
        <f>Summary!$D$9</f>
        <v>0</v>
      </c>
      <c r="T22" s="38" t="e">
        <f>62.4*D22*N22*(1-Summary!$D$8)*((0.0156/M22)^2)</f>
        <v>#DIV/0!</v>
      </c>
    </row>
  </sheetData>
  <conditionalFormatting sqref="T4:T8">
    <cfRule type="cellIs" dxfId="23" priority="19" operator="lessThan">
      <formula>$S$4</formula>
    </cfRule>
    <cfRule type="cellIs" dxfId="22" priority="20" operator="greaterThan">
      <formula>$S$4</formula>
    </cfRule>
  </conditionalFormatting>
  <conditionalFormatting sqref="T10:T14">
    <cfRule type="cellIs" dxfId="21" priority="17" operator="lessThan">
      <formula>$S$4</formula>
    </cfRule>
    <cfRule type="cellIs" dxfId="20" priority="18" operator="greaterThan">
      <formula>$S$4</formula>
    </cfRule>
  </conditionalFormatting>
  <conditionalFormatting sqref="T16:T20">
    <cfRule type="cellIs" dxfId="19" priority="15" operator="lessThan">
      <formula>$S$4</formula>
    </cfRule>
    <cfRule type="cellIs" dxfId="18" priority="16" operator="greaterThan">
      <formula>$S$4</formula>
    </cfRule>
  </conditionalFormatting>
  <conditionalFormatting sqref="T22">
    <cfRule type="cellIs" dxfId="17" priority="13" operator="lessThan">
      <formula>$S$4</formula>
    </cfRule>
    <cfRule type="cellIs" dxfId="16" priority="14" operator="greaterThan">
      <formula>$S$4</formula>
    </cfRule>
  </conditionalFormatting>
  <conditionalFormatting sqref="T10:T14">
    <cfRule type="cellIs" dxfId="15" priority="11" operator="lessThan">
      <formula>$S$4</formula>
    </cfRule>
    <cfRule type="cellIs" dxfId="14" priority="12" operator="greaterThan">
      <formula>$S$4</formula>
    </cfRule>
  </conditionalFormatting>
  <conditionalFormatting sqref="T16:T20">
    <cfRule type="cellIs" dxfId="13" priority="9" operator="lessThan">
      <formula>$S$4</formula>
    </cfRule>
    <cfRule type="cellIs" dxfId="12" priority="10" operator="greaterThan">
      <formula>$S$4</formula>
    </cfRule>
  </conditionalFormatting>
  <conditionalFormatting sqref="T22">
    <cfRule type="cellIs" dxfId="11" priority="7" operator="lessThan">
      <formula>$S$4</formula>
    </cfRule>
    <cfRule type="cellIs" dxfId="10" priority="8" operator="greaterThan">
      <formula>$S$4</formula>
    </cfRule>
  </conditionalFormatting>
  <conditionalFormatting sqref="T10:T14">
    <cfRule type="cellIs" dxfId="9" priority="5" operator="lessThan">
      <formula>$S$4</formula>
    </cfRule>
    <cfRule type="cellIs" dxfId="8" priority="6" operator="greaterThan">
      <formula>$S$4</formula>
    </cfRule>
  </conditionalFormatting>
  <conditionalFormatting sqref="T16:T20">
    <cfRule type="cellIs" dxfId="7" priority="3" operator="lessThan">
      <formula>$S$4</formula>
    </cfRule>
    <cfRule type="cellIs" dxfId="6" priority="4" operator="greaterThan">
      <formula>$S$4</formula>
    </cfRule>
  </conditionalFormatting>
  <conditionalFormatting sqref="T22">
    <cfRule type="cellIs" dxfId="5" priority="1" operator="lessThan">
      <formula>$S$4</formula>
    </cfRule>
    <cfRule type="cellIs" dxfId="4" priority="2" operator="greaterThan">
      <formula>$S$4</formula>
    </cfRule>
  </conditionalFormatting>
  <pageMargins left="0.7" right="0.7" top="0.75" bottom="0.75" header="0.3" footer="0.3"/>
  <pageSetup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9"/>
  <sheetViews>
    <sheetView workbookViewId="0">
      <selection activeCell="A19" sqref="A19:T19"/>
    </sheetView>
  </sheetViews>
  <sheetFormatPr defaultRowHeight="15" x14ac:dyDescent="0.25"/>
  <sheetData>
    <row r="2" spans="1:20" x14ac:dyDescent="0.25">
      <c r="A2" t="s">
        <v>15</v>
      </c>
    </row>
    <row r="3" spans="1:20" x14ac:dyDescent="0.25">
      <c r="A3" t="s">
        <v>22</v>
      </c>
      <c r="B3" t="s">
        <v>10</v>
      </c>
      <c r="C3" t="s">
        <v>14</v>
      </c>
      <c r="D3" t="s">
        <v>2</v>
      </c>
      <c r="E3" t="s">
        <v>13</v>
      </c>
      <c r="F3" t="s">
        <v>3</v>
      </c>
      <c r="G3" t="s">
        <v>0</v>
      </c>
      <c r="H3" t="s">
        <v>1</v>
      </c>
      <c r="I3" t="s">
        <v>4</v>
      </c>
      <c r="J3" t="s">
        <v>8</v>
      </c>
      <c r="K3" t="s">
        <v>23</v>
      </c>
      <c r="L3" t="s">
        <v>6</v>
      </c>
      <c r="M3" t="s">
        <v>5</v>
      </c>
      <c r="N3" t="s">
        <v>11</v>
      </c>
      <c r="O3" t="s">
        <v>7</v>
      </c>
      <c r="P3" t="s">
        <v>9</v>
      </c>
      <c r="Q3" t="s">
        <v>10</v>
      </c>
      <c r="R3" t="s">
        <v>12</v>
      </c>
      <c r="S3" t="s">
        <v>16</v>
      </c>
      <c r="T3" t="s">
        <v>17</v>
      </c>
    </row>
    <row r="4" spans="1:20" x14ac:dyDescent="0.25">
      <c r="A4" s="1" t="e">
        <f>Summary!$D$13</f>
        <v>#DIV/0!</v>
      </c>
      <c r="B4" s="1" t="e">
        <f>A4+2*D4*F4</f>
        <v>#DIV/0!</v>
      </c>
      <c r="C4" s="2" t="e">
        <f>A4+2*E4*F4</f>
        <v>#DIV/0!</v>
      </c>
      <c r="D4" s="1">
        <v>5</v>
      </c>
      <c r="E4" s="1">
        <f>D4+0.5</f>
        <v>5.5</v>
      </c>
      <c r="F4" s="1">
        <f>Summary!$D$5</f>
        <v>0</v>
      </c>
      <c r="G4" s="1" t="e">
        <f>A4*D4+F4*D4^2</f>
        <v>#DIV/0!</v>
      </c>
      <c r="H4" s="1" t="e">
        <f>G4/(A4+2*D4*SQRT((F4^2)+1))</f>
        <v>#DIV/0!</v>
      </c>
      <c r="I4" s="1">
        <f>Summary!$D$18</f>
        <v>0</v>
      </c>
      <c r="J4" s="1" t="e">
        <f t="shared" ref="J4:J8" si="0">I4/G4</f>
        <v>#DIV/0!</v>
      </c>
      <c r="K4" s="12">
        <f>Summary!$D$22</f>
        <v>2.88</v>
      </c>
      <c r="L4" s="1" t="e">
        <f>J4*H4</f>
        <v>#DIV/0!</v>
      </c>
      <c r="M4" s="1" t="e">
        <f>EXP(K4*((0.0133*(LN(L4))^2)-(0.0954*LN(L4))+0.297)-4.16)</f>
        <v>#DIV/0!</v>
      </c>
      <c r="N4" s="1">
        <f>Summary!$D$19</f>
        <v>0</v>
      </c>
      <c r="O4" s="1" t="e">
        <f>(1.49/M4)*H4^(2/3)*N4^(1/2)</f>
        <v>#DIV/0!</v>
      </c>
      <c r="P4" s="1">
        <f>0.75*K4</f>
        <v>2.16</v>
      </c>
      <c r="Q4" s="1">
        <f>62.4*D4*N4</f>
        <v>0</v>
      </c>
      <c r="R4" s="1" t="e">
        <f>O4-J4</f>
        <v>#DIV/0!</v>
      </c>
      <c r="S4" s="1">
        <f>Summary!$D$24</f>
        <v>0</v>
      </c>
      <c r="T4" s="1" t="e">
        <f>62.4*D4*N4*(1-Summary!$D$23)*((0.0156/M4)^2)</f>
        <v>#DIV/0!</v>
      </c>
    </row>
    <row r="5" spans="1:20" x14ac:dyDescent="0.25">
      <c r="A5" s="1" t="e">
        <f>Summary!$D$13</f>
        <v>#DIV/0!</v>
      </c>
      <c r="B5" s="1" t="e">
        <f t="shared" ref="B5:B8" si="1">A5+2*D5*F5</f>
        <v>#DIV/0!</v>
      </c>
      <c r="C5" s="2" t="e">
        <f t="shared" ref="C5:C8" si="2">A5+2*E5*F5</f>
        <v>#DIV/0!</v>
      </c>
      <c r="D5" s="1">
        <v>4</v>
      </c>
      <c r="E5" s="1">
        <f t="shared" ref="E5:E8" si="3">D5+0.5</f>
        <v>4.5</v>
      </c>
      <c r="F5" s="1">
        <f>Summary!$D$5</f>
        <v>0</v>
      </c>
      <c r="G5" s="1" t="e">
        <f t="shared" ref="G5:G8" si="4">A5*D5+F5*D5^2</f>
        <v>#DIV/0!</v>
      </c>
      <c r="H5" s="1" t="e">
        <f t="shared" ref="H5:H8" si="5">G5/(A5+2*D5*SQRT((F5^2)+1))</f>
        <v>#DIV/0!</v>
      </c>
      <c r="I5" s="1">
        <f>Summary!$D$18</f>
        <v>0</v>
      </c>
      <c r="J5" s="1" t="e">
        <f t="shared" si="0"/>
        <v>#DIV/0!</v>
      </c>
      <c r="K5" s="12">
        <f>Summary!$D$22</f>
        <v>2.88</v>
      </c>
      <c r="L5" s="1" t="e">
        <f t="shared" ref="L5:L6" si="6">J5*H5</f>
        <v>#DIV/0!</v>
      </c>
      <c r="M5" s="1" t="e">
        <f t="shared" ref="M5:M6" si="7">EXP(K5*((0.0133*(LN(L5))^2)-(0.0954*LN(L5))+0.297)-4.16)</f>
        <v>#DIV/0!</v>
      </c>
      <c r="N5" s="1">
        <f>Summary!$D$19</f>
        <v>0</v>
      </c>
      <c r="O5" s="1" t="e">
        <f t="shared" ref="O5:O6" si="8">(1.49/M5)*H5^(2/3)*N5^(1/2)</f>
        <v>#DIV/0!</v>
      </c>
      <c r="P5" s="1">
        <f t="shared" ref="P5:P6" si="9">0.75*K5</f>
        <v>2.16</v>
      </c>
      <c r="Q5" s="1">
        <f>62.4*D5*N5</f>
        <v>0</v>
      </c>
      <c r="R5" s="1" t="e">
        <f t="shared" ref="R5:R6" si="10">O5-J5</f>
        <v>#DIV/0!</v>
      </c>
      <c r="S5" s="1">
        <f>Summary!$D$24</f>
        <v>0</v>
      </c>
      <c r="T5" s="1" t="e">
        <f>62.4*D5*N5*(1-Summary!$D$23)*((0.0156/M5)^2)</f>
        <v>#DIV/0!</v>
      </c>
    </row>
    <row r="6" spans="1:20" x14ac:dyDescent="0.25">
      <c r="A6" s="1" t="e">
        <f>Summary!$D$13</f>
        <v>#DIV/0!</v>
      </c>
      <c r="B6" s="1" t="e">
        <f t="shared" si="1"/>
        <v>#DIV/0!</v>
      </c>
      <c r="C6" s="2" t="e">
        <f t="shared" si="2"/>
        <v>#DIV/0!</v>
      </c>
      <c r="D6" s="1">
        <v>3</v>
      </c>
      <c r="E6" s="1">
        <f t="shared" si="3"/>
        <v>3.5</v>
      </c>
      <c r="F6" s="1">
        <f>Summary!$D$5</f>
        <v>0</v>
      </c>
      <c r="G6" s="1" t="e">
        <f t="shared" si="4"/>
        <v>#DIV/0!</v>
      </c>
      <c r="H6" s="1" t="e">
        <f t="shared" si="5"/>
        <v>#DIV/0!</v>
      </c>
      <c r="I6" s="1">
        <f>Summary!$D$18</f>
        <v>0</v>
      </c>
      <c r="J6" s="1" t="e">
        <f t="shared" si="0"/>
        <v>#DIV/0!</v>
      </c>
      <c r="K6" s="12">
        <f>Summary!$D$22</f>
        <v>2.88</v>
      </c>
      <c r="L6" s="1" t="e">
        <f t="shared" si="6"/>
        <v>#DIV/0!</v>
      </c>
      <c r="M6" s="1" t="e">
        <f t="shared" si="7"/>
        <v>#DIV/0!</v>
      </c>
      <c r="N6" s="1">
        <f>Summary!$D$19</f>
        <v>0</v>
      </c>
      <c r="O6" s="1" t="e">
        <f t="shared" si="8"/>
        <v>#DIV/0!</v>
      </c>
      <c r="P6" s="1">
        <f t="shared" si="9"/>
        <v>2.16</v>
      </c>
      <c r="Q6" s="1">
        <f>62.4*D6*N6</f>
        <v>0</v>
      </c>
      <c r="R6" s="1" t="e">
        <f t="shared" si="10"/>
        <v>#DIV/0!</v>
      </c>
      <c r="S6" s="1">
        <f>Summary!$D$24</f>
        <v>0</v>
      </c>
      <c r="T6" s="1" t="e">
        <f>62.4*D6*N6*(1-Summary!$D$23)*((0.0156/M6)^2)</f>
        <v>#DIV/0!</v>
      </c>
    </row>
    <row r="7" spans="1:20" x14ac:dyDescent="0.25">
      <c r="A7" s="1" t="e">
        <f>Summary!$D$13</f>
        <v>#DIV/0!</v>
      </c>
      <c r="B7" s="1" t="e">
        <f t="shared" si="1"/>
        <v>#DIV/0!</v>
      </c>
      <c r="C7" s="2" t="e">
        <f t="shared" si="2"/>
        <v>#DIV/0!</v>
      </c>
      <c r="D7" s="1">
        <v>2</v>
      </c>
      <c r="E7" s="1">
        <f t="shared" si="3"/>
        <v>2.5</v>
      </c>
      <c r="F7" s="1">
        <f>Summary!$D$5</f>
        <v>0</v>
      </c>
      <c r="G7" s="1" t="e">
        <f t="shared" si="4"/>
        <v>#DIV/0!</v>
      </c>
      <c r="H7" s="1" t="e">
        <f t="shared" si="5"/>
        <v>#DIV/0!</v>
      </c>
      <c r="I7" s="1">
        <f>Summary!$D$18</f>
        <v>0</v>
      </c>
      <c r="J7" s="1" t="e">
        <f t="shared" si="0"/>
        <v>#DIV/0!</v>
      </c>
      <c r="K7" s="12">
        <f>Summary!$D$22</f>
        <v>2.88</v>
      </c>
      <c r="L7" s="1" t="e">
        <f>J7*H7</f>
        <v>#DIV/0!</v>
      </c>
      <c r="M7" s="1" t="e">
        <f>EXP(K7*((0.0133*(LN(L7))^2)-(0.0954*LN(L7))+0.297)-4.16)</f>
        <v>#DIV/0!</v>
      </c>
      <c r="N7" s="1">
        <f>Summary!$D$19</f>
        <v>0</v>
      </c>
      <c r="O7" s="1" t="e">
        <f>(1.49/M7)*H7^(2/3)*N7^(1/2)</f>
        <v>#DIV/0!</v>
      </c>
      <c r="P7" s="1">
        <f>0.75*K7</f>
        <v>2.16</v>
      </c>
      <c r="Q7" s="1">
        <f>62.4*D7*N7</f>
        <v>0</v>
      </c>
      <c r="R7" s="1" t="e">
        <f>O7-J7</f>
        <v>#DIV/0!</v>
      </c>
      <c r="S7" s="1">
        <f>Summary!$D$24</f>
        <v>0</v>
      </c>
      <c r="T7" s="1" t="e">
        <f>62.4*D7*N7*(1-Summary!$D$23)*((0.0156/M7)^2)</f>
        <v>#DIV/0!</v>
      </c>
    </row>
    <row r="8" spans="1:20" x14ac:dyDescent="0.25">
      <c r="A8" s="1" t="e">
        <f>Summary!$D$13</f>
        <v>#DIV/0!</v>
      </c>
      <c r="B8" s="1" t="e">
        <f t="shared" si="1"/>
        <v>#DIV/0!</v>
      </c>
      <c r="C8" s="2" t="e">
        <f t="shared" si="2"/>
        <v>#DIV/0!</v>
      </c>
      <c r="D8" s="1">
        <v>1</v>
      </c>
      <c r="E8" s="1">
        <f t="shared" si="3"/>
        <v>1.5</v>
      </c>
      <c r="F8" s="1">
        <f>Summary!$D$5</f>
        <v>0</v>
      </c>
      <c r="G8" s="1" t="e">
        <f t="shared" si="4"/>
        <v>#DIV/0!</v>
      </c>
      <c r="H8" s="1" t="e">
        <f t="shared" si="5"/>
        <v>#DIV/0!</v>
      </c>
      <c r="I8" s="1">
        <f>Summary!$D$18</f>
        <v>0</v>
      </c>
      <c r="J8" s="1" t="e">
        <f t="shared" si="0"/>
        <v>#DIV/0!</v>
      </c>
      <c r="K8" s="12">
        <f>Summary!$D$22</f>
        <v>2.88</v>
      </c>
      <c r="L8" s="1" t="e">
        <f t="shared" ref="L8" si="11">J8*H8</f>
        <v>#DIV/0!</v>
      </c>
      <c r="M8" s="1" t="e">
        <f t="shared" ref="M8" si="12">EXP(K8*((0.0133*(LN(L8))^2)-(0.0954*LN(L8))+0.297)-4.16)</f>
        <v>#DIV/0!</v>
      </c>
      <c r="N8" s="1">
        <f>Summary!$D$19</f>
        <v>0</v>
      </c>
      <c r="O8" s="1" t="e">
        <f t="shared" ref="O8" si="13">(1.49/M8)*H8^(2/3)*N8^(1/2)</f>
        <v>#DIV/0!</v>
      </c>
      <c r="P8" s="1">
        <f t="shared" ref="P8" si="14">0.75*K8</f>
        <v>2.16</v>
      </c>
      <c r="Q8" s="1">
        <f>62.4*D8*N8</f>
        <v>0</v>
      </c>
      <c r="R8" s="1" t="e">
        <f t="shared" ref="R8" si="15">O8-J8</f>
        <v>#DIV/0!</v>
      </c>
      <c r="S8" s="1">
        <f>Summary!$D$24</f>
        <v>0</v>
      </c>
      <c r="T8" s="1" t="e">
        <f>62.4*D8*N8*(1-Summary!$D$23)*((0.0156/M8)^2)</f>
        <v>#DIV/0!</v>
      </c>
    </row>
    <row r="10" spans="1:20" x14ac:dyDescent="0.25">
      <c r="A10" s="1" t="e">
        <f>Summary!$D$13</f>
        <v>#DIV/0!</v>
      </c>
      <c r="B10" s="1" t="e">
        <f t="shared" ref="B10:B14" si="16">A10+2*D10*F10</f>
        <v>#DIV/0!</v>
      </c>
      <c r="C10" s="2" t="e">
        <f t="shared" ref="C10:C14" si="17">A10+2*E10*F10</f>
        <v>#DIV/0!</v>
      </c>
      <c r="D10" s="1" t="e">
        <f>IF(AND(R4&gt;0,R5&lt;0),D4,IF(AND(R5&gt;0,R6&lt;0),D5,IF(AND(R6&gt;0,R7&lt;0),D6,IF(AND(R7&gt;0,R8&lt;0),D7,D8))))</f>
        <v>#DIV/0!</v>
      </c>
      <c r="E10" s="1" t="e">
        <f t="shared" ref="E10:E14" si="18">D10+0.5</f>
        <v>#DIV/0!</v>
      </c>
      <c r="F10" s="1">
        <f>Summary!$D$5</f>
        <v>0</v>
      </c>
      <c r="G10" s="1" t="e">
        <f t="shared" ref="G10:G14" si="19">A10*D10+F10*D10^2</f>
        <v>#DIV/0!</v>
      </c>
      <c r="H10" s="1" t="e">
        <f t="shared" ref="H10:H14" si="20">G10/(A10+2*D10*SQRT((F10^2)+1))</f>
        <v>#DIV/0!</v>
      </c>
      <c r="I10" s="1">
        <f>Summary!$D$18</f>
        <v>0</v>
      </c>
      <c r="J10" s="1" t="e">
        <f t="shared" ref="J10:J14" si="21">I10/G10</f>
        <v>#DIV/0!</v>
      </c>
      <c r="K10" s="12">
        <f>Summary!$D$22</f>
        <v>2.88</v>
      </c>
      <c r="L10" s="1" t="e">
        <f>J10*H10</f>
        <v>#DIV/0!</v>
      </c>
      <c r="M10" s="1" t="e">
        <f>EXP(K10*((0.0133*(LN(L10))^2)-(0.0954*LN(L10))+0.297)-4.16)</f>
        <v>#DIV/0!</v>
      </c>
      <c r="N10" s="1">
        <f>Summary!$D$19</f>
        <v>0</v>
      </c>
      <c r="O10" s="1" t="e">
        <f>(1.49/M10)*H10^(2/3)*N10^(1/2)</f>
        <v>#DIV/0!</v>
      </c>
      <c r="P10" s="1">
        <f>0.75*K10</f>
        <v>2.16</v>
      </c>
      <c r="Q10" s="1" t="e">
        <f>62.4*D10*N10</f>
        <v>#DIV/0!</v>
      </c>
      <c r="R10" s="1" t="e">
        <f>O10-J10</f>
        <v>#DIV/0!</v>
      </c>
      <c r="S10" s="1">
        <f>Summary!$D$24</f>
        <v>0</v>
      </c>
      <c r="T10" s="1" t="e">
        <f>62.4*D10*N10*(1-Summary!$D$23)*((0.0156/M10)^2)</f>
        <v>#DIV/0!</v>
      </c>
    </row>
    <row r="11" spans="1:20" x14ac:dyDescent="0.25">
      <c r="A11" s="1" t="e">
        <f>Summary!$D$13</f>
        <v>#DIV/0!</v>
      </c>
      <c r="B11" s="1" t="e">
        <f t="shared" si="16"/>
        <v>#DIV/0!</v>
      </c>
      <c r="C11" s="2" t="e">
        <f t="shared" si="17"/>
        <v>#DIV/0!</v>
      </c>
      <c r="D11" s="1" t="e">
        <f>D10-0.2</f>
        <v>#DIV/0!</v>
      </c>
      <c r="E11" s="1" t="e">
        <f t="shared" si="18"/>
        <v>#DIV/0!</v>
      </c>
      <c r="F11" s="1">
        <f>Summary!$D$5</f>
        <v>0</v>
      </c>
      <c r="G11" s="1" t="e">
        <f t="shared" si="19"/>
        <v>#DIV/0!</v>
      </c>
      <c r="H11" s="1" t="e">
        <f t="shared" si="20"/>
        <v>#DIV/0!</v>
      </c>
      <c r="I11" s="1">
        <f>Summary!$D$18</f>
        <v>0</v>
      </c>
      <c r="J11" s="1" t="e">
        <f t="shared" si="21"/>
        <v>#DIV/0!</v>
      </c>
      <c r="K11" s="12">
        <f>Summary!$D$22</f>
        <v>2.88</v>
      </c>
      <c r="L11" s="1" t="e">
        <f t="shared" ref="L11:L12" si="22">J11*H11</f>
        <v>#DIV/0!</v>
      </c>
      <c r="M11" s="1" t="e">
        <f t="shared" ref="M11:M12" si="23">EXP(K11*((0.0133*(LN(L11))^2)-(0.0954*LN(L11))+0.297)-4.16)</f>
        <v>#DIV/0!</v>
      </c>
      <c r="N11" s="1">
        <f>Summary!$D$19</f>
        <v>0</v>
      </c>
      <c r="O11" s="1" t="e">
        <f t="shared" ref="O11:O12" si="24">(1.49/M11)*H11^(2/3)*N11^(1/2)</f>
        <v>#DIV/0!</v>
      </c>
      <c r="P11" s="1">
        <f t="shared" ref="P11:P12" si="25">0.75*K11</f>
        <v>2.16</v>
      </c>
      <c r="Q11" s="1" t="e">
        <f>62.4*D11*N11</f>
        <v>#DIV/0!</v>
      </c>
      <c r="R11" s="1" t="e">
        <f t="shared" ref="R11:R12" si="26">O11-J11</f>
        <v>#DIV/0!</v>
      </c>
      <c r="S11" s="1">
        <f>Summary!$D$24</f>
        <v>0</v>
      </c>
      <c r="T11" s="1" t="e">
        <f>62.4*D11*N11*(1-Summary!$D$23)*((0.0156/M11)^2)</f>
        <v>#DIV/0!</v>
      </c>
    </row>
    <row r="12" spans="1:20" x14ac:dyDescent="0.25">
      <c r="A12" s="1" t="e">
        <f>Summary!$D$13</f>
        <v>#DIV/0!</v>
      </c>
      <c r="B12" s="1" t="e">
        <f t="shared" si="16"/>
        <v>#DIV/0!</v>
      </c>
      <c r="C12" s="2" t="e">
        <f t="shared" si="17"/>
        <v>#DIV/0!</v>
      </c>
      <c r="D12" s="1" t="e">
        <f t="shared" ref="D12:D14" si="27">D11-0.2</f>
        <v>#DIV/0!</v>
      </c>
      <c r="E12" s="1" t="e">
        <f t="shared" si="18"/>
        <v>#DIV/0!</v>
      </c>
      <c r="F12" s="1">
        <f>Summary!$D$5</f>
        <v>0</v>
      </c>
      <c r="G12" s="1" t="e">
        <f t="shared" si="19"/>
        <v>#DIV/0!</v>
      </c>
      <c r="H12" s="1" t="e">
        <f t="shared" si="20"/>
        <v>#DIV/0!</v>
      </c>
      <c r="I12" s="1">
        <f>Summary!$D$18</f>
        <v>0</v>
      </c>
      <c r="J12" s="1" t="e">
        <f t="shared" si="21"/>
        <v>#DIV/0!</v>
      </c>
      <c r="K12" s="12">
        <f>Summary!$D$22</f>
        <v>2.88</v>
      </c>
      <c r="L12" s="1" t="e">
        <f t="shared" si="22"/>
        <v>#DIV/0!</v>
      </c>
      <c r="M12" s="1" t="e">
        <f t="shared" si="23"/>
        <v>#DIV/0!</v>
      </c>
      <c r="N12" s="1">
        <f>Summary!$D$19</f>
        <v>0</v>
      </c>
      <c r="O12" s="1" t="e">
        <f t="shared" si="24"/>
        <v>#DIV/0!</v>
      </c>
      <c r="P12" s="1">
        <f t="shared" si="25"/>
        <v>2.16</v>
      </c>
      <c r="Q12" s="1" t="e">
        <f>62.4*D12*N12</f>
        <v>#DIV/0!</v>
      </c>
      <c r="R12" s="1" t="e">
        <f t="shared" si="26"/>
        <v>#DIV/0!</v>
      </c>
      <c r="S12" s="1">
        <f>Summary!$D$24</f>
        <v>0</v>
      </c>
      <c r="T12" s="1" t="e">
        <f>62.4*D12*N12*(1-Summary!$D$23)*((0.0156/M12)^2)</f>
        <v>#DIV/0!</v>
      </c>
    </row>
    <row r="13" spans="1:20" x14ac:dyDescent="0.25">
      <c r="A13" s="1" t="e">
        <f>Summary!$D$13</f>
        <v>#DIV/0!</v>
      </c>
      <c r="B13" s="1" t="e">
        <f t="shared" si="16"/>
        <v>#DIV/0!</v>
      </c>
      <c r="C13" s="2" t="e">
        <f t="shared" si="17"/>
        <v>#DIV/0!</v>
      </c>
      <c r="D13" s="1" t="e">
        <f t="shared" si="27"/>
        <v>#DIV/0!</v>
      </c>
      <c r="E13" s="1" t="e">
        <f t="shared" si="18"/>
        <v>#DIV/0!</v>
      </c>
      <c r="F13" s="1">
        <f>Summary!$D$5</f>
        <v>0</v>
      </c>
      <c r="G13" s="1" t="e">
        <f t="shared" si="19"/>
        <v>#DIV/0!</v>
      </c>
      <c r="H13" s="1" t="e">
        <f t="shared" si="20"/>
        <v>#DIV/0!</v>
      </c>
      <c r="I13" s="1">
        <f>Summary!$D$18</f>
        <v>0</v>
      </c>
      <c r="J13" s="1" t="e">
        <f t="shared" si="21"/>
        <v>#DIV/0!</v>
      </c>
      <c r="K13" s="12">
        <f>Summary!$D$22</f>
        <v>2.88</v>
      </c>
      <c r="L13" s="1" t="e">
        <f>J13*H13</f>
        <v>#DIV/0!</v>
      </c>
      <c r="M13" s="1" t="e">
        <f>EXP(K13*((0.0133*(LN(L13))^2)-(0.0954*LN(L13))+0.297)-4.16)</f>
        <v>#DIV/0!</v>
      </c>
      <c r="N13" s="1">
        <f>Summary!$D$19</f>
        <v>0</v>
      </c>
      <c r="O13" s="1" t="e">
        <f>(1.49/M13)*H13^(2/3)*N13^(1/2)</f>
        <v>#DIV/0!</v>
      </c>
      <c r="P13" s="1">
        <f>0.75*K13</f>
        <v>2.16</v>
      </c>
      <c r="Q13" s="1" t="e">
        <f>62.4*D13*N13</f>
        <v>#DIV/0!</v>
      </c>
      <c r="R13" s="1" t="e">
        <f>O13-J13</f>
        <v>#DIV/0!</v>
      </c>
      <c r="S13" s="1">
        <f>Summary!$D$24</f>
        <v>0</v>
      </c>
      <c r="T13" s="1" t="e">
        <f>62.4*D13*N13*(1-Summary!$D$23)*((0.0156/M13)^2)</f>
        <v>#DIV/0!</v>
      </c>
    </row>
    <row r="14" spans="1:20" x14ac:dyDescent="0.25">
      <c r="A14" s="1" t="e">
        <f>Summary!$D$13</f>
        <v>#DIV/0!</v>
      </c>
      <c r="B14" s="1" t="e">
        <f t="shared" si="16"/>
        <v>#DIV/0!</v>
      </c>
      <c r="C14" s="2" t="e">
        <f t="shared" si="17"/>
        <v>#DIV/0!</v>
      </c>
      <c r="D14" s="1" t="e">
        <f t="shared" si="27"/>
        <v>#DIV/0!</v>
      </c>
      <c r="E14" s="1" t="e">
        <f t="shared" si="18"/>
        <v>#DIV/0!</v>
      </c>
      <c r="F14" s="1">
        <f>Summary!$D$5</f>
        <v>0</v>
      </c>
      <c r="G14" s="1" t="e">
        <f t="shared" si="19"/>
        <v>#DIV/0!</v>
      </c>
      <c r="H14" s="1" t="e">
        <f t="shared" si="20"/>
        <v>#DIV/0!</v>
      </c>
      <c r="I14" s="1">
        <f>Summary!$D$18</f>
        <v>0</v>
      </c>
      <c r="J14" s="1" t="e">
        <f t="shared" si="21"/>
        <v>#DIV/0!</v>
      </c>
      <c r="K14" s="12">
        <f>Summary!$D$22</f>
        <v>2.88</v>
      </c>
      <c r="L14" s="1" t="e">
        <f t="shared" ref="L14" si="28">J14*H14</f>
        <v>#DIV/0!</v>
      </c>
      <c r="M14" s="1" t="e">
        <f t="shared" ref="M14" si="29">EXP(K14*((0.0133*(LN(L14))^2)-(0.0954*LN(L14))+0.297)-4.16)</f>
        <v>#DIV/0!</v>
      </c>
      <c r="N14" s="1">
        <f>Summary!$D$19</f>
        <v>0</v>
      </c>
      <c r="O14" s="1" t="e">
        <f t="shared" ref="O14" si="30">(1.49/M14)*H14^(2/3)*N14^(1/2)</f>
        <v>#DIV/0!</v>
      </c>
      <c r="P14" s="1">
        <f t="shared" ref="P14" si="31">0.75*K14</f>
        <v>2.16</v>
      </c>
      <c r="Q14" s="1" t="e">
        <f>62.4*D14*N14</f>
        <v>#DIV/0!</v>
      </c>
      <c r="R14" s="1" t="e">
        <f t="shared" ref="R14" si="32">O14-J14</f>
        <v>#DIV/0!</v>
      </c>
      <c r="S14" s="1">
        <f>Summary!$D$24</f>
        <v>0</v>
      </c>
      <c r="T14" s="1" t="e">
        <f>62.4*D14*N14*(1-Summary!$D$23)*((0.0156/M14)^2)</f>
        <v>#DIV/0!</v>
      </c>
    </row>
    <row r="16" spans="1:20" x14ac:dyDescent="0.25">
      <c r="A16" s="1" t="e">
        <f>Summary!$D$13</f>
        <v>#DIV/0!</v>
      </c>
      <c r="B16" s="1" t="e">
        <f t="shared" ref="B16:B17" si="33">A16+2*D16*F16</f>
        <v>#DIV/0!</v>
      </c>
      <c r="C16" s="2" t="e">
        <f t="shared" ref="C16:C17" si="34">A16+2*E16*F16</f>
        <v>#DIV/0!</v>
      </c>
      <c r="D16" s="1" t="e">
        <f>IF(AND(R10&gt;0,R11&lt;0),D10,IF(AND(R11&gt;0,R12&lt;0),D11,IF(AND(R12&gt;0,R13&lt;0),D12,IF(AND(R13&gt;0,R14&lt;0),D13,D14))))</f>
        <v>#DIV/0!</v>
      </c>
      <c r="E16" s="1" t="e">
        <f t="shared" ref="E16:E17" si="35">D16+0.5</f>
        <v>#DIV/0!</v>
      </c>
      <c r="F16" s="1">
        <f>Summary!$D$5</f>
        <v>0</v>
      </c>
      <c r="G16" s="1" t="e">
        <f t="shared" ref="G16:G17" si="36">A16*D16+F16*D16^2</f>
        <v>#DIV/0!</v>
      </c>
      <c r="H16" s="1" t="e">
        <f t="shared" ref="H16:H17" si="37">G16/(A16+2*D16*SQRT((F16^2)+1))</f>
        <v>#DIV/0!</v>
      </c>
      <c r="I16" s="1">
        <f>Summary!$D$18</f>
        <v>0</v>
      </c>
      <c r="J16" s="1" t="e">
        <f t="shared" ref="J16:J17" si="38">I16/G16</f>
        <v>#DIV/0!</v>
      </c>
      <c r="K16" s="12">
        <f>Summary!$D$22</f>
        <v>2.88</v>
      </c>
      <c r="L16" s="1" t="e">
        <f>J16*H16</f>
        <v>#DIV/0!</v>
      </c>
      <c r="M16" s="1" t="e">
        <f>EXP(K16*((0.0133*(LN(L16))^2)-(0.0954*LN(L16))+0.297)-4.16)</f>
        <v>#DIV/0!</v>
      </c>
      <c r="N16" s="1">
        <f>Summary!$D$19</f>
        <v>0</v>
      </c>
      <c r="O16" s="1" t="e">
        <f>(1.49/M16)*H16^(2/3)*N16^(1/2)</f>
        <v>#DIV/0!</v>
      </c>
      <c r="P16" s="1">
        <f>0.75*K16</f>
        <v>2.16</v>
      </c>
      <c r="Q16" s="1" t="e">
        <f>62.4*D16*N16</f>
        <v>#DIV/0!</v>
      </c>
      <c r="R16" s="1" t="e">
        <f>O16-J16</f>
        <v>#DIV/0!</v>
      </c>
      <c r="S16" s="1">
        <f>Summary!$D$24</f>
        <v>0</v>
      </c>
      <c r="T16" s="1" t="e">
        <f>62.4*D16*N16*(1-Summary!$D$23)*((0.0156/M16)^2)</f>
        <v>#DIV/0!</v>
      </c>
    </row>
    <row r="17" spans="1:20" x14ac:dyDescent="0.25">
      <c r="A17" s="1" t="e">
        <f>Summary!$D$13</f>
        <v>#DIV/0!</v>
      </c>
      <c r="B17" s="1" t="e">
        <f t="shared" si="33"/>
        <v>#DIV/0!</v>
      </c>
      <c r="C17" s="2" t="e">
        <f t="shared" si="34"/>
        <v>#DIV/0!</v>
      </c>
      <c r="D17" s="1" t="e">
        <f>D16-0.1</f>
        <v>#DIV/0!</v>
      </c>
      <c r="E17" s="1" t="e">
        <f t="shared" si="35"/>
        <v>#DIV/0!</v>
      </c>
      <c r="F17" s="1">
        <f>Summary!$D$5</f>
        <v>0</v>
      </c>
      <c r="G17" s="1" t="e">
        <f t="shared" si="36"/>
        <v>#DIV/0!</v>
      </c>
      <c r="H17" s="1" t="e">
        <f t="shared" si="37"/>
        <v>#DIV/0!</v>
      </c>
      <c r="I17" s="1">
        <f>Summary!$D$18</f>
        <v>0</v>
      </c>
      <c r="J17" s="1" t="e">
        <f t="shared" si="38"/>
        <v>#DIV/0!</v>
      </c>
      <c r="K17" s="12">
        <f>Summary!$D$22</f>
        <v>2.88</v>
      </c>
      <c r="L17" s="1" t="e">
        <f t="shared" ref="L17" si="39">J17*H17</f>
        <v>#DIV/0!</v>
      </c>
      <c r="M17" s="1" t="e">
        <f t="shared" ref="M17" si="40">EXP(K17*((0.0133*(LN(L17))^2)-(0.0954*LN(L17))+0.297)-4.16)</f>
        <v>#DIV/0!</v>
      </c>
      <c r="N17" s="1">
        <f>Summary!$D$19</f>
        <v>0</v>
      </c>
      <c r="O17" s="1" t="e">
        <f t="shared" ref="O17" si="41">(1.49/M17)*H17^(2/3)*N17^(1/2)</f>
        <v>#DIV/0!</v>
      </c>
      <c r="P17" s="1">
        <f t="shared" ref="P17" si="42">0.75*K17</f>
        <v>2.16</v>
      </c>
      <c r="Q17" s="1" t="e">
        <f>62.4*D17*N17</f>
        <v>#DIV/0!</v>
      </c>
      <c r="R17" s="1" t="e">
        <f t="shared" ref="R17" si="43">O17-J17</f>
        <v>#DIV/0!</v>
      </c>
      <c r="S17" s="1">
        <f>Summary!$D$24</f>
        <v>0</v>
      </c>
      <c r="T17" s="1" t="e">
        <f>62.4*D17*N17*(1-Summary!$D$23)*((0.0156/M17)^2)</f>
        <v>#DIV/0!</v>
      </c>
    </row>
    <row r="18" spans="1:20" ht="15.75" thickBot="1" x14ac:dyDescent="0.3"/>
    <row r="19" spans="1:20" ht="15.75" thickBot="1" x14ac:dyDescent="0.3">
      <c r="A19" s="34" t="e">
        <f>Summary!$D$13</f>
        <v>#DIV/0!</v>
      </c>
      <c r="B19" s="36" t="e">
        <f>A19+2*D19*F19</f>
        <v>#DIV/0!</v>
      </c>
      <c r="C19" s="35" t="e">
        <f>A19+2*E19*F19</f>
        <v>#DIV/0!</v>
      </c>
      <c r="D19" s="36" t="e">
        <f>IF(AND(R13&gt;0,R14&lt;0),D13,IF(AND(R14&gt;0,R15&lt;0),D14,IF(AND(R15&gt;0,R16&lt;0),D15,IF(AND(R16&gt;0,R17&lt;0),D16,D17))))</f>
        <v>#DIV/0!</v>
      </c>
      <c r="E19" s="36" t="e">
        <f>D19+0.5</f>
        <v>#DIV/0!</v>
      </c>
      <c r="F19" s="36">
        <f>Summary!$D$5</f>
        <v>0</v>
      </c>
      <c r="G19" s="36" t="e">
        <f>A19*D19+F19*D19^2</f>
        <v>#DIV/0!</v>
      </c>
      <c r="H19" s="36" t="e">
        <f>G19/(A19+2*D19*SQRT((F19^2)+1))</f>
        <v>#DIV/0!</v>
      </c>
      <c r="I19" s="36">
        <f>Summary!$D$18</f>
        <v>0</v>
      </c>
      <c r="J19" s="36" t="e">
        <f t="shared" ref="J19" si="44">I19/G19</f>
        <v>#DIV/0!</v>
      </c>
      <c r="K19" s="37">
        <f>Summary!$D$22</f>
        <v>2.88</v>
      </c>
      <c r="L19" s="36" t="e">
        <f>J19*H19</f>
        <v>#DIV/0!</v>
      </c>
      <c r="M19" s="36" t="e">
        <f>EXP(K19*((0.0133*(LN(L19))^2)-(0.0954*LN(L19))+0.297)-4.16)</f>
        <v>#DIV/0!</v>
      </c>
      <c r="N19" s="36">
        <f>Summary!$D$19</f>
        <v>0</v>
      </c>
      <c r="O19" s="36" t="e">
        <f>(1.49/M19)*H19^(2/3)*N19^(1/2)</f>
        <v>#DIV/0!</v>
      </c>
      <c r="P19" s="36">
        <f>0.75*K19</f>
        <v>2.16</v>
      </c>
      <c r="Q19" s="36" t="e">
        <f>62.4*D19*N19</f>
        <v>#DIV/0!</v>
      </c>
      <c r="R19" s="36" t="e">
        <f>O19-J19</f>
        <v>#DIV/0!</v>
      </c>
      <c r="S19" s="36">
        <f>Summary!$D$24</f>
        <v>0</v>
      </c>
      <c r="T19" s="38" t="e">
        <f>62.4*D19*N19*(1-Summary!$D$23)*((0.0156/M19)^2)</f>
        <v>#DIV/0!</v>
      </c>
    </row>
  </sheetData>
  <conditionalFormatting sqref="Q4:Q8 Q10:Q14 Q16:Q17">
    <cfRule type="cellIs" dxfId="3" priority="7" operator="greaterThan">
      <formula>$P$4</formula>
    </cfRule>
    <cfRule type="cellIs" dxfId="2" priority="8" operator="lessThan">
      <formula>$P$4</formula>
    </cfRule>
  </conditionalFormatting>
  <conditionalFormatting sqref="Q19">
    <cfRule type="cellIs" dxfId="1" priority="1" operator="greaterThan">
      <formula>$P$4</formula>
    </cfRule>
    <cfRule type="cellIs" dxfId="0" priority="2" operator="lessThan">
      <formula>$P$4</formula>
    </cfRule>
  </conditionalFormatting>
  <pageMargins left="0.7" right="0.7" top="0.75" bottom="0.75" header="0.3" footer="0.3"/>
  <pageSetup scale="6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CEA365559B87439F3C27B29474A827" ma:contentTypeVersion="0" ma:contentTypeDescription="Create a new document." ma:contentTypeScope="" ma:versionID="d4d8fae1db3dd353cdfe02377902d2d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a276fbc7de9a4060e54dafc32f34c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BFF7D4-D2A2-4B06-B6EA-340A90AE78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CD1C22-7D56-4F72-8DFE-B7D76B6ED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E3162A-4266-4E7A-A32C-BD07D36C62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VelocityCalc</vt:lpstr>
      <vt:lpstr>Depth Calc</vt:lpstr>
      <vt:lpstr>'Depth Calc'!Print_Area</vt:lpstr>
      <vt:lpstr>VelocityCalc!Print_Area</vt:lpstr>
    </vt:vector>
  </TitlesOfParts>
  <Company>USDA OCIO-ITS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anton.schaeffer</dc:creator>
  <cp:lastModifiedBy>brm72597</cp:lastModifiedBy>
  <cp:lastPrinted>2012-11-23T16:26:25Z</cp:lastPrinted>
  <dcterms:created xsi:type="dcterms:W3CDTF">2012-11-05T19:50:07Z</dcterms:created>
  <dcterms:modified xsi:type="dcterms:W3CDTF">2017-08-28T12:35:31Z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0x0101005BCEA365559B87439F3C27B29474A827</vt:lpwstr>
  </property>
</Properties>
</file>